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Kyle.McOmber\Work Folders\Desktop\Alaka'i Appeal Submissions\Second Submission\"/>
    </mc:Choice>
  </mc:AlternateContent>
  <bookViews>
    <workbookView xWindow="0" yWindow="0" windowWidth="23040" windowHeight="8910" tabRatio="631" firstSheet="1" activeTab="3"/>
  </bookViews>
  <sheets>
    <sheet name="Instructions" sheetId="36" r:id="rId1"/>
    <sheet name="Cover" sheetId="52" r:id="rId2"/>
    <sheet name="Summary" sheetId="18" r:id="rId3"/>
    <sheet name="Market" sheetId="41" r:id="rId4"/>
    <sheet name="Enrol Staff &amp; Exp" sheetId="13" r:id="rId5"/>
    <sheet name="Facilities" sheetId="46" r:id="rId6"/>
    <sheet name="Facilities wkst" sheetId="53" r:id="rId7"/>
    <sheet name="FFE&amp;T" sheetId="34" r:id="rId8"/>
    <sheet name="Marketing" sheetId="48" r:id="rId9"/>
    <sheet name="Ins" sheetId="47" r:id="rId10"/>
    <sheet name="Incubation" sheetId="39" r:id="rId11"/>
    <sheet name="EMO-CMO" sheetId="45" r:id="rId12"/>
    <sheet name="CF Y1 Mo" sheetId="38" r:id="rId13"/>
    <sheet name="DSA Rates" sheetId="35" r:id="rId14"/>
    <sheet name="Note FFE" sheetId="54" r:id="rId15"/>
    <sheet name="Sheet2" sheetId="55" r:id="rId16"/>
  </sheets>
  <definedNames>
    <definedName name="Counties">'DSA Rates'!$A$10:$A$26</definedName>
    <definedName name="County">'DSA Rates'!$A$10:$A$26</definedName>
    <definedName name="DSA">'DSA Rates'!$B$10:$B$26</definedName>
    <definedName name="HypLink1">#REF!</definedName>
    <definedName name="HypLink10">'FFE&amp;T'!$A$1</definedName>
    <definedName name="HypLink11">Ins!$A$1</definedName>
    <definedName name="HypLink12">Incubation!$A$1</definedName>
    <definedName name="HypLink13">'EMO-CMO'!$A$1</definedName>
    <definedName name="HypLink14">#REF!</definedName>
    <definedName name="HypLink15">'DSA Rates'!$A$1</definedName>
    <definedName name="HypLink16">#REF!</definedName>
    <definedName name="HypLink3">Instructions!$A$1</definedName>
    <definedName name="HypLink4">Summary!$A$1</definedName>
    <definedName name="HypLink5">'CF Y1 Mo'!$A$1</definedName>
    <definedName name="HypLink6">'Enrol Staff &amp; Exp'!$A$1</definedName>
    <definedName name="HypLink7">Market!$A$1</definedName>
    <definedName name="HypLink8">Marketing!$A$1</definedName>
    <definedName name="HypLink9">Facilities!$A$1</definedName>
    <definedName name="_xlnm.Print_Area" localSheetId="12">'CF Y1 Mo'!$A$1:$P$139</definedName>
    <definedName name="_xlnm.Print_Area" localSheetId="1">Cover!$A$1:$G$26</definedName>
    <definedName name="_xlnm.Print_Area" localSheetId="13">'DSA Rates'!$A$1:$K$28</definedName>
    <definedName name="_xlnm.Print_Area" localSheetId="11">'EMO-CMO'!$A$1:$L$60</definedName>
    <definedName name="_xlnm.Print_Area" localSheetId="4">'Enrol Staff &amp; Exp'!$A$1:$N$1589</definedName>
    <definedName name="_xlnm.Print_Area" localSheetId="5">Facilities!$A$1:$M$69</definedName>
    <definedName name="_xlnm.Print_Area" localSheetId="7">'FFE&amp;T'!$A$1:$M$55</definedName>
    <definedName name="_xlnm.Print_Area" localSheetId="10">Incubation!$A$1:$F$54</definedName>
    <definedName name="_xlnm.Print_Area" localSheetId="9">Ins!$A$1:$Q$59</definedName>
    <definedName name="_xlnm.Print_Area" localSheetId="0">Instructions!$A$1:$A$88</definedName>
    <definedName name="_xlnm.Print_Area" localSheetId="3">Market!$A$1:$N$89</definedName>
    <definedName name="_xlnm.Print_Area" localSheetId="8">Marketing!$A$1:$N$46</definedName>
    <definedName name="_xlnm.Print_Area" localSheetId="14">'Note FFE'!$A$1:$I$43</definedName>
    <definedName name="_xlnm.Print_Area" localSheetId="15">Sheet2!$A$1:$K$43</definedName>
    <definedName name="_xlnm.Print_Area" localSheetId="2">Summary!$A$1:$L$173</definedName>
    <definedName name="_xlnm.Print_Titles" localSheetId="12">'CF Y1 Mo'!$7:$12</definedName>
    <definedName name="_xlnm.Print_Titles" localSheetId="11">'EMO-CMO'!$10:$12</definedName>
    <definedName name="_xlnm.Print_Titles" localSheetId="4">'Enrol Staff &amp; Exp'!$9:$11</definedName>
    <definedName name="_xlnm.Print_Titles" localSheetId="6">'Facilities wkst'!$A:$A</definedName>
    <definedName name="_xlnm.Print_Titles" localSheetId="3">Market!$8:$10</definedName>
    <definedName name="_xlnm.Print_Titles" localSheetId="8">Marketing!$11:$13</definedName>
    <definedName name="_xlnm.Print_Titles" localSheetId="2">Summary!$7:$8</definedName>
    <definedName name="SchoolName">Cover!$C$8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1" i="38" l="1"/>
  <c r="G41" i="38" s="1"/>
  <c r="H41" i="38" s="1"/>
  <c r="I41" i="38" s="1"/>
  <c r="J41" i="38" s="1"/>
  <c r="K41" i="38" s="1"/>
  <c r="L41" i="38" s="1"/>
  <c r="M41" i="38" s="1"/>
  <c r="N41" i="38" s="1"/>
  <c r="O41" i="38" s="1"/>
  <c r="P41" i="38" s="1"/>
  <c r="H47" i="38"/>
  <c r="I47" i="38" s="1"/>
  <c r="J47" i="38" s="1"/>
  <c r="K47" i="38" s="1"/>
  <c r="L47" i="38" s="1"/>
  <c r="M47" i="38" s="1"/>
  <c r="N47" i="38" s="1"/>
  <c r="O47" i="38" s="1"/>
  <c r="P47" i="38" s="1"/>
  <c r="H48" i="38"/>
  <c r="I48" i="38" s="1"/>
  <c r="J48" i="38" s="1"/>
  <c r="K48" i="38" s="1"/>
  <c r="L48" i="38" s="1"/>
  <c r="M48" i="38" s="1"/>
  <c r="N48" i="38" s="1"/>
  <c r="O48" i="38" s="1"/>
  <c r="P48" i="38" s="1"/>
  <c r="H49" i="38"/>
  <c r="I49" i="38"/>
  <c r="J49" i="38" s="1"/>
  <c r="K49" i="38" s="1"/>
  <c r="L49" i="38" s="1"/>
  <c r="M49" i="38" s="1"/>
  <c r="N49" i="38" s="1"/>
  <c r="O49" i="38" s="1"/>
  <c r="P49" i="38" s="1"/>
  <c r="H50" i="38"/>
  <c r="I50" i="38" s="1"/>
  <c r="J50" i="38" s="1"/>
  <c r="K50" i="38" s="1"/>
  <c r="L50" i="38" s="1"/>
  <c r="M50" i="38" s="1"/>
  <c r="N50" i="38" s="1"/>
  <c r="O50" i="38" s="1"/>
  <c r="P50" i="38" s="1"/>
  <c r="H53" i="38"/>
  <c r="I53" i="38" s="1"/>
  <c r="J53" i="38" s="1"/>
  <c r="K53" i="38" s="1"/>
  <c r="L53" i="38" s="1"/>
  <c r="M53" i="38" s="1"/>
  <c r="N53" i="38" s="1"/>
  <c r="O53" i="38" s="1"/>
  <c r="P53" i="38" s="1"/>
  <c r="H54" i="38"/>
  <c r="I54" i="38" s="1"/>
  <c r="J54" i="38" s="1"/>
  <c r="K54" i="38" s="1"/>
  <c r="L54" i="38" s="1"/>
  <c r="M54" i="38" s="1"/>
  <c r="N54" i="38" s="1"/>
  <c r="O54" i="38" s="1"/>
  <c r="P54" i="38" s="1"/>
  <c r="G54" i="38"/>
  <c r="G53" i="38"/>
  <c r="G48" i="38"/>
  <c r="G49" i="38"/>
  <c r="G50" i="38"/>
  <c r="F54" i="38"/>
  <c r="F53" i="38"/>
  <c r="F50" i="38"/>
  <c r="F49" i="38"/>
  <c r="F48" i="38"/>
  <c r="G47" i="38"/>
  <c r="F47" i="38"/>
  <c r="H46" i="38"/>
  <c r="I46" i="38"/>
  <c r="J46" i="38"/>
  <c r="K46" i="38"/>
  <c r="L46" i="38" s="1"/>
  <c r="M46" i="38" s="1"/>
  <c r="N46" i="38" s="1"/>
  <c r="O46" i="38" s="1"/>
  <c r="P46" i="38" s="1"/>
  <c r="G46" i="38"/>
  <c r="F46" i="38"/>
  <c r="G40" i="38"/>
  <c r="F40" i="38"/>
  <c r="I42" i="38"/>
  <c r="J42" i="38"/>
  <c r="K42" i="38"/>
  <c r="L42" i="38"/>
  <c r="M42" i="38" s="1"/>
  <c r="N42" i="38" s="1"/>
  <c r="O42" i="38" s="1"/>
  <c r="P42" i="38" s="1"/>
  <c r="H39" i="38"/>
  <c r="I39" i="38"/>
  <c r="J39" i="38"/>
  <c r="K39" i="38"/>
  <c r="L39" i="38" s="1"/>
  <c r="M39" i="38" s="1"/>
  <c r="N39" i="38" s="1"/>
  <c r="O39" i="38" s="1"/>
  <c r="P39" i="38" s="1"/>
  <c r="H40" i="38"/>
  <c r="I40" i="38" s="1"/>
  <c r="J40" i="38" s="1"/>
  <c r="K40" i="38" s="1"/>
  <c r="L40" i="38" s="1"/>
  <c r="M40" i="38" s="1"/>
  <c r="N40" i="38" s="1"/>
  <c r="O40" i="38" s="1"/>
  <c r="P40" i="38" s="1"/>
  <c r="H42" i="38"/>
  <c r="G39" i="38"/>
  <c r="H35" i="38"/>
  <c r="I35" i="38"/>
  <c r="J35" i="38"/>
  <c r="K35" i="38"/>
  <c r="L35" i="38" s="1"/>
  <c r="M35" i="38" s="1"/>
  <c r="N35" i="38" s="1"/>
  <c r="O35" i="38" s="1"/>
  <c r="P35" i="38" s="1"/>
  <c r="H36" i="38"/>
  <c r="I36" i="38"/>
  <c r="J36" i="38"/>
  <c r="K36" i="38" s="1"/>
  <c r="L36" i="38" s="1"/>
  <c r="M36" i="38" s="1"/>
  <c r="N36" i="38" s="1"/>
  <c r="O36" i="38" s="1"/>
  <c r="P36" i="38" s="1"/>
  <c r="G36" i="38"/>
  <c r="G35" i="38"/>
  <c r="F36" i="38"/>
  <c r="G42" i="38"/>
  <c r="F39" i="38"/>
  <c r="F35" i="38"/>
  <c r="P21" i="38"/>
  <c r="J21" i="38"/>
  <c r="K21" i="38"/>
  <c r="L21" i="38"/>
  <c r="M21" i="38"/>
  <c r="N21" i="38" s="1"/>
  <c r="O21" i="38" s="1"/>
  <c r="I21" i="38"/>
  <c r="H21" i="38"/>
  <c r="H20" i="38"/>
  <c r="G20" i="38"/>
  <c r="I20" i="38"/>
  <c r="J20" i="38" s="1"/>
  <c r="K20" i="38" s="1"/>
  <c r="L20" i="38" s="1"/>
  <c r="M20" i="38" s="1"/>
  <c r="N20" i="38" s="1"/>
  <c r="O20" i="38" s="1"/>
  <c r="P20" i="38" s="1"/>
  <c r="H14" i="38"/>
  <c r="I14" i="38"/>
  <c r="J14" i="38"/>
  <c r="K14" i="38"/>
  <c r="L14" i="38" s="1"/>
  <c r="M14" i="38" s="1"/>
  <c r="N14" i="38" s="1"/>
  <c r="O14" i="38" s="1"/>
  <c r="P14" i="38" s="1"/>
  <c r="G14" i="38"/>
  <c r="F14" i="38"/>
  <c r="M13" i="46"/>
  <c r="L13" i="46"/>
  <c r="K13" i="46"/>
  <c r="J13" i="46"/>
  <c r="H13" i="46"/>
  <c r="I14" i="46" s="1"/>
  <c r="J14" i="46"/>
  <c r="K14" i="46"/>
  <c r="M14" i="46"/>
  <c r="I13" i="46"/>
  <c r="C1412" i="13"/>
  <c r="C1397" i="13"/>
  <c r="C1408" i="13"/>
  <c r="L14" i="46" l="1"/>
  <c r="H45" i="34" l="1"/>
  <c r="I45" i="34"/>
  <c r="J45" i="34"/>
  <c r="K45" i="34"/>
  <c r="L45" i="34"/>
  <c r="M45" i="34"/>
  <c r="C11" i="34"/>
  <c r="C1399" i="13" l="1"/>
  <c r="D23" i="39" l="1"/>
  <c r="J20" i="45"/>
  <c r="K20" i="45"/>
  <c r="I20" i="45"/>
  <c r="G19" i="45"/>
  <c r="H19" i="45"/>
  <c r="F19" i="45"/>
  <c r="D42" i="39"/>
  <c r="D139" i="13" l="1"/>
  <c r="D138" i="13"/>
  <c r="D151" i="13"/>
  <c r="D150" i="13"/>
  <c r="D149" i="13"/>
  <c r="D148" i="13"/>
  <c r="D147" i="13"/>
  <c r="D146" i="13"/>
  <c r="D145" i="13"/>
  <c r="D144" i="13"/>
  <c r="D162" i="13"/>
  <c r="D161" i="13"/>
  <c r="D160" i="13"/>
  <c r="D159" i="13"/>
  <c r="D137" i="13"/>
  <c r="D136" i="13"/>
  <c r="A1390" i="13" l="1"/>
  <c r="A1242" i="13" l="1"/>
  <c r="B1241" i="13"/>
  <c r="A1241" i="13"/>
  <c r="B1240" i="13"/>
  <c r="A1240" i="13"/>
  <c r="B1239" i="13"/>
  <c r="A1239" i="13"/>
  <c r="A1238" i="13"/>
  <c r="B1237" i="13"/>
  <c r="B1235" i="13"/>
  <c r="A1235" i="13"/>
  <c r="B1234" i="13"/>
  <c r="A1234" i="13"/>
  <c r="B1233" i="13"/>
  <c r="B1232" i="13"/>
  <c r="B1231" i="13"/>
  <c r="B1230" i="13"/>
  <c r="B1229" i="13"/>
  <c r="B1228" i="13"/>
  <c r="B1227" i="13"/>
  <c r="B1226" i="13"/>
  <c r="B1225" i="13"/>
  <c r="B1223" i="13"/>
  <c r="A1223" i="13"/>
  <c r="B1222" i="13"/>
  <c r="A1222" i="13"/>
  <c r="B1221" i="13"/>
  <c r="A1221" i="13"/>
  <c r="B1220" i="13"/>
  <c r="A1220" i="13"/>
  <c r="B1219" i="13"/>
  <c r="A1219" i="13"/>
  <c r="B1218" i="13"/>
  <c r="A1218" i="13"/>
  <c r="B1217" i="13"/>
  <c r="A1217" i="13"/>
  <c r="A1225" i="13"/>
  <c r="A443" i="13" l="1"/>
  <c r="A442" i="13"/>
  <c r="A441" i="13"/>
  <c r="A440" i="13"/>
  <c r="A439" i="13"/>
  <c r="A438" i="13"/>
  <c r="A437" i="13"/>
  <c r="A436" i="13"/>
  <c r="A435" i="13"/>
  <c r="A434" i="13"/>
  <c r="A433" i="13"/>
  <c r="A432" i="13"/>
  <c r="A431" i="13"/>
  <c r="A430" i="13"/>
  <c r="A429" i="13"/>
  <c r="A428" i="13"/>
  <c r="A427" i="13"/>
  <c r="A426" i="13"/>
  <c r="A425" i="13"/>
  <c r="A424" i="13"/>
  <c r="A423" i="13"/>
  <c r="X869" i="13" l="1"/>
  <c r="X863" i="13"/>
  <c r="X857" i="13"/>
  <c r="X851" i="13"/>
  <c r="X845" i="13"/>
  <c r="X839" i="13"/>
  <c r="X833" i="13"/>
  <c r="X827" i="13"/>
  <c r="X820" i="13"/>
  <c r="X814" i="13"/>
  <c r="X808" i="13"/>
  <c r="X802" i="13"/>
  <c r="X796" i="13"/>
  <c r="X790" i="13"/>
  <c r="X784" i="13"/>
  <c r="X773" i="13"/>
  <c r="X762" i="13"/>
  <c r="X761" i="13"/>
  <c r="X750" i="13"/>
  <c r="X749" i="13"/>
  <c r="X738" i="13"/>
  <c r="X731" i="13"/>
  <c r="W869" i="13"/>
  <c r="V869" i="13"/>
  <c r="U869" i="13"/>
  <c r="T869" i="13"/>
  <c r="S869" i="13"/>
  <c r="W863" i="13"/>
  <c r="V863" i="13"/>
  <c r="U863" i="13"/>
  <c r="T863" i="13"/>
  <c r="S863" i="13"/>
  <c r="W857" i="13"/>
  <c r="V857" i="13"/>
  <c r="U857" i="13"/>
  <c r="T857" i="13"/>
  <c r="S857" i="13"/>
  <c r="W851" i="13"/>
  <c r="V851" i="13"/>
  <c r="U851" i="13"/>
  <c r="T851" i="13"/>
  <c r="S851" i="13"/>
  <c r="W845" i="13"/>
  <c r="V845" i="13"/>
  <c r="U845" i="13"/>
  <c r="T845" i="13"/>
  <c r="S845" i="13"/>
  <c r="W839" i="13"/>
  <c r="V839" i="13"/>
  <c r="U839" i="13"/>
  <c r="T839" i="13"/>
  <c r="S839" i="13"/>
  <c r="W833" i="13"/>
  <c r="V833" i="13"/>
  <c r="U833" i="13"/>
  <c r="T833" i="13"/>
  <c r="S833" i="13"/>
  <c r="W827" i="13"/>
  <c r="V827" i="13"/>
  <c r="U827" i="13"/>
  <c r="T827" i="13"/>
  <c r="S827" i="13"/>
  <c r="W820" i="13"/>
  <c r="V820" i="13"/>
  <c r="U820" i="13"/>
  <c r="T820" i="13"/>
  <c r="S820" i="13"/>
  <c r="W814" i="13"/>
  <c r="V814" i="13"/>
  <c r="U814" i="13"/>
  <c r="T814" i="13"/>
  <c r="S814" i="13"/>
  <c r="W808" i="13"/>
  <c r="V808" i="13"/>
  <c r="U808" i="13"/>
  <c r="T808" i="13"/>
  <c r="S808" i="13"/>
  <c r="W802" i="13"/>
  <c r="V802" i="13"/>
  <c r="U802" i="13"/>
  <c r="T802" i="13"/>
  <c r="S802" i="13"/>
  <c r="W796" i="13"/>
  <c r="V796" i="13"/>
  <c r="U796" i="13"/>
  <c r="T796" i="13"/>
  <c r="S796" i="13"/>
  <c r="W790" i="13"/>
  <c r="V790" i="13"/>
  <c r="U790" i="13"/>
  <c r="T790" i="13"/>
  <c r="S790" i="13"/>
  <c r="W784" i="13"/>
  <c r="V784" i="13"/>
  <c r="U784" i="13"/>
  <c r="T784" i="13"/>
  <c r="S784" i="13"/>
  <c r="W773" i="13"/>
  <c r="V773" i="13"/>
  <c r="U773" i="13"/>
  <c r="T773" i="13"/>
  <c r="S773" i="13"/>
  <c r="W731" i="13"/>
  <c r="V731" i="13"/>
  <c r="T731" i="13"/>
  <c r="S731" i="13"/>
  <c r="A770" i="13"/>
  <c r="A769" i="13"/>
  <c r="A768" i="13"/>
  <c r="W762" i="13" l="1"/>
  <c r="V762" i="13"/>
  <c r="U762" i="13"/>
  <c r="T762" i="13"/>
  <c r="S762" i="13"/>
  <c r="W761" i="13"/>
  <c r="V761" i="13"/>
  <c r="U761" i="13"/>
  <c r="T761" i="13"/>
  <c r="S761" i="13"/>
  <c r="W750" i="13"/>
  <c r="V750" i="13"/>
  <c r="U750" i="13"/>
  <c r="T750" i="13"/>
  <c r="S750" i="13"/>
  <c r="W749" i="13"/>
  <c r="V749" i="13"/>
  <c r="U749" i="13"/>
  <c r="T749" i="13"/>
  <c r="S749" i="13"/>
  <c r="W738" i="13"/>
  <c r="V738" i="13"/>
  <c r="U738" i="13"/>
  <c r="T738" i="13"/>
  <c r="S738" i="13"/>
  <c r="B761" i="13"/>
  <c r="M33" i="13" l="1"/>
  <c r="L33" i="13"/>
  <c r="K33" i="13"/>
  <c r="J33" i="13"/>
  <c r="A2" i="54" l="1"/>
  <c r="A5" i="55"/>
  <c r="G17" i="41" l="1"/>
  <c r="A5" i="54" l="1"/>
  <c r="Q57" i="47" l="1"/>
  <c r="P57" i="47"/>
  <c r="O57" i="47"/>
  <c r="N57" i="47"/>
  <c r="M57" i="47"/>
  <c r="L57" i="47"/>
  <c r="Q56" i="47"/>
  <c r="P56" i="47"/>
  <c r="O56" i="47"/>
  <c r="N56" i="47"/>
  <c r="M56" i="47"/>
  <c r="L56" i="47"/>
  <c r="Q55" i="47"/>
  <c r="P55" i="47"/>
  <c r="O55" i="47"/>
  <c r="N55" i="47"/>
  <c r="M55" i="47"/>
  <c r="L55" i="47"/>
  <c r="Q54" i="47"/>
  <c r="P54" i="47"/>
  <c r="O54" i="47"/>
  <c r="N54" i="47"/>
  <c r="M54" i="47"/>
  <c r="L54" i="47"/>
  <c r="Q53" i="47"/>
  <c r="P53" i="47"/>
  <c r="O53" i="47"/>
  <c r="N53" i="47"/>
  <c r="M53" i="47"/>
  <c r="L53" i="47"/>
  <c r="Q52" i="47"/>
  <c r="P52" i="47"/>
  <c r="O52" i="47"/>
  <c r="N52" i="47"/>
  <c r="M52" i="47"/>
  <c r="L52" i="47"/>
  <c r="Q51" i="47"/>
  <c r="P51" i="47"/>
  <c r="O51" i="47"/>
  <c r="N51" i="47"/>
  <c r="M51" i="47"/>
  <c r="L51" i="47"/>
  <c r="Q50" i="47"/>
  <c r="P50" i="47"/>
  <c r="O50" i="47"/>
  <c r="N50" i="47"/>
  <c r="M50" i="47"/>
  <c r="L50" i="47"/>
  <c r="Q49" i="47"/>
  <c r="P49" i="47"/>
  <c r="O49" i="47"/>
  <c r="N49" i="47"/>
  <c r="M49" i="47"/>
  <c r="L49" i="47"/>
  <c r="Q48" i="47"/>
  <c r="P48" i="47"/>
  <c r="O48" i="47"/>
  <c r="N48" i="47"/>
  <c r="M48" i="47"/>
  <c r="L48" i="47"/>
  <c r="Q47" i="47"/>
  <c r="P47" i="47"/>
  <c r="O47" i="47"/>
  <c r="N47" i="47"/>
  <c r="M47" i="47"/>
  <c r="L47" i="47"/>
  <c r="Q46" i="47"/>
  <c r="P46" i="47"/>
  <c r="O46" i="47"/>
  <c r="N46" i="47"/>
  <c r="M46" i="47"/>
  <c r="L46" i="47"/>
  <c r="Q45" i="47"/>
  <c r="P45" i="47"/>
  <c r="O45" i="47"/>
  <c r="N45" i="47"/>
  <c r="M45" i="47"/>
  <c r="L45" i="47"/>
  <c r="Q44" i="47"/>
  <c r="P44" i="47"/>
  <c r="O44" i="47"/>
  <c r="N44" i="47"/>
  <c r="M44" i="47"/>
  <c r="L44" i="47"/>
  <c r="Q43" i="47"/>
  <c r="P43" i="47"/>
  <c r="O43" i="47"/>
  <c r="N43" i="47"/>
  <c r="M43" i="47"/>
  <c r="L43" i="47"/>
  <c r="Q42" i="47"/>
  <c r="P42" i="47"/>
  <c r="O42" i="47"/>
  <c r="N42" i="47"/>
  <c r="M42" i="47"/>
  <c r="L42" i="47"/>
  <c r="Q41" i="47"/>
  <c r="P41" i="47"/>
  <c r="O41" i="47"/>
  <c r="N41" i="47"/>
  <c r="M41" i="47"/>
  <c r="L41" i="47"/>
  <c r="Q40" i="47"/>
  <c r="P40" i="47"/>
  <c r="O40" i="47"/>
  <c r="N40" i="47"/>
  <c r="M40" i="47"/>
  <c r="L40" i="47"/>
  <c r="Q39" i="47"/>
  <c r="P39" i="47"/>
  <c r="O39" i="47"/>
  <c r="N39" i="47"/>
  <c r="M39" i="47"/>
  <c r="L39" i="47"/>
  <c r="Q38" i="47"/>
  <c r="P38" i="47"/>
  <c r="O38" i="47"/>
  <c r="N38" i="47"/>
  <c r="M38" i="47"/>
  <c r="L38" i="47"/>
  <c r="Q37" i="47"/>
  <c r="P37" i="47"/>
  <c r="O37" i="47"/>
  <c r="N37" i="47"/>
  <c r="M37" i="47"/>
  <c r="L37" i="47"/>
  <c r="Q36" i="47"/>
  <c r="P36" i="47"/>
  <c r="O36" i="47"/>
  <c r="N36" i="47"/>
  <c r="M36" i="47"/>
  <c r="L36" i="47"/>
  <c r="Q35" i="47"/>
  <c r="P35" i="47"/>
  <c r="O35" i="47"/>
  <c r="N35" i="47"/>
  <c r="M35" i="47"/>
  <c r="L35" i="47"/>
  <c r="Q34" i="47"/>
  <c r="P34" i="47"/>
  <c r="O34" i="47"/>
  <c r="N34" i="47"/>
  <c r="M34" i="47"/>
  <c r="L34" i="47"/>
  <c r="Q33" i="47"/>
  <c r="P33" i="47"/>
  <c r="O33" i="47"/>
  <c r="N33" i="47"/>
  <c r="M33" i="47"/>
  <c r="L33" i="47"/>
  <c r="Q32" i="47"/>
  <c r="P32" i="47"/>
  <c r="O32" i="47"/>
  <c r="N32" i="47"/>
  <c r="M32" i="47"/>
  <c r="L32" i="47"/>
  <c r="Q31" i="47"/>
  <c r="P31" i="47"/>
  <c r="O31" i="47"/>
  <c r="N31" i="47"/>
  <c r="M31" i="47"/>
  <c r="L31" i="47"/>
  <c r="Q30" i="47"/>
  <c r="P30" i="47"/>
  <c r="O30" i="47"/>
  <c r="N30" i="47"/>
  <c r="M30" i="47"/>
  <c r="L30" i="47"/>
  <c r="Q29" i="47"/>
  <c r="P29" i="47"/>
  <c r="O29" i="47"/>
  <c r="N29" i="47"/>
  <c r="M29" i="47"/>
  <c r="L29" i="47"/>
  <c r="Q28" i="47"/>
  <c r="P28" i="47"/>
  <c r="O28" i="47"/>
  <c r="N28" i="47"/>
  <c r="M28" i="47"/>
  <c r="L28" i="47"/>
  <c r="Q27" i="47"/>
  <c r="P27" i="47"/>
  <c r="O27" i="47"/>
  <c r="N27" i="47"/>
  <c r="M27" i="47"/>
  <c r="L27" i="47"/>
  <c r="Q26" i="47"/>
  <c r="P26" i="47"/>
  <c r="O26" i="47"/>
  <c r="N26" i="47"/>
  <c r="M26" i="47"/>
  <c r="L26" i="47"/>
  <c r="Q25" i="47"/>
  <c r="P25" i="47"/>
  <c r="O25" i="47"/>
  <c r="N25" i="47"/>
  <c r="M25" i="47"/>
  <c r="L25" i="47"/>
  <c r="Q24" i="47"/>
  <c r="P24" i="47"/>
  <c r="O24" i="47"/>
  <c r="N24" i="47"/>
  <c r="M24" i="47"/>
  <c r="L24" i="47"/>
  <c r="Q23" i="47"/>
  <c r="P23" i="47"/>
  <c r="O23" i="47"/>
  <c r="N23" i="47"/>
  <c r="M23" i="47"/>
  <c r="L23" i="47"/>
  <c r="Q22" i="47"/>
  <c r="P22" i="47"/>
  <c r="O22" i="47"/>
  <c r="N22" i="47"/>
  <c r="M22" i="47"/>
  <c r="L22" i="47"/>
  <c r="Q21" i="47"/>
  <c r="P21" i="47"/>
  <c r="O21" i="47"/>
  <c r="N21" i="47"/>
  <c r="M21" i="47"/>
  <c r="L21" i="47"/>
  <c r="Q20" i="47"/>
  <c r="P20" i="47"/>
  <c r="O20" i="47"/>
  <c r="N20" i="47"/>
  <c r="M20" i="47"/>
  <c r="L20" i="47"/>
  <c r="Q19" i="47"/>
  <c r="P19" i="47"/>
  <c r="O19" i="47"/>
  <c r="N19" i="47"/>
  <c r="M19" i="47"/>
  <c r="L19" i="47"/>
  <c r="Q18" i="47"/>
  <c r="P18" i="47"/>
  <c r="O18" i="47"/>
  <c r="N18" i="47"/>
  <c r="M18" i="47"/>
  <c r="L18" i="47"/>
  <c r="Q17" i="47"/>
  <c r="P17" i="47"/>
  <c r="O17" i="47"/>
  <c r="N17" i="47"/>
  <c r="M17" i="47"/>
  <c r="L17" i="47"/>
  <c r="Q16" i="47"/>
  <c r="P16" i="47"/>
  <c r="O16" i="47"/>
  <c r="N16" i="47"/>
  <c r="M16" i="47"/>
  <c r="L16" i="47"/>
  <c r="Q15" i="47"/>
  <c r="P15" i="47"/>
  <c r="O15" i="47"/>
  <c r="N15" i="47"/>
  <c r="M15" i="47"/>
  <c r="L15" i="47"/>
  <c r="Q14" i="47"/>
  <c r="P14" i="47"/>
  <c r="O14" i="47"/>
  <c r="N14" i="47"/>
  <c r="M14" i="47"/>
  <c r="L14" i="47"/>
  <c r="Q13" i="47"/>
  <c r="P13" i="47"/>
  <c r="O13" i="47"/>
  <c r="N13" i="47"/>
  <c r="M13" i="47"/>
  <c r="L13" i="47"/>
  <c r="N34" i="48"/>
  <c r="M34" i="48"/>
  <c r="L34" i="48"/>
  <c r="K34" i="48"/>
  <c r="J34" i="48"/>
  <c r="I34" i="48"/>
  <c r="H34" i="48"/>
  <c r="J75" i="41"/>
  <c r="A1588" i="13"/>
  <c r="A1587" i="13"/>
  <c r="A1586" i="13"/>
  <c r="B68" i="46" l="1"/>
  <c r="G24" i="46"/>
  <c r="H24" i="46" l="1"/>
  <c r="G26" i="46"/>
  <c r="G67" i="46" s="1"/>
  <c r="H15" i="46"/>
  <c r="I15" i="46" s="1"/>
  <c r="H17" i="46" l="1"/>
  <c r="I17" i="46"/>
  <c r="J15" i="46"/>
  <c r="K15" i="46" l="1"/>
  <c r="J17" i="46"/>
  <c r="K12" i="53"/>
  <c r="E12" i="53"/>
  <c r="I12" i="53" s="1"/>
  <c r="A2" i="53"/>
  <c r="A5" i="53"/>
  <c r="M34" i="53"/>
  <c r="K34" i="53"/>
  <c r="I34" i="53"/>
  <c r="G34" i="53"/>
  <c r="M33" i="53"/>
  <c r="K33" i="53"/>
  <c r="I33" i="53"/>
  <c r="G33" i="53"/>
  <c r="M32" i="53"/>
  <c r="K32" i="53"/>
  <c r="I32" i="53"/>
  <c r="G32" i="53"/>
  <c r="M31" i="53"/>
  <c r="K31" i="53"/>
  <c r="I31" i="53"/>
  <c r="G31" i="53"/>
  <c r="M30" i="53"/>
  <c r="K30" i="53"/>
  <c r="I30" i="53"/>
  <c r="G30" i="53"/>
  <c r="I29" i="53"/>
  <c r="G29" i="53"/>
  <c r="M28" i="53"/>
  <c r="K28" i="53"/>
  <c r="I28" i="53"/>
  <c r="G28" i="53"/>
  <c r="M27" i="53"/>
  <c r="K27" i="53"/>
  <c r="I27" i="53"/>
  <c r="G27" i="53"/>
  <c r="M26" i="53"/>
  <c r="K26" i="53"/>
  <c r="I26" i="53"/>
  <c r="G26" i="53"/>
  <c r="M25" i="53"/>
  <c r="K25" i="53"/>
  <c r="I25" i="53"/>
  <c r="G25" i="53"/>
  <c r="M24" i="53"/>
  <c r="K24" i="53"/>
  <c r="I24" i="53"/>
  <c r="G24" i="53"/>
  <c r="M23" i="53"/>
  <c r="K23" i="53"/>
  <c r="I23" i="53"/>
  <c r="G23" i="53"/>
  <c r="M22" i="53"/>
  <c r="K22" i="53"/>
  <c r="I22" i="53"/>
  <c r="G22" i="53"/>
  <c r="M21" i="53"/>
  <c r="K21" i="53"/>
  <c r="I21" i="53"/>
  <c r="G21" i="53"/>
  <c r="M20" i="53"/>
  <c r="K20" i="53"/>
  <c r="I20" i="53"/>
  <c r="G20" i="53"/>
  <c r="M19" i="53"/>
  <c r="K19" i="53"/>
  <c r="I19" i="53"/>
  <c r="G19" i="53"/>
  <c r="M18" i="53"/>
  <c r="K18" i="53"/>
  <c r="I18" i="53"/>
  <c r="G18" i="53"/>
  <c r="M17" i="53"/>
  <c r="K17" i="53"/>
  <c r="I17" i="53"/>
  <c r="G17" i="53"/>
  <c r="M16" i="53"/>
  <c r="K16" i="53"/>
  <c r="I16" i="53"/>
  <c r="G16" i="53"/>
  <c r="H15" i="53"/>
  <c r="I15" i="53" s="1"/>
  <c r="I35" i="53" s="1"/>
  <c r="F15" i="53"/>
  <c r="G15" i="53" s="1"/>
  <c r="G35" i="53" s="1"/>
  <c r="B58" i="41"/>
  <c r="A58" i="41"/>
  <c r="B57" i="41"/>
  <c r="A57" i="41"/>
  <c r="B56" i="41"/>
  <c r="A56" i="41"/>
  <c r="B55" i="41"/>
  <c r="A55" i="41"/>
  <c r="B54" i="41"/>
  <c r="A54" i="41"/>
  <c r="B53" i="41"/>
  <c r="A53" i="41"/>
  <c r="B52" i="41"/>
  <c r="A52" i="41"/>
  <c r="B51" i="41"/>
  <c r="A51" i="41"/>
  <c r="B50" i="41"/>
  <c r="A50" i="41"/>
  <c r="B49" i="41"/>
  <c r="A49" i="41"/>
  <c r="A88" i="41"/>
  <c r="A87" i="41"/>
  <c r="A86" i="41"/>
  <c r="A85" i="41"/>
  <c r="A84" i="41"/>
  <c r="A83" i="41"/>
  <c r="A82" i="41"/>
  <c r="A81" i="41"/>
  <c r="A80" i="41"/>
  <c r="A79" i="41"/>
  <c r="B88" i="41"/>
  <c r="B87" i="41"/>
  <c r="B86" i="41"/>
  <c r="B85" i="41"/>
  <c r="B84" i="41"/>
  <c r="B83" i="41"/>
  <c r="B82" i="41"/>
  <c r="B81" i="41"/>
  <c r="B80" i="41"/>
  <c r="B79" i="41"/>
  <c r="M12" i="53" l="1"/>
  <c r="G12" i="53"/>
  <c r="L15" i="46"/>
  <c r="K17" i="46"/>
  <c r="I36" i="53"/>
  <c r="I37" i="53" s="1"/>
  <c r="I38" i="53" s="1"/>
  <c r="G36" i="53"/>
  <c r="G37" i="53" s="1"/>
  <c r="G38" i="53" s="1"/>
  <c r="G55" i="34"/>
  <c r="G54" i="34"/>
  <c r="G43" i="48"/>
  <c r="G42" i="48"/>
  <c r="G41" i="48"/>
  <c r="G40" i="48"/>
  <c r="G39" i="48"/>
  <c r="G38" i="48"/>
  <c r="G37" i="48"/>
  <c r="G36" i="48"/>
  <c r="H44" i="48"/>
  <c r="G56" i="34" l="1"/>
  <c r="M15" i="46"/>
  <c r="M17" i="46" s="1"/>
  <c r="L17" i="46"/>
  <c r="I80" i="46"/>
  <c r="J80" i="46"/>
  <c r="K80" i="46"/>
  <c r="L80" i="46"/>
  <c r="M80" i="46"/>
  <c r="I79" i="46"/>
  <c r="J79" i="46"/>
  <c r="K79" i="46"/>
  <c r="L79" i="46"/>
  <c r="M79" i="46"/>
  <c r="H79" i="46"/>
  <c r="B51" i="38" s="1"/>
  <c r="I59" i="46"/>
  <c r="J59" i="46"/>
  <c r="K59" i="46"/>
  <c r="L59" i="46"/>
  <c r="M59" i="46"/>
  <c r="H59" i="46"/>
  <c r="I60" i="46"/>
  <c r="J60" i="46"/>
  <c r="K60" i="46"/>
  <c r="L60" i="46"/>
  <c r="M60" i="46"/>
  <c r="H60" i="46"/>
  <c r="I73" i="46"/>
  <c r="G37" i="18" s="1"/>
  <c r="J73" i="46"/>
  <c r="H37" i="18" s="1"/>
  <c r="K73" i="46"/>
  <c r="I37" i="18" s="1"/>
  <c r="L73" i="46"/>
  <c r="J37" i="18" s="1"/>
  <c r="M73" i="46"/>
  <c r="K37" i="18" s="1"/>
  <c r="H73" i="46"/>
  <c r="F37" i="18" s="1"/>
  <c r="I24" i="46" l="1"/>
  <c r="J24" i="46" l="1"/>
  <c r="K59" i="47"/>
  <c r="E70" i="18" s="1"/>
  <c r="J57" i="47"/>
  <c r="J56" i="47"/>
  <c r="J55" i="47"/>
  <c r="J54" i="47"/>
  <c r="J53" i="47"/>
  <c r="J52" i="47"/>
  <c r="J51" i="47"/>
  <c r="J50" i="47"/>
  <c r="J49" i="47"/>
  <c r="J48" i="47"/>
  <c r="J47" i="47"/>
  <c r="J46" i="47"/>
  <c r="J45" i="47"/>
  <c r="J44" i="47"/>
  <c r="J43" i="47"/>
  <c r="J42" i="47"/>
  <c r="J41" i="47"/>
  <c r="J40" i="47"/>
  <c r="J39" i="47"/>
  <c r="J38" i="47"/>
  <c r="J14" i="47"/>
  <c r="J13" i="47"/>
  <c r="A1237" i="13"/>
  <c r="E24" i="39"/>
  <c r="E23" i="39"/>
  <c r="E50" i="39"/>
  <c r="E84" i="18" l="1"/>
  <c r="K24" i="46"/>
  <c r="G6" i="34"/>
  <c r="L24" i="46" l="1"/>
  <c r="D27" i="41"/>
  <c r="D26" i="41"/>
  <c r="D25" i="41"/>
  <c r="D24" i="41"/>
  <c r="D23" i="41"/>
  <c r="D22" i="41"/>
  <c r="D21" i="41"/>
  <c r="D20" i="41"/>
  <c r="D19" i="41"/>
  <c r="D18" i="41"/>
  <c r="D17" i="41"/>
  <c r="D16" i="41"/>
  <c r="D15" i="41"/>
  <c r="D13" i="41"/>
  <c r="A755" i="13"/>
  <c r="A754" i="13"/>
  <c r="A753" i="13"/>
  <c r="A752" i="13"/>
  <c r="A751" i="13"/>
  <c r="A750" i="13"/>
  <c r="B749" i="13"/>
  <c r="A749" i="13"/>
  <c r="A738" i="13"/>
  <c r="A748" i="13"/>
  <c r="A747" i="13"/>
  <c r="A746" i="13"/>
  <c r="A745" i="13"/>
  <c r="A744" i="13"/>
  <c r="A743" i="13"/>
  <c r="A742" i="13"/>
  <c r="A741" i="13"/>
  <c r="A740" i="13"/>
  <c r="A739" i="13"/>
  <c r="A585" i="13"/>
  <c r="A604" i="13"/>
  <c r="A603" i="13"/>
  <c r="A602" i="13"/>
  <c r="A601" i="13"/>
  <c r="A600" i="13"/>
  <c r="A599" i="13"/>
  <c r="A598" i="13"/>
  <c r="A597" i="13"/>
  <c r="A596" i="13"/>
  <c r="A595" i="13"/>
  <c r="A594" i="13"/>
  <c r="A593" i="13"/>
  <c r="A592" i="13"/>
  <c r="A591" i="13"/>
  <c r="A590" i="13"/>
  <c r="A589" i="13"/>
  <c r="A588" i="13"/>
  <c r="A587" i="13"/>
  <c r="A586" i="13"/>
  <c r="A605" i="13"/>
  <c r="A673" i="13"/>
  <c r="A672" i="13"/>
  <c r="A671" i="13"/>
  <c r="A670" i="13"/>
  <c r="A669" i="13"/>
  <c r="A668" i="13"/>
  <c r="A667" i="13"/>
  <c r="A666" i="13"/>
  <c r="A665" i="13"/>
  <c r="A664" i="13"/>
  <c r="A663" i="13"/>
  <c r="A662" i="13"/>
  <c r="A661" i="13"/>
  <c r="A660" i="13"/>
  <c r="A659" i="13"/>
  <c r="A658" i="13"/>
  <c r="A657" i="13"/>
  <c r="A656" i="13"/>
  <c r="A655" i="13"/>
  <c r="A654" i="13"/>
  <c r="A653" i="13"/>
  <c r="A652" i="13"/>
  <c r="A651" i="13"/>
  <c r="A650" i="13"/>
  <c r="A649" i="13"/>
  <c r="A648" i="13"/>
  <c r="A647" i="13"/>
  <c r="A646" i="13"/>
  <c r="A645" i="13"/>
  <c r="A644" i="13"/>
  <c r="A643" i="13"/>
  <c r="A642" i="13"/>
  <c r="A641" i="13"/>
  <c r="A640" i="13"/>
  <c r="A639" i="13"/>
  <c r="A638" i="13"/>
  <c r="A637" i="13"/>
  <c r="A636" i="13"/>
  <c r="A635" i="13"/>
  <c r="A634" i="13"/>
  <c r="A633" i="13"/>
  <c r="A632" i="13"/>
  <c r="A631" i="13"/>
  <c r="A630" i="13"/>
  <c r="A629" i="13"/>
  <c r="A628" i="13"/>
  <c r="A627" i="13"/>
  <c r="A626" i="13"/>
  <c r="A625" i="13"/>
  <c r="A624" i="13"/>
  <c r="A623" i="13"/>
  <c r="A622" i="13"/>
  <c r="A621" i="13"/>
  <c r="A620" i="13"/>
  <c r="A619" i="13"/>
  <c r="A618" i="13"/>
  <c r="A617" i="13"/>
  <c r="A616" i="13"/>
  <c r="A615" i="13"/>
  <c r="A614" i="13"/>
  <c r="A613" i="13"/>
  <c r="A612" i="13"/>
  <c r="A611" i="13"/>
  <c r="A610" i="13"/>
  <c r="A609" i="13"/>
  <c r="B596" i="13"/>
  <c r="B620" i="13"/>
  <c r="A674" i="13"/>
  <c r="A1027" i="13"/>
  <c r="A1026" i="13"/>
  <c r="A1025" i="13"/>
  <c r="A1024" i="13"/>
  <c r="A1023" i="13"/>
  <c r="A1022" i="13"/>
  <c r="A1021" i="13"/>
  <c r="A1020" i="13"/>
  <c r="A1019" i="13"/>
  <c r="A1018" i="13"/>
  <c r="A1017" i="13"/>
  <c r="A1016" i="13"/>
  <c r="A1015" i="13"/>
  <c r="A1014" i="13"/>
  <c r="A1013" i="13"/>
  <c r="A1012" i="13"/>
  <c r="A1011" i="13"/>
  <c r="A1010" i="13"/>
  <c r="A1009" i="13"/>
  <c r="A1008" i="13"/>
  <c r="A1007" i="13"/>
  <c r="A1006" i="13"/>
  <c r="A1005" i="13"/>
  <c r="A1004" i="13"/>
  <c r="A1003" i="13"/>
  <c r="A1002" i="13"/>
  <c r="A1001" i="13"/>
  <c r="A1000" i="13"/>
  <c r="A999" i="13"/>
  <c r="A998" i="13"/>
  <c r="A997" i="13"/>
  <c r="A996" i="13"/>
  <c r="A995" i="13"/>
  <c r="A994" i="13"/>
  <c r="A993" i="13"/>
  <c r="A992" i="13"/>
  <c r="A991" i="13"/>
  <c r="A990" i="13"/>
  <c r="A989" i="13"/>
  <c r="A988" i="13"/>
  <c r="A987" i="13"/>
  <c r="A986" i="13"/>
  <c r="A985" i="13"/>
  <c r="A984" i="13"/>
  <c r="A983" i="13"/>
  <c r="A982" i="13"/>
  <c r="A981" i="13"/>
  <c r="A980" i="13"/>
  <c r="A979" i="13"/>
  <c r="A978" i="13"/>
  <c r="A977" i="13"/>
  <c r="A976" i="13"/>
  <c r="A975" i="13"/>
  <c r="A974" i="13"/>
  <c r="A973" i="13"/>
  <c r="A972" i="13"/>
  <c r="A971" i="13"/>
  <c r="A970" i="13"/>
  <c r="A969" i="13"/>
  <c r="A968" i="13"/>
  <c r="A967" i="13"/>
  <c r="A966" i="13"/>
  <c r="A965" i="13"/>
  <c r="A964" i="13"/>
  <c r="A963" i="13"/>
  <c r="A962" i="13"/>
  <c r="A961" i="13"/>
  <c r="A960" i="13"/>
  <c r="A959" i="13"/>
  <c r="A958" i="13"/>
  <c r="A957" i="13"/>
  <c r="A956" i="13"/>
  <c r="A955" i="13"/>
  <c r="A954" i="13"/>
  <c r="A953" i="13"/>
  <c r="A952" i="13"/>
  <c r="A951" i="13"/>
  <c r="A950" i="13"/>
  <c r="A949" i="13"/>
  <c r="A948" i="13"/>
  <c r="A947" i="13"/>
  <c r="A946" i="13"/>
  <c r="A945" i="13"/>
  <c r="A944" i="13"/>
  <c r="A943" i="13"/>
  <c r="A942" i="13"/>
  <c r="A941" i="13"/>
  <c r="A940" i="13"/>
  <c r="A939" i="13"/>
  <c r="A938" i="13"/>
  <c r="A937" i="13"/>
  <c r="A936" i="13"/>
  <c r="A935" i="13"/>
  <c r="A934" i="13"/>
  <c r="A933" i="13"/>
  <c r="A932" i="13"/>
  <c r="A931" i="13"/>
  <c r="A930" i="13"/>
  <c r="A929" i="13"/>
  <c r="A928" i="13"/>
  <c r="A927" i="13"/>
  <c r="A926" i="13"/>
  <c r="A925" i="13"/>
  <c r="A924" i="13"/>
  <c r="A923" i="13"/>
  <c r="A922" i="13"/>
  <c r="A921" i="13"/>
  <c r="A920" i="13"/>
  <c r="A919" i="13"/>
  <c r="A918" i="13"/>
  <c r="A917" i="13"/>
  <c r="A916" i="13"/>
  <c r="A915" i="13"/>
  <c r="A914" i="13"/>
  <c r="A913" i="13"/>
  <c r="A912" i="13"/>
  <c r="A911" i="13"/>
  <c r="A910" i="13"/>
  <c r="A909" i="13"/>
  <c r="A908" i="13"/>
  <c r="A907" i="13"/>
  <c r="A906" i="13"/>
  <c r="A905" i="13"/>
  <c r="A904" i="13"/>
  <c r="A903" i="13"/>
  <c r="A902" i="13"/>
  <c r="A901" i="13"/>
  <c r="A900" i="13"/>
  <c r="A899" i="13"/>
  <c r="A898" i="13"/>
  <c r="A897" i="13"/>
  <c r="A896" i="13"/>
  <c r="A895" i="13"/>
  <c r="A894" i="13"/>
  <c r="A893" i="13"/>
  <c r="A892" i="13"/>
  <c r="A891" i="13"/>
  <c r="A890" i="13"/>
  <c r="A889" i="13"/>
  <c r="A888" i="13"/>
  <c r="A887" i="13"/>
  <c r="A886" i="13"/>
  <c r="A885" i="13"/>
  <c r="A884" i="13"/>
  <c r="A883" i="13"/>
  <c r="A882" i="13"/>
  <c r="A881" i="13"/>
  <c r="A880" i="13"/>
  <c r="A879" i="13"/>
  <c r="A878" i="13"/>
  <c r="A877" i="13"/>
  <c r="A876" i="13"/>
  <c r="A875" i="13"/>
  <c r="A874" i="13"/>
  <c r="A873" i="13"/>
  <c r="A872" i="13"/>
  <c r="A871" i="13"/>
  <c r="A870" i="13"/>
  <c r="A869" i="13"/>
  <c r="A868" i="13"/>
  <c r="A867" i="13"/>
  <c r="A866" i="13"/>
  <c r="A865" i="13"/>
  <c r="A864" i="13"/>
  <c r="A863" i="13"/>
  <c r="A862" i="13"/>
  <c r="A861" i="13"/>
  <c r="A860" i="13"/>
  <c r="A859" i="13"/>
  <c r="A858" i="13"/>
  <c r="A857" i="13"/>
  <c r="A856" i="13"/>
  <c r="A855" i="13"/>
  <c r="A854" i="13"/>
  <c r="A853" i="13"/>
  <c r="A852" i="13"/>
  <c r="A851" i="13"/>
  <c r="A850" i="13"/>
  <c r="A849" i="13"/>
  <c r="A848" i="13"/>
  <c r="A847" i="13"/>
  <c r="A846" i="13"/>
  <c r="A845" i="13"/>
  <c r="A844" i="13"/>
  <c r="A843" i="13"/>
  <c r="A842" i="13"/>
  <c r="A841" i="13"/>
  <c r="A840" i="13"/>
  <c r="A839" i="13"/>
  <c r="A838" i="13"/>
  <c r="A837" i="13"/>
  <c r="A836" i="13"/>
  <c r="A835" i="13"/>
  <c r="A834" i="13"/>
  <c r="A833" i="13"/>
  <c r="A832" i="13"/>
  <c r="A831" i="13"/>
  <c r="A830" i="13"/>
  <c r="A829" i="13"/>
  <c r="A827" i="13"/>
  <c r="A826" i="13"/>
  <c r="A825" i="13"/>
  <c r="A824" i="13"/>
  <c r="A823" i="13"/>
  <c r="A822" i="13"/>
  <c r="A821" i="13"/>
  <c r="A820" i="13"/>
  <c r="A819" i="13"/>
  <c r="A818" i="13"/>
  <c r="A817" i="13"/>
  <c r="A816" i="13"/>
  <c r="A815" i="13"/>
  <c r="A814" i="13"/>
  <c r="A813" i="13"/>
  <c r="A812" i="13"/>
  <c r="A811" i="13"/>
  <c r="A810" i="13"/>
  <c r="A809" i="13"/>
  <c r="A808" i="13"/>
  <c r="A807" i="13"/>
  <c r="A806" i="13"/>
  <c r="A805" i="13"/>
  <c r="A804" i="13"/>
  <c r="A803" i="13"/>
  <c r="A802" i="13"/>
  <c r="A801" i="13"/>
  <c r="A800" i="13"/>
  <c r="A799" i="13"/>
  <c r="A798" i="13"/>
  <c r="A797" i="13"/>
  <c r="A796" i="13"/>
  <c r="A795" i="13"/>
  <c r="A794" i="13"/>
  <c r="A793" i="13"/>
  <c r="A792" i="13"/>
  <c r="A791" i="13"/>
  <c r="A790" i="13"/>
  <c r="A789" i="13"/>
  <c r="A788" i="13"/>
  <c r="A787" i="13"/>
  <c r="A786" i="13"/>
  <c r="A785" i="13"/>
  <c r="A784" i="13"/>
  <c r="A783" i="13"/>
  <c r="A782" i="13"/>
  <c r="A781" i="13"/>
  <c r="A780" i="13"/>
  <c r="A779" i="13"/>
  <c r="A778" i="13"/>
  <c r="A777" i="13"/>
  <c r="A776" i="13"/>
  <c r="A775" i="13"/>
  <c r="A774" i="13"/>
  <c r="A773" i="13"/>
  <c r="A772" i="13"/>
  <c r="A771" i="13"/>
  <c r="A767" i="13"/>
  <c r="A766" i="13"/>
  <c r="A765" i="13"/>
  <c r="A764" i="13"/>
  <c r="A763" i="13"/>
  <c r="A762" i="13"/>
  <c r="A761" i="13"/>
  <c r="A759" i="13"/>
  <c r="A758" i="13"/>
  <c r="A757" i="13"/>
  <c r="A756" i="13"/>
  <c r="A736" i="13"/>
  <c r="A735" i="13"/>
  <c r="A734" i="13"/>
  <c r="A733" i="13"/>
  <c r="A732" i="13"/>
  <c r="A731" i="13"/>
  <c r="A730" i="13"/>
  <c r="A729" i="13"/>
  <c r="A728" i="13"/>
  <c r="A727" i="13"/>
  <c r="A726" i="13"/>
  <c r="A725" i="13"/>
  <c r="A724" i="13"/>
  <c r="A723" i="13"/>
  <c r="A722" i="13"/>
  <c r="A721" i="13"/>
  <c r="A720" i="13"/>
  <c r="A828" i="13"/>
  <c r="B1216" i="13"/>
  <c r="B1215" i="13"/>
  <c r="B1214" i="13"/>
  <c r="B1213" i="13"/>
  <c r="B1211" i="13"/>
  <c r="B1210" i="13"/>
  <c r="B1209" i="13"/>
  <c r="B1208" i="13"/>
  <c r="A1236" i="13"/>
  <c r="A1233" i="13"/>
  <c r="A1232" i="13"/>
  <c r="A1231" i="13"/>
  <c r="A1230" i="13"/>
  <c r="A1229" i="13"/>
  <c r="A1228" i="13"/>
  <c r="A1227" i="13"/>
  <c r="A1226" i="13"/>
  <c r="A1224" i="13"/>
  <c r="A1216" i="13"/>
  <c r="A1215" i="13"/>
  <c r="A1214" i="13"/>
  <c r="A1213" i="13"/>
  <c r="A1212" i="13"/>
  <c r="A1211" i="13"/>
  <c r="A1210" i="13"/>
  <c r="A1209" i="13"/>
  <c r="A1208" i="13"/>
  <c r="A1207" i="13"/>
  <c r="A1206" i="13"/>
  <c r="A1205" i="13"/>
  <c r="A1204" i="13"/>
  <c r="A1203" i="13"/>
  <c r="A1202" i="13"/>
  <c r="A1201" i="13"/>
  <c r="A1200" i="13"/>
  <c r="A1199" i="13"/>
  <c r="B1197" i="13"/>
  <c r="B1196" i="13"/>
  <c r="A1198" i="13"/>
  <c r="A1197" i="13"/>
  <c r="A1196" i="13"/>
  <c r="A1195" i="13"/>
  <c r="A1194" i="13"/>
  <c r="B1245" i="13"/>
  <c r="B1244" i="13"/>
  <c r="B1243" i="13"/>
  <c r="B1251" i="13"/>
  <c r="B1250" i="13"/>
  <c r="B1249" i="13"/>
  <c r="B1248" i="13"/>
  <c r="B1247" i="13"/>
  <c r="B1257" i="13"/>
  <c r="B1256" i="13"/>
  <c r="B1255" i="13"/>
  <c r="B1254" i="13"/>
  <c r="B1253" i="13"/>
  <c r="B1263" i="13"/>
  <c r="B1262" i="13"/>
  <c r="B1261" i="13"/>
  <c r="B1260" i="13"/>
  <c r="B1259" i="13"/>
  <c r="A1264" i="13"/>
  <c r="A1263" i="13"/>
  <c r="A1262" i="13"/>
  <c r="A1261" i="13"/>
  <c r="A1260" i="13"/>
  <c r="A1259" i="13"/>
  <c r="A1258" i="13"/>
  <c r="A1257" i="13"/>
  <c r="A1256" i="13"/>
  <c r="A1255" i="13"/>
  <c r="A1254" i="13"/>
  <c r="A1253" i="13"/>
  <c r="A1252" i="13"/>
  <c r="A1251" i="13"/>
  <c r="A1250" i="13"/>
  <c r="A1249" i="13"/>
  <c r="A1248" i="13"/>
  <c r="A1247" i="13"/>
  <c r="A1246" i="13"/>
  <c r="A1245" i="13"/>
  <c r="A1244" i="13"/>
  <c r="A1243" i="13"/>
  <c r="A1270" i="13"/>
  <c r="A1269" i="13"/>
  <c r="A1268" i="13"/>
  <c r="A1267" i="13"/>
  <c r="A1266" i="13"/>
  <c r="A1265" i="13"/>
  <c r="B1269" i="13"/>
  <c r="B1268" i="13"/>
  <c r="B1267" i="13"/>
  <c r="B1266" i="13"/>
  <c r="B1265" i="13"/>
  <c r="B1275" i="13"/>
  <c r="B1274" i="13"/>
  <c r="B1273" i="13"/>
  <c r="B1272" i="13"/>
  <c r="B1271" i="13"/>
  <c r="B1281" i="13"/>
  <c r="B1280" i="13"/>
  <c r="B1279" i="13"/>
  <c r="B1278" i="13"/>
  <c r="B1277" i="13"/>
  <c r="B1287" i="13"/>
  <c r="B1286" i="13"/>
  <c r="B1285" i="13"/>
  <c r="B1284" i="13"/>
  <c r="B1283" i="13"/>
  <c r="B1294" i="13"/>
  <c r="B1293" i="13"/>
  <c r="B1292" i="13"/>
  <c r="B1291" i="13"/>
  <c r="B1290" i="13"/>
  <c r="B1289" i="13"/>
  <c r="B1296" i="13"/>
  <c r="M620" i="13"/>
  <c r="L620" i="13"/>
  <c r="K620" i="13"/>
  <c r="J620" i="13"/>
  <c r="I620" i="13"/>
  <c r="H620" i="13"/>
  <c r="G620" i="13"/>
  <c r="D12" i="41" l="1"/>
  <c r="M24" i="46"/>
  <c r="D28" i="41"/>
  <c r="A1179" i="13"/>
  <c r="A1178" i="13"/>
  <c r="A1177" i="13"/>
  <c r="A1176" i="13"/>
  <c r="A1175" i="13"/>
  <c r="A1174" i="13"/>
  <c r="A1173" i="13"/>
  <c r="A1172" i="13"/>
  <c r="A1171" i="13"/>
  <c r="A1170" i="13"/>
  <c r="A1169" i="13"/>
  <c r="A1168" i="13"/>
  <c r="A1167" i="13"/>
  <c r="A1166" i="13"/>
  <c r="A1165" i="13"/>
  <c r="A1164" i="13"/>
  <c r="A1163" i="13"/>
  <c r="A1162" i="13"/>
  <c r="A1161" i="13"/>
  <c r="A1160" i="13"/>
  <c r="A1159" i="13"/>
  <c r="A1158" i="13"/>
  <c r="A1157" i="13"/>
  <c r="A1156" i="13"/>
  <c r="A1155" i="13"/>
  <c r="A1154" i="13"/>
  <c r="A1153" i="13"/>
  <c r="A1152" i="13"/>
  <c r="A1151" i="13"/>
  <c r="A1150" i="13"/>
  <c r="A1149" i="13"/>
  <c r="A1148" i="13"/>
  <c r="A1147" i="13"/>
  <c r="A1146" i="13"/>
  <c r="A1145" i="13"/>
  <c r="A1144" i="13"/>
  <c r="A1143" i="13"/>
  <c r="A1142" i="13"/>
  <c r="A1141" i="13"/>
  <c r="A1140" i="13"/>
  <c r="A1139" i="13"/>
  <c r="A1138" i="13"/>
  <c r="A1137" i="13"/>
  <c r="A1136" i="13"/>
  <c r="A1135" i="13"/>
  <c r="A1134" i="13"/>
  <c r="A1133" i="13"/>
  <c r="A1132" i="13"/>
  <c r="A1131" i="13"/>
  <c r="A1130" i="13"/>
  <c r="A1129" i="13"/>
  <c r="A1128" i="13"/>
  <c r="A1127" i="13"/>
  <c r="A1126" i="13"/>
  <c r="A1125" i="13"/>
  <c r="A1124" i="13"/>
  <c r="A1123" i="13"/>
  <c r="A1122" i="13"/>
  <c r="A1121" i="13"/>
  <c r="A1120" i="13"/>
  <c r="A1119" i="13"/>
  <c r="A1118" i="13"/>
  <c r="A1117" i="13"/>
  <c r="A1116" i="13"/>
  <c r="A1115" i="13"/>
  <c r="A1114" i="13"/>
  <c r="A1113" i="13"/>
  <c r="A1112" i="13"/>
  <c r="A1111" i="13"/>
  <c r="A1110" i="13"/>
  <c r="A1109" i="13"/>
  <c r="A1108" i="13"/>
  <c r="A1107" i="13"/>
  <c r="A1106" i="13"/>
  <c r="A1105" i="13"/>
  <c r="A1104" i="13"/>
  <c r="A1103" i="13"/>
  <c r="A1102" i="13"/>
  <c r="A1101" i="13"/>
  <c r="A1100" i="13"/>
  <c r="A1099" i="13"/>
  <c r="A1098" i="13"/>
  <c r="A1097" i="13"/>
  <c r="A1096" i="13"/>
  <c r="A1095" i="13"/>
  <c r="A1094" i="13"/>
  <c r="A1093" i="13"/>
  <c r="A1092" i="13"/>
  <c r="A1091" i="13"/>
  <c r="A1090" i="13"/>
  <c r="A1089" i="13"/>
  <c r="A1088" i="13"/>
  <c r="A1087" i="13"/>
  <c r="A1086" i="13"/>
  <c r="A1085" i="13"/>
  <c r="A1083" i="13"/>
  <c r="A1084" i="13"/>
  <c r="A567" i="13"/>
  <c r="A566" i="13"/>
  <c r="A565" i="13"/>
  <c r="A564" i="13"/>
  <c r="A563" i="13"/>
  <c r="A562" i="13"/>
  <c r="A561" i="13"/>
  <c r="A560" i="13"/>
  <c r="A559" i="13"/>
  <c r="A558" i="13"/>
  <c r="A557" i="13"/>
  <c r="A556" i="13"/>
  <c r="A555" i="13"/>
  <c r="A554" i="13"/>
  <c r="A553" i="13"/>
  <c r="A552" i="13"/>
  <c r="A551" i="13"/>
  <c r="A550" i="13"/>
  <c r="A549" i="13"/>
  <c r="A548" i="13"/>
  <c r="A547" i="13"/>
  <c r="A546" i="13"/>
  <c r="A545" i="13"/>
  <c r="A544" i="13"/>
  <c r="A543" i="13"/>
  <c r="A542" i="13"/>
  <c r="A541" i="13"/>
  <c r="A540" i="13"/>
  <c r="A539" i="13"/>
  <c r="A538" i="13"/>
  <c r="A537" i="13"/>
  <c r="A536" i="13"/>
  <c r="A535" i="13"/>
  <c r="A534" i="13"/>
  <c r="A533" i="13"/>
  <c r="A532" i="13"/>
  <c r="A531" i="13"/>
  <c r="A530" i="13"/>
  <c r="A529" i="13"/>
  <c r="A528" i="13"/>
  <c r="A527" i="13"/>
  <c r="A526" i="13"/>
  <c r="A525" i="13"/>
  <c r="A524" i="13"/>
  <c r="A523" i="13"/>
  <c r="A522" i="13"/>
  <c r="A521" i="13"/>
  <c r="A520" i="13"/>
  <c r="A519" i="13"/>
  <c r="A518" i="13"/>
  <c r="A517" i="13"/>
  <c r="A516" i="13"/>
  <c r="A515" i="13"/>
  <c r="A514" i="13"/>
  <c r="A513" i="13"/>
  <c r="A512" i="13"/>
  <c r="A511" i="13"/>
  <c r="A510" i="13"/>
  <c r="A509" i="13"/>
  <c r="A508" i="13"/>
  <c r="A507" i="13"/>
  <c r="A506" i="13"/>
  <c r="A505" i="13"/>
  <c r="A504" i="13"/>
  <c r="A503" i="13"/>
  <c r="A502" i="13"/>
  <c r="A501" i="13"/>
  <c r="A500" i="13"/>
  <c r="A499" i="13"/>
  <c r="A498" i="13"/>
  <c r="A497" i="13"/>
  <c r="A496" i="13"/>
  <c r="A495" i="13"/>
  <c r="A494" i="13"/>
  <c r="A493" i="13"/>
  <c r="A492" i="13"/>
  <c r="A491" i="13"/>
  <c r="A490" i="13"/>
  <c r="A489" i="13"/>
  <c r="A488" i="13"/>
  <c r="A487" i="13"/>
  <c r="A486" i="13"/>
  <c r="A485" i="13"/>
  <c r="A484" i="13"/>
  <c r="A483" i="13"/>
  <c r="A482" i="13"/>
  <c r="A481" i="13"/>
  <c r="A480" i="13"/>
  <c r="A479" i="13"/>
  <c r="A478" i="13"/>
  <c r="A477" i="13"/>
  <c r="A476" i="13"/>
  <c r="A475" i="13"/>
  <c r="A474" i="13"/>
  <c r="A473" i="13"/>
  <c r="A472" i="13"/>
  <c r="A471" i="13"/>
  <c r="A470" i="13"/>
  <c r="A469" i="13"/>
  <c r="A467" i="13"/>
  <c r="A466" i="13"/>
  <c r="A468" i="13"/>
  <c r="B470" i="13"/>
  <c r="B469" i="13"/>
  <c r="B468" i="13"/>
  <c r="B476" i="13"/>
  <c r="B475" i="13"/>
  <c r="B474" i="13"/>
  <c r="B473" i="13"/>
  <c r="B472" i="13"/>
  <c r="B482" i="13"/>
  <c r="B481" i="13"/>
  <c r="B480" i="13"/>
  <c r="B479" i="13"/>
  <c r="B478" i="13"/>
  <c r="B488" i="13"/>
  <c r="B487" i="13"/>
  <c r="B486" i="13"/>
  <c r="B485" i="13"/>
  <c r="B484" i="13"/>
  <c r="B494" i="13"/>
  <c r="B493" i="13"/>
  <c r="B492" i="13"/>
  <c r="B491" i="13"/>
  <c r="B490" i="13"/>
  <c r="B500" i="13"/>
  <c r="B499" i="13"/>
  <c r="B498" i="13"/>
  <c r="B497" i="13"/>
  <c r="B496" i="13"/>
  <c r="B506" i="13"/>
  <c r="B505" i="13"/>
  <c r="B504" i="13"/>
  <c r="B503" i="13"/>
  <c r="B502" i="13"/>
  <c r="B512" i="13"/>
  <c r="B511" i="13"/>
  <c r="B510" i="13"/>
  <c r="B509" i="13"/>
  <c r="B508" i="13"/>
  <c r="B519" i="13"/>
  <c r="B518" i="13"/>
  <c r="B517" i="13"/>
  <c r="B516" i="13"/>
  <c r="B515" i="13"/>
  <c r="B514" i="13"/>
  <c r="B521" i="13"/>
  <c r="A417" i="13"/>
  <c r="A416" i="13"/>
  <c r="A415" i="13"/>
  <c r="A414" i="13"/>
  <c r="A413" i="13"/>
  <c r="A412" i="13"/>
  <c r="A411" i="13"/>
  <c r="A410" i="13"/>
  <c r="A409" i="13"/>
  <c r="A408" i="13"/>
  <c r="A407" i="13"/>
  <c r="A406" i="13"/>
  <c r="A405" i="13"/>
  <c r="A404" i="13"/>
  <c r="A403" i="13"/>
  <c r="A402" i="13"/>
  <c r="A401"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B325" i="13"/>
  <c r="B623" i="13" s="1"/>
  <c r="B324" i="13"/>
  <c r="B622" i="13" s="1"/>
  <c r="B323" i="13"/>
  <c r="B621" i="13" s="1"/>
  <c r="B331" i="13"/>
  <c r="B629" i="13" s="1"/>
  <c r="B330" i="13"/>
  <c r="B628" i="13" s="1"/>
  <c r="B329" i="13"/>
  <c r="B627" i="13" s="1"/>
  <c r="B328" i="13"/>
  <c r="B626" i="13" s="1"/>
  <c r="B327" i="13"/>
  <c r="B625" i="13" s="1"/>
  <c r="B337" i="13"/>
  <c r="B635" i="13" s="1"/>
  <c r="B336" i="13"/>
  <c r="B634" i="13" s="1"/>
  <c r="B335" i="13"/>
  <c r="B633" i="13" s="1"/>
  <c r="B334" i="13"/>
  <c r="B632" i="13" s="1"/>
  <c r="B333" i="13"/>
  <c r="B631" i="13" s="1"/>
  <c r="B343" i="13"/>
  <c r="B641" i="13" s="1"/>
  <c r="B342" i="13"/>
  <c r="B640" i="13" s="1"/>
  <c r="B341" i="13"/>
  <c r="B639" i="13" s="1"/>
  <c r="B340" i="13"/>
  <c r="B638" i="13" s="1"/>
  <c r="B339" i="13"/>
  <c r="B637" i="13" s="1"/>
  <c r="B794" i="13" l="1"/>
  <c r="B947" i="13"/>
  <c r="B787" i="13"/>
  <c r="B940" i="13"/>
  <c r="B780" i="13"/>
  <c r="B933" i="13"/>
  <c r="B928" i="13"/>
  <c r="B775" i="13"/>
  <c r="B944" i="13"/>
  <c r="B791" i="13"/>
  <c r="B948" i="13"/>
  <c r="B795" i="13"/>
  <c r="B941" i="13"/>
  <c r="B788" i="13"/>
  <c r="B934" i="13"/>
  <c r="B781" i="13"/>
  <c r="B776" i="13"/>
  <c r="B929" i="13"/>
  <c r="B945" i="13"/>
  <c r="B792" i="13"/>
  <c r="B938" i="13"/>
  <c r="B785" i="13"/>
  <c r="B942" i="13"/>
  <c r="B789" i="13"/>
  <c r="B935" i="13"/>
  <c r="B782" i="13"/>
  <c r="B777" i="13"/>
  <c r="B930" i="13"/>
  <c r="B793" i="13"/>
  <c r="B946" i="13"/>
  <c r="B786" i="13"/>
  <c r="B939" i="13"/>
  <c r="B779" i="13"/>
  <c r="B932" i="13"/>
  <c r="B783" i="13"/>
  <c r="B936" i="13"/>
  <c r="A1343" i="13"/>
  <c r="A1342" i="13"/>
  <c r="A1341" i="13"/>
  <c r="A1340" i="13"/>
  <c r="A1339" i="13"/>
  <c r="A1338" i="13"/>
  <c r="A1337" i="13"/>
  <c r="A1336" i="13"/>
  <c r="A1335" i="13"/>
  <c r="A1334" i="13"/>
  <c r="A1333" i="13"/>
  <c r="A1332" i="13"/>
  <c r="A1331" i="13"/>
  <c r="A1330" i="13"/>
  <c r="A1329" i="13"/>
  <c r="A1328" i="13"/>
  <c r="A1327" i="13"/>
  <c r="A1326" i="13"/>
  <c r="A1325" i="13"/>
  <c r="A1324" i="13"/>
  <c r="A1323" i="13"/>
  <c r="A1322" i="13"/>
  <c r="A1321" i="13"/>
  <c r="A1320" i="13"/>
  <c r="A1319" i="13"/>
  <c r="A1318" i="13"/>
  <c r="A1317" i="13"/>
  <c r="A1316" i="13"/>
  <c r="A1315" i="13"/>
  <c r="A1314" i="13"/>
  <c r="A1313" i="13"/>
  <c r="A1312" i="13"/>
  <c r="A1311" i="13"/>
  <c r="A1310" i="13"/>
  <c r="A1309" i="13"/>
  <c r="A1308" i="13"/>
  <c r="A1307" i="13"/>
  <c r="A1306" i="13"/>
  <c r="A1305" i="13"/>
  <c r="A1304" i="13"/>
  <c r="A1303" i="13"/>
  <c r="A1302" i="13"/>
  <c r="A1301" i="13"/>
  <c r="A1300" i="13"/>
  <c r="A1299" i="13"/>
  <c r="A1298" i="13"/>
  <c r="A1297" i="13"/>
  <c r="A1296" i="13"/>
  <c r="A1295" i="13"/>
  <c r="A1294" i="13"/>
  <c r="A1293" i="13"/>
  <c r="A1292" i="13"/>
  <c r="A1291" i="13"/>
  <c r="A1290" i="13"/>
  <c r="A1289" i="13"/>
  <c r="A1288" i="13"/>
  <c r="A1287" i="13"/>
  <c r="A1286" i="13"/>
  <c r="A1285" i="13"/>
  <c r="A1284" i="13"/>
  <c r="A1283" i="13"/>
  <c r="A1282" i="13"/>
  <c r="A1281" i="13"/>
  <c r="A1280" i="13"/>
  <c r="A1279" i="13"/>
  <c r="A1278" i="13"/>
  <c r="A1277" i="13"/>
  <c r="A1276" i="13"/>
  <c r="A1275" i="13"/>
  <c r="A1274" i="13"/>
  <c r="A1273" i="13"/>
  <c r="A1272" i="13"/>
  <c r="A1271" i="13"/>
  <c r="A1193" i="13"/>
  <c r="A1192" i="13"/>
  <c r="A1191" i="13"/>
  <c r="A1190" i="13"/>
  <c r="A1189" i="13"/>
  <c r="A1188" i="13"/>
  <c r="A1187" i="13"/>
  <c r="A1186" i="13"/>
  <c r="A1185" i="13"/>
  <c r="A1184" i="13"/>
  <c r="A1183" i="13"/>
  <c r="A1182" i="13"/>
  <c r="A1181" i="13"/>
  <c r="A1180" i="13"/>
  <c r="B1135" i="13"/>
  <c r="B1134" i="13"/>
  <c r="B1133" i="13"/>
  <c r="B1132" i="13"/>
  <c r="B1131" i="13"/>
  <c r="B1130" i="13"/>
  <c r="B1128" i="13"/>
  <c r="B1127" i="13"/>
  <c r="B1126" i="13"/>
  <c r="B1125" i="13"/>
  <c r="B1124" i="13"/>
  <c r="B1122" i="13"/>
  <c r="B1121" i="13"/>
  <c r="B1120" i="13"/>
  <c r="B1119" i="13"/>
  <c r="B1118" i="13"/>
  <c r="B1116" i="13"/>
  <c r="B1115" i="13"/>
  <c r="B1114" i="13"/>
  <c r="B1113" i="13"/>
  <c r="B1112" i="13"/>
  <c r="B1110" i="13"/>
  <c r="B1109" i="13"/>
  <c r="B1108" i="13"/>
  <c r="B1107" i="13"/>
  <c r="B1106" i="13"/>
  <c r="B1104" i="13"/>
  <c r="B1103" i="13"/>
  <c r="B1102" i="13"/>
  <c r="B1101" i="13"/>
  <c r="B1100" i="13"/>
  <c r="B1098" i="13"/>
  <c r="B1097" i="13"/>
  <c r="B1096" i="13"/>
  <c r="B1095" i="13"/>
  <c r="B1094" i="13"/>
  <c r="B1092" i="13"/>
  <c r="B1091" i="13"/>
  <c r="B1090" i="13"/>
  <c r="B1089" i="13"/>
  <c r="B1088" i="13"/>
  <c r="B1086" i="13"/>
  <c r="B1085" i="13"/>
  <c r="B1084" i="13"/>
  <c r="B1069" i="13"/>
  <c r="A1082" i="13"/>
  <c r="A1081" i="13"/>
  <c r="A1080" i="13"/>
  <c r="A1079" i="13"/>
  <c r="A1078" i="13"/>
  <c r="A1077" i="13"/>
  <c r="A1076" i="13"/>
  <c r="A1075" i="13"/>
  <c r="A1074" i="13"/>
  <c r="A1073" i="13"/>
  <c r="A1072" i="13"/>
  <c r="A1071" i="13"/>
  <c r="A1070" i="13"/>
  <c r="A1069" i="13"/>
  <c r="A1068" i="13"/>
  <c r="B1067" i="13"/>
  <c r="A1067" i="13"/>
  <c r="B1066" i="13"/>
  <c r="A1066" i="13"/>
  <c r="B1065" i="13"/>
  <c r="A1065" i="13"/>
  <c r="B1064" i="13"/>
  <c r="A1064" i="13"/>
  <c r="A1063" i="13"/>
  <c r="A1062" i="13"/>
  <c r="A1061" i="13"/>
  <c r="A1060" i="13"/>
  <c r="A1059" i="13"/>
  <c r="A1058" i="13"/>
  <c r="A1057" i="13"/>
  <c r="A1056" i="13"/>
  <c r="A1055" i="13"/>
  <c r="A1054" i="13"/>
  <c r="B1063" i="13"/>
  <c r="B1062" i="13"/>
  <c r="B1061" i="13"/>
  <c r="B1060" i="13"/>
  <c r="B1059" i="13"/>
  <c r="B1058" i="13"/>
  <c r="B1057" i="13"/>
  <c r="B1055" i="13"/>
  <c r="B1054" i="13"/>
  <c r="B1053" i="13"/>
  <c r="A1053" i="13"/>
  <c r="A1052" i="13"/>
  <c r="A1051" i="13"/>
  <c r="A1050" i="13"/>
  <c r="A1049" i="13"/>
  <c r="A1048" i="13"/>
  <c r="A1047" i="13"/>
  <c r="A1046" i="13"/>
  <c r="B1079" i="13"/>
  <c r="B1077" i="13"/>
  <c r="B1076" i="13"/>
  <c r="B1075" i="13"/>
  <c r="B1074" i="13"/>
  <c r="B349" i="13"/>
  <c r="B647" i="13" s="1"/>
  <c r="B348" i="13"/>
  <c r="B646" i="13" s="1"/>
  <c r="B347" i="13"/>
  <c r="B645" i="13" s="1"/>
  <c r="B346" i="13"/>
  <c r="B644" i="13" s="1"/>
  <c r="B345" i="13"/>
  <c r="B643" i="13" s="1"/>
  <c r="B355" i="13"/>
  <c r="B653" i="13" s="1"/>
  <c r="B354" i="13"/>
  <c r="B652" i="13" s="1"/>
  <c r="B353" i="13"/>
  <c r="B651" i="13" s="1"/>
  <c r="B352" i="13"/>
  <c r="B650" i="13" s="1"/>
  <c r="B351" i="13"/>
  <c r="B649" i="13" s="1"/>
  <c r="B361" i="13"/>
  <c r="B659" i="13" s="1"/>
  <c r="B360" i="13"/>
  <c r="B658" i="13" s="1"/>
  <c r="B359" i="13"/>
  <c r="B657" i="13" s="1"/>
  <c r="B358" i="13"/>
  <c r="B656" i="13" s="1"/>
  <c r="B357" i="13"/>
  <c r="B655" i="13" s="1"/>
  <c r="B367" i="13"/>
  <c r="B665" i="13" s="1"/>
  <c r="B366" i="13"/>
  <c r="B664" i="13" s="1"/>
  <c r="B365" i="13"/>
  <c r="B663" i="13" s="1"/>
  <c r="B364" i="13"/>
  <c r="B662" i="13" s="1"/>
  <c r="B363" i="13"/>
  <c r="B661" i="13" s="1"/>
  <c r="B374" i="13"/>
  <c r="B672" i="13" s="1"/>
  <c r="B373" i="13"/>
  <c r="B671" i="13" s="1"/>
  <c r="B372" i="13"/>
  <c r="B670" i="13" s="1"/>
  <c r="B371" i="13"/>
  <c r="B669" i="13" s="1"/>
  <c r="B370" i="13"/>
  <c r="B668" i="13" s="1"/>
  <c r="B369" i="13"/>
  <c r="B667" i="13" s="1"/>
  <c r="B376" i="13"/>
  <c r="B674" i="13" s="1"/>
  <c r="A112" i="13"/>
  <c r="A312" i="13"/>
  <c r="A313" i="13" s="1"/>
  <c r="A314" i="13" s="1"/>
  <c r="A315" i="13" s="1"/>
  <c r="A316" i="13" s="1"/>
  <c r="A317" i="13" s="1"/>
  <c r="A318" i="13" s="1"/>
  <c r="A319" i="13" s="1"/>
  <c r="A320" i="13" s="1"/>
  <c r="A321" i="13" s="1"/>
  <c r="B321" i="13"/>
  <c r="B619" i="13" s="1"/>
  <c r="B320" i="13"/>
  <c r="B925" i="13" s="1"/>
  <c r="B319" i="13"/>
  <c r="B770" i="13" s="1"/>
  <c r="B318" i="13"/>
  <c r="B769" i="13" s="1"/>
  <c r="B317" i="13"/>
  <c r="B768" i="13" s="1"/>
  <c r="B316" i="13"/>
  <c r="B921" i="13" s="1"/>
  <c r="B315" i="13"/>
  <c r="B920" i="13" s="1"/>
  <c r="B314" i="13"/>
  <c r="B919" i="13" s="1"/>
  <c r="B313" i="13"/>
  <c r="B312" i="13"/>
  <c r="B763" i="13" s="1"/>
  <c r="B311" i="13"/>
  <c r="B762" i="13" s="1"/>
  <c r="B309" i="13"/>
  <c r="B914" i="13" s="1"/>
  <c r="A300" i="13"/>
  <c r="A301" i="13" s="1"/>
  <c r="A302" i="13" s="1"/>
  <c r="A303" i="13" s="1"/>
  <c r="A304" i="13" s="1"/>
  <c r="A305" i="13" s="1"/>
  <c r="A306" i="13" s="1"/>
  <c r="A307" i="13" s="1"/>
  <c r="A308" i="13" s="1"/>
  <c r="B617" i="13" l="1"/>
  <c r="B924" i="13"/>
  <c r="B615" i="13"/>
  <c r="B922" i="13"/>
  <c r="B616" i="13"/>
  <c r="B923" i="13"/>
  <c r="B611" i="13"/>
  <c r="B764" i="13"/>
  <c r="B613" i="13"/>
  <c r="B766" i="13"/>
  <c r="B614" i="13"/>
  <c r="B767" i="13"/>
  <c r="B612" i="13"/>
  <c r="B765" i="13"/>
  <c r="B609" i="13"/>
  <c r="B610" i="13"/>
  <c r="B607" i="13"/>
  <c r="B918" i="13"/>
  <c r="B821" i="13"/>
  <c r="B974" i="13"/>
  <c r="B817" i="13"/>
  <c r="B970" i="13"/>
  <c r="B803" i="13"/>
  <c r="B956" i="13"/>
  <c r="B800" i="13"/>
  <c r="B953" i="13"/>
  <c r="B822" i="13"/>
  <c r="B975" i="13"/>
  <c r="B826" i="13"/>
  <c r="B979" i="13"/>
  <c r="B818" i="13"/>
  <c r="B971" i="13"/>
  <c r="B811" i="13"/>
  <c r="B964" i="13"/>
  <c r="B804" i="13"/>
  <c r="B957" i="13"/>
  <c r="B797" i="13"/>
  <c r="B950" i="13"/>
  <c r="B801" i="13"/>
  <c r="B954" i="13"/>
  <c r="B916" i="13"/>
  <c r="B976" i="13"/>
  <c r="B823" i="13"/>
  <c r="B968" i="13"/>
  <c r="B815" i="13"/>
  <c r="B972" i="13"/>
  <c r="B819" i="13"/>
  <c r="B965" i="13"/>
  <c r="B812" i="13"/>
  <c r="B958" i="13"/>
  <c r="B805" i="13"/>
  <c r="B951" i="13"/>
  <c r="B798" i="13"/>
  <c r="B926" i="13"/>
  <c r="B825" i="13"/>
  <c r="B978" i="13"/>
  <c r="B810" i="13"/>
  <c r="B963" i="13"/>
  <c r="B807" i="13"/>
  <c r="B960" i="13"/>
  <c r="B917" i="13"/>
  <c r="B981" i="13"/>
  <c r="B828" i="13"/>
  <c r="B977" i="13"/>
  <c r="B824" i="13"/>
  <c r="B969" i="13"/>
  <c r="B816" i="13"/>
  <c r="B962" i="13"/>
  <c r="B809" i="13"/>
  <c r="B966" i="13"/>
  <c r="B813" i="13"/>
  <c r="B959" i="13"/>
  <c r="B806" i="13"/>
  <c r="B952" i="13"/>
  <c r="B799" i="13"/>
  <c r="B465" i="13"/>
  <c r="A465" i="13"/>
  <c r="A464" i="13"/>
  <c r="A463" i="13"/>
  <c r="A462" i="13"/>
  <c r="A461" i="13"/>
  <c r="A460" i="13"/>
  <c r="A459" i="13"/>
  <c r="A458" i="13"/>
  <c r="A457" i="13"/>
  <c r="A456" i="13"/>
  <c r="A455" i="13"/>
  <c r="B463" i="13"/>
  <c r="B462" i="13"/>
  <c r="B461" i="13"/>
  <c r="B460" i="13"/>
  <c r="B459" i="13"/>
  <c r="B458" i="13"/>
  <c r="B457" i="13"/>
  <c r="B456" i="13"/>
  <c r="B455" i="13"/>
  <c r="B453" i="13"/>
  <c r="B452" i="13"/>
  <c r="B451" i="13"/>
  <c r="B450" i="13"/>
  <c r="A454" i="13"/>
  <c r="A453" i="13"/>
  <c r="A452" i="13"/>
  <c r="A451" i="13"/>
  <c r="A450" i="13"/>
  <c r="A449" i="13"/>
  <c r="A448" i="13"/>
  <c r="A447" i="13"/>
  <c r="A446" i="13"/>
  <c r="A445" i="13"/>
  <c r="A444" i="13"/>
  <c r="A287" i="13"/>
  <c r="A288" i="13" s="1"/>
  <c r="A289" i="13" s="1"/>
  <c r="A290" i="13" s="1"/>
  <c r="A291" i="13" s="1"/>
  <c r="A292" i="13" s="1"/>
  <c r="A293" i="13" s="1"/>
  <c r="A294" i="13" s="1"/>
  <c r="A295" i="13" s="1"/>
  <c r="A296" i="13" s="1"/>
  <c r="A297" i="13" s="1"/>
  <c r="B308" i="13"/>
  <c r="B307" i="13"/>
  <c r="B306" i="13"/>
  <c r="B305" i="13"/>
  <c r="B304" i="13"/>
  <c r="B303" i="13"/>
  <c r="B302" i="13"/>
  <c r="B301" i="13"/>
  <c r="B906" i="13" s="1"/>
  <c r="B300" i="13"/>
  <c r="B905" i="13" s="1"/>
  <c r="B299" i="13"/>
  <c r="B904" i="13" s="1"/>
  <c r="B297" i="13"/>
  <c r="B902" i="13" s="1"/>
  <c r="B296" i="13"/>
  <c r="B901" i="13" s="1"/>
  <c r="B295" i="13"/>
  <c r="B900" i="13" s="1"/>
  <c r="B294" i="13"/>
  <c r="B899" i="13" s="1"/>
  <c r="B293" i="13"/>
  <c r="B898" i="13" s="1"/>
  <c r="H6" i="13"/>
  <c r="C11" i="52"/>
  <c r="A155" i="13"/>
  <c r="A151" i="13"/>
  <c r="A150" i="13"/>
  <c r="A149" i="13"/>
  <c r="A148" i="13"/>
  <c r="A147" i="13"/>
  <c r="A146" i="13"/>
  <c r="A145" i="13"/>
  <c r="A144" i="13"/>
  <c r="A143" i="13"/>
  <c r="A139" i="13"/>
  <c r="B913" i="13" l="1"/>
  <c r="B759" i="13"/>
  <c r="B910" i="13"/>
  <c r="B756" i="13"/>
  <c r="B907" i="13"/>
  <c r="B753" i="13"/>
  <c r="B911" i="13"/>
  <c r="B757" i="13"/>
  <c r="B909" i="13"/>
  <c r="B755" i="13"/>
  <c r="B908" i="13"/>
  <c r="B754" i="13"/>
  <c r="B912" i="13"/>
  <c r="B758" i="13"/>
  <c r="B594" i="13"/>
  <c r="B747" i="13"/>
  <c r="B599" i="13"/>
  <c r="B752" i="13"/>
  <c r="B603" i="13"/>
  <c r="B591" i="13"/>
  <c r="B744" i="13"/>
  <c r="B600" i="13"/>
  <c r="B592" i="13"/>
  <c r="B745" i="13"/>
  <c r="B597" i="13"/>
  <c r="B750" i="13"/>
  <c r="B601" i="13"/>
  <c r="B605" i="13"/>
  <c r="B595" i="13"/>
  <c r="B748" i="13"/>
  <c r="B604" i="13"/>
  <c r="B593" i="13"/>
  <c r="B746" i="13"/>
  <c r="B598" i="13"/>
  <c r="B751" i="13"/>
  <c r="B602" i="13"/>
  <c r="B606" i="13"/>
  <c r="H3" i="46"/>
  <c r="H2" i="46"/>
  <c r="A5" i="52"/>
  <c r="A2" i="52"/>
  <c r="F7" i="45" l="1"/>
  <c r="A14" i="47"/>
  <c r="A13" i="47"/>
  <c r="F1" i="48"/>
  <c r="R75" i="41" l="1"/>
  <c r="P75" i="41"/>
  <c r="H75" i="41"/>
  <c r="G75" i="41"/>
  <c r="R74" i="41"/>
  <c r="P74" i="41"/>
  <c r="I74" i="41"/>
  <c r="R73" i="41"/>
  <c r="P73" i="41"/>
  <c r="I73" i="41"/>
  <c r="R72" i="41"/>
  <c r="P72" i="41"/>
  <c r="I72" i="41"/>
  <c r="R71" i="41"/>
  <c r="P71" i="41"/>
  <c r="I71" i="41"/>
  <c r="R70" i="41"/>
  <c r="P70" i="41"/>
  <c r="I70" i="41"/>
  <c r="R69" i="41"/>
  <c r="P69" i="41"/>
  <c r="I69" i="41"/>
  <c r="R68" i="41"/>
  <c r="P68" i="41"/>
  <c r="I68" i="41"/>
  <c r="R67" i="41"/>
  <c r="P67" i="41"/>
  <c r="I67" i="41"/>
  <c r="R66" i="41"/>
  <c r="P66" i="41"/>
  <c r="I66" i="41"/>
  <c r="R65" i="41"/>
  <c r="P65" i="41"/>
  <c r="I65" i="41"/>
  <c r="H45" i="41"/>
  <c r="G45" i="41"/>
  <c r="Q75" i="41" l="1"/>
  <c r="O75" i="41"/>
  <c r="I75" i="41"/>
  <c r="G7" i="46"/>
  <c r="E22" i="46"/>
  <c r="E21" i="46"/>
  <c r="M21" i="46"/>
  <c r="M78" i="46" s="1"/>
  <c r="L21" i="46"/>
  <c r="L78" i="46" s="1"/>
  <c r="K21" i="46"/>
  <c r="K78" i="46" s="1"/>
  <c r="J21" i="46"/>
  <c r="J78" i="46" s="1"/>
  <c r="I21" i="46"/>
  <c r="I78" i="46" s="1"/>
  <c r="H21" i="46"/>
  <c r="F21" i="46" l="1"/>
  <c r="H78" i="46"/>
  <c r="B50" i="38" s="1"/>
  <c r="D52" i="38"/>
  <c r="D51" i="38"/>
  <c r="M16" i="46" l="1"/>
  <c r="L16" i="46"/>
  <c r="K16" i="46"/>
  <c r="J16" i="46"/>
  <c r="I16" i="46"/>
  <c r="H16" i="46"/>
  <c r="M74" i="46"/>
  <c r="L74" i="46"/>
  <c r="K74" i="46"/>
  <c r="J74" i="46"/>
  <c r="I74" i="46"/>
  <c r="H74" i="46"/>
  <c r="B46" i="38" s="1"/>
  <c r="F17" i="46" l="1"/>
  <c r="A38" i="47"/>
  <c r="A39" i="47"/>
  <c r="A40" i="47"/>
  <c r="A41" i="47"/>
  <c r="A42" i="47"/>
  <c r="A43" i="47"/>
  <c r="A44" i="47"/>
  <c r="A45" i="47"/>
  <c r="A46" i="47"/>
  <c r="A47" i="47"/>
  <c r="A48" i="47"/>
  <c r="A49" i="47"/>
  <c r="A50" i="47"/>
  <c r="A51" i="47"/>
  <c r="A52" i="47"/>
  <c r="A53" i="47"/>
  <c r="A54" i="47"/>
  <c r="A55" i="47"/>
  <c r="A56" i="47"/>
  <c r="A57" i="47"/>
  <c r="A168" i="13" l="1"/>
  <c r="F22" i="46" l="1"/>
  <c r="H80" i="46"/>
  <c r="B52" i="38" s="1"/>
  <c r="F3" i="41"/>
  <c r="B63" i="41" s="1"/>
  <c r="F2" i="41"/>
  <c r="B33" i="41" s="1"/>
  <c r="A28" i="45" l="1"/>
  <c r="A29" i="45"/>
  <c r="B28" i="38" l="1"/>
  <c r="B27" i="38"/>
  <c r="B24" i="38"/>
  <c r="B23" i="38"/>
  <c r="R45" i="41"/>
  <c r="P45" i="41"/>
  <c r="A43" i="13"/>
  <c r="A32" i="45" l="1"/>
  <c r="A31" i="45"/>
  <c r="A30" i="45"/>
  <c r="A27" i="45"/>
  <c r="A26" i="45"/>
  <c r="A25" i="45"/>
  <c r="A24" i="45"/>
  <c r="A23" i="45"/>
  <c r="A22" i="45"/>
  <c r="A21" i="45"/>
  <c r="A15" i="45"/>
  <c r="E30" i="45"/>
  <c r="A10" i="45"/>
  <c r="A11" i="45"/>
  <c r="A12" i="45"/>
  <c r="A13" i="45"/>
  <c r="A14" i="45"/>
  <c r="A16" i="45"/>
  <c r="A17" i="45"/>
  <c r="A18" i="45"/>
  <c r="A19" i="45"/>
  <c r="A20" i="45"/>
  <c r="A56" i="45"/>
  <c r="A54" i="45"/>
  <c r="A33" i="45"/>
  <c r="A34" i="45"/>
  <c r="D29" i="45" l="1"/>
  <c r="A35" i="45" l="1"/>
  <c r="E63" i="18"/>
  <c r="A58" i="47"/>
  <c r="A37" i="47"/>
  <c r="A36" i="47"/>
  <c r="A35" i="47"/>
  <c r="A34" i="47"/>
  <c r="A33" i="47"/>
  <c r="A32" i="47"/>
  <c r="A31" i="47"/>
  <c r="A30" i="47"/>
  <c r="A29" i="47"/>
  <c r="A28" i="47"/>
  <c r="A27" i="47"/>
  <c r="A26" i="47"/>
  <c r="A25" i="47"/>
  <c r="A24" i="47"/>
  <c r="A23" i="47"/>
  <c r="A22" i="47"/>
  <c r="A21" i="47"/>
  <c r="A20" i="47"/>
  <c r="A19" i="47"/>
  <c r="A18" i="47"/>
  <c r="A17" i="47"/>
  <c r="A16" i="47"/>
  <c r="A15" i="47"/>
  <c r="A12" i="47"/>
  <c r="A11" i="47"/>
  <c r="A10" i="47"/>
  <c r="A9" i="47"/>
  <c r="G1418" i="13" l="1"/>
  <c r="G1419" i="13" s="1"/>
  <c r="A32" i="13"/>
  <c r="A33" i="13"/>
  <c r="A34" i="13"/>
  <c r="A35" i="13"/>
  <c r="A36" i="13"/>
  <c r="A37" i="13"/>
  <c r="A38" i="13"/>
  <c r="A39" i="13"/>
  <c r="A40" i="13"/>
  <c r="A41" i="13"/>
  <c r="A42" i="13"/>
  <c r="A44" i="13"/>
  <c r="A45" i="13"/>
  <c r="E58" i="18"/>
  <c r="E57" i="18"/>
  <c r="E56" i="18"/>
  <c r="E55" i="18"/>
  <c r="E54" i="18"/>
  <c r="E53" i="18"/>
  <c r="E52" i="18"/>
  <c r="E50" i="18"/>
  <c r="E49" i="18"/>
  <c r="E48" i="18"/>
  <c r="E47" i="18"/>
  <c r="E46" i="18"/>
  <c r="E45" i="18"/>
  <c r="E44" i="18"/>
  <c r="E43" i="18"/>
  <c r="E42" i="18"/>
  <c r="G1447" i="13"/>
  <c r="G1449" i="13" s="1"/>
  <c r="G1451" i="13" s="1"/>
  <c r="M15" i="13"/>
  <c r="L15" i="13"/>
  <c r="K15" i="13"/>
  <c r="J15" i="13"/>
  <c r="I15" i="13"/>
  <c r="H15" i="13"/>
  <c r="E65" i="18"/>
  <c r="E67" i="18"/>
  <c r="E11" i="18"/>
  <c r="E7" i="18"/>
  <c r="E61" i="18" s="1"/>
  <c r="G1453" i="13" l="1"/>
  <c r="D28" i="38" l="1"/>
  <c r="C28" i="38" s="1"/>
  <c r="B29" i="38"/>
  <c r="L11" i="47" l="1"/>
  <c r="M11" i="47"/>
  <c r="N11" i="47"/>
  <c r="O11" i="47"/>
  <c r="P11" i="47"/>
  <c r="Q11" i="47"/>
  <c r="D17" i="38"/>
  <c r="D25" i="38"/>
  <c r="D26" i="38"/>
  <c r="D27" i="38"/>
  <c r="C27" i="38" s="1"/>
  <c r="D29" i="38"/>
  <c r="C29" i="38" s="1"/>
  <c r="F15" i="38"/>
  <c r="G15" i="38"/>
  <c r="H15" i="38"/>
  <c r="I15" i="38"/>
  <c r="J15" i="38"/>
  <c r="K15" i="38"/>
  <c r="L15" i="38"/>
  <c r="M15" i="38"/>
  <c r="N15" i="38"/>
  <c r="O15" i="38"/>
  <c r="P15" i="38"/>
  <c r="E15" i="38"/>
  <c r="E67" i="38"/>
  <c r="D39" i="38"/>
  <c r="D40" i="38"/>
  <c r="H1380" i="13"/>
  <c r="H1381" i="13"/>
  <c r="H1399" i="13"/>
  <c r="H1402" i="13"/>
  <c r="H1404" i="13"/>
  <c r="H1412" i="13"/>
  <c r="H1413" i="13"/>
  <c r="H1424" i="13"/>
  <c r="H1422" i="13"/>
  <c r="G79" i="13"/>
  <c r="G1350" i="13"/>
  <c r="G1354" i="13"/>
  <c r="G1358" i="13"/>
  <c r="G1362" i="13"/>
  <c r="G1366" i="13"/>
  <c r="G1374" i="13"/>
  <c r="G1426" i="13"/>
  <c r="G1435" i="13"/>
  <c r="G1439" i="13"/>
  <c r="G1464" i="13"/>
  <c r="G1581" i="13"/>
  <c r="J11" i="47" l="1"/>
  <c r="G1593" i="13"/>
  <c r="E51" i="18"/>
  <c r="E59" i="18" s="1"/>
  <c r="F67" i="38"/>
  <c r="E68" i="38"/>
  <c r="E69" i="38" s="1"/>
  <c r="E68" i="18"/>
  <c r="E69" i="18"/>
  <c r="C37" i="18"/>
  <c r="G1437" i="13"/>
  <c r="G1592" i="13" s="1"/>
  <c r="G1368" i="13"/>
  <c r="D66" i="38"/>
  <c r="D65" i="38"/>
  <c r="D64" i="38"/>
  <c r="D41" i="38"/>
  <c r="D42" i="38"/>
  <c r="N44" i="48"/>
  <c r="M44" i="48"/>
  <c r="L44" i="48"/>
  <c r="K44" i="48"/>
  <c r="J44" i="48"/>
  <c r="I44" i="48"/>
  <c r="A31" i="48"/>
  <c r="A30" i="48"/>
  <c r="A29" i="48"/>
  <c r="A28" i="48"/>
  <c r="A27" i="48"/>
  <c r="A26" i="48"/>
  <c r="A25" i="48"/>
  <c r="A24" i="48"/>
  <c r="A23" i="48"/>
  <c r="A22" i="48"/>
  <c r="A21" i="48"/>
  <c r="A20" i="48"/>
  <c r="A19" i="48"/>
  <c r="A18" i="48"/>
  <c r="A17" i="48"/>
  <c r="A16" i="48"/>
  <c r="A15" i="48"/>
  <c r="A14" i="48"/>
  <c r="A13" i="48"/>
  <c r="I12" i="48"/>
  <c r="I13" i="48" s="1"/>
  <c r="I35" i="48" s="1"/>
  <c r="A12" i="48"/>
  <c r="F2" i="48"/>
  <c r="A5" i="48"/>
  <c r="A2" i="48"/>
  <c r="F67" i="18" l="1"/>
  <c r="G44" i="48"/>
  <c r="N45" i="48" s="1"/>
  <c r="B45" i="38"/>
  <c r="J67" i="18"/>
  <c r="I67" i="18"/>
  <c r="G67" i="18"/>
  <c r="K67" i="18"/>
  <c r="H67" i="18"/>
  <c r="G67" i="38"/>
  <c r="F68" i="38"/>
  <c r="F69" i="38" s="1"/>
  <c r="E64" i="18"/>
  <c r="H12" i="48"/>
  <c r="J12" i="48"/>
  <c r="J13" i="48" s="1"/>
  <c r="H13" i="48"/>
  <c r="H35" i="48" s="1"/>
  <c r="L45" i="48" l="1"/>
  <c r="K12" i="48"/>
  <c r="K13" i="48" s="1"/>
  <c r="J35" i="48"/>
  <c r="C67" i="18"/>
  <c r="G45" i="48"/>
  <c r="H45" i="48"/>
  <c r="K45" i="48"/>
  <c r="I45" i="48"/>
  <c r="J45" i="48"/>
  <c r="M45" i="48"/>
  <c r="H67" i="38"/>
  <c r="G68" i="38"/>
  <c r="G69" i="38" s="1"/>
  <c r="H1572" i="13"/>
  <c r="I1572" i="13" s="1"/>
  <c r="J1572" i="13" s="1"/>
  <c r="K1572" i="13" s="1"/>
  <c r="L1572" i="13" s="1"/>
  <c r="M1572" i="13" s="1"/>
  <c r="H1573" i="13"/>
  <c r="I1573" i="13" s="1"/>
  <c r="J1573" i="13" s="1"/>
  <c r="K1573" i="13" s="1"/>
  <c r="L1573" i="13" s="1"/>
  <c r="M1573" i="13" s="1"/>
  <c r="H1574" i="13"/>
  <c r="I1574" i="13" s="1"/>
  <c r="J1574" i="13" s="1"/>
  <c r="K1574" i="13" s="1"/>
  <c r="L1574" i="13" s="1"/>
  <c r="M1574" i="13" s="1"/>
  <c r="H1575" i="13"/>
  <c r="I1575" i="13" s="1"/>
  <c r="J1575" i="13" s="1"/>
  <c r="K1575" i="13" s="1"/>
  <c r="L1575" i="13" s="1"/>
  <c r="M1575" i="13" s="1"/>
  <c r="H1576" i="13"/>
  <c r="I1576" i="13" s="1"/>
  <c r="J1576" i="13" s="1"/>
  <c r="K1576" i="13" s="1"/>
  <c r="L1576" i="13" s="1"/>
  <c r="M1576" i="13" s="1"/>
  <c r="H1577" i="13"/>
  <c r="I1577" i="13" s="1"/>
  <c r="J1577" i="13" s="1"/>
  <c r="K1577" i="13" s="1"/>
  <c r="L1577" i="13" s="1"/>
  <c r="M1577" i="13" s="1"/>
  <c r="H1578" i="13"/>
  <c r="I1578" i="13" s="1"/>
  <c r="J1578" i="13" s="1"/>
  <c r="K1578" i="13" s="1"/>
  <c r="L1578" i="13" s="1"/>
  <c r="M1578" i="13" s="1"/>
  <c r="H1579" i="13"/>
  <c r="I1579" i="13" s="1"/>
  <c r="J1579" i="13" s="1"/>
  <c r="K1579" i="13" s="1"/>
  <c r="L1579" i="13" s="1"/>
  <c r="M1579" i="13" s="1"/>
  <c r="H1571" i="13"/>
  <c r="I1571" i="13" s="1"/>
  <c r="J1571" i="13" s="1"/>
  <c r="K1571" i="13" s="1"/>
  <c r="L1571" i="13" s="1"/>
  <c r="M1571" i="13" s="1"/>
  <c r="L12" i="48" l="1"/>
  <c r="L13" i="48" s="1"/>
  <c r="K35" i="48"/>
  <c r="I67" i="38"/>
  <c r="H68" i="38"/>
  <c r="H69" i="38" s="1"/>
  <c r="H58" i="46"/>
  <c r="I58" i="46"/>
  <c r="H57" i="46"/>
  <c r="I57" i="46"/>
  <c r="H46" i="34"/>
  <c r="H26" i="34"/>
  <c r="H28" i="34" s="1"/>
  <c r="H42" i="34"/>
  <c r="I42" i="34"/>
  <c r="H41" i="34"/>
  <c r="I41" i="34"/>
  <c r="H34" i="34"/>
  <c r="H36" i="34" s="1"/>
  <c r="I36" i="34" s="1"/>
  <c r="J36" i="34" s="1"/>
  <c r="K36" i="34" s="1"/>
  <c r="L36" i="34" s="1"/>
  <c r="M36" i="34" s="1"/>
  <c r="H33" i="34"/>
  <c r="J26" i="34"/>
  <c r="M27" i="34" s="1"/>
  <c r="K26" i="34"/>
  <c r="L26" i="34"/>
  <c r="M26" i="34"/>
  <c r="I26" i="34"/>
  <c r="L27" i="34" s="1"/>
  <c r="M12" i="48" l="1"/>
  <c r="M13" i="48" s="1"/>
  <c r="L35" i="48"/>
  <c r="J67" i="38"/>
  <c r="I68" i="38"/>
  <c r="I69" i="38" s="1"/>
  <c r="M35" i="34"/>
  <c r="I28" i="34"/>
  <c r="J28" i="34" s="1"/>
  <c r="K27" i="34"/>
  <c r="F59" i="47"/>
  <c r="Q58" i="47"/>
  <c r="P58" i="47"/>
  <c r="O58" i="47"/>
  <c r="N58" i="47"/>
  <c r="M58" i="47"/>
  <c r="L58" i="47"/>
  <c r="J36" i="47"/>
  <c r="J34" i="47"/>
  <c r="J32" i="47"/>
  <c r="J30" i="47"/>
  <c r="J28" i="47"/>
  <c r="J26" i="47"/>
  <c r="J24" i="47"/>
  <c r="J22" i="47"/>
  <c r="Q12" i="47"/>
  <c r="P12" i="47"/>
  <c r="O12" i="47"/>
  <c r="N12" i="47"/>
  <c r="M12" i="47"/>
  <c r="L12" i="47"/>
  <c r="Q10" i="47"/>
  <c r="P10" i="47"/>
  <c r="O10" i="47"/>
  <c r="N10" i="47"/>
  <c r="M10" i="47"/>
  <c r="L10" i="47"/>
  <c r="Q9" i="47"/>
  <c r="P9" i="47"/>
  <c r="O9" i="47"/>
  <c r="N9" i="47"/>
  <c r="M9" i="47"/>
  <c r="L9" i="47"/>
  <c r="M7" i="47"/>
  <c r="N7" i="47" s="1"/>
  <c r="O7" i="47" s="1"/>
  <c r="P7" i="47" s="1"/>
  <c r="Q7" i="47" s="1"/>
  <c r="A5" i="47"/>
  <c r="A2" i="47"/>
  <c r="M58" i="46"/>
  <c r="L58" i="46"/>
  <c r="K58" i="46"/>
  <c r="J58" i="46"/>
  <c r="M57" i="46"/>
  <c r="L57" i="46"/>
  <c r="K57" i="46"/>
  <c r="J57" i="46"/>
  <c r="C42" i="46"/>
  <c r="C38" i="46"/>
  <c r="M20" i="46"/>
  <c r="M77" i="46" s="1"/>
  <c r="L20" i="46"/>
  <c r="L77" i="46" s="1"/>
  <c r="K20" i="46"/>
  <c r="K77" i="46" s="1"/>
  <c r="J20" i="46"/>
  <c r="J77" i="46" s="1"/>
  <c r="I20" i="46"/>
  <c r="I77" i="46" s="1"/>
  <c r="H20" i="46"/>
  <c r="H77" i="46" s="1"/>
  <c r="B49" i="38" s="1"/>
  <c r="E20" i="46"/>
  <c r="M19" i="46"/>
  <c r="M76" i="46" s="1"/>
  <c r="L19" i="46"/>
  <c r="L76" i="46" s="1"/>
  <c r="K19" i="46"/>
  <c r="K76" i="46" s="1"/>
  <c r="J19" i="46"/>
  <c r="J76" i="46" s="1"/>
  <c r="I19" i="46"/>
  <c r="I76" i="46" s="1"/>
  <c r="H19" i="46"/>
  <c r="H76" i="46" s="1"/>
  <c r="B48" i="38" s="1"/>
  <c r="E19" i="46"/>
  <c r="M18" i="46"/>
  <c r="L18" i="46"/>
  <c r="K18" i="46"/>
  <c r="J18" i="46"/>
  <c r="I18" i="46"/>
  <c r="H18" i="46"/>
  <c r="E18" i="46"/>
  <c r="M7" i="46"/>
  <c r="L7" i="46"/>
  <c r="K7" i="46"/>
  <c r="J7" i="46"/>
  <c r="I7" i="46"/>
  <c r="H7" i="46"/>
  <c r="A5" i="46"/>
  <c r="A2" i="46"/>
  <c r="J58" i="47" l="1"/>
  <c r="N12" i="48"/>
  <c r="N13" i="48" s="1"/>
  <c r="N35" i="48" s="1"/>
  <c r="M35" i="48"/>
  <c r="J21" i="47"/>
  <c r="J23" i="47"/>
  <c r="J27" i="47"/>
  <c r="J29" i="47"/>
  <c r="J31" i="47"/>
  <c r="J33" i="47"/>
  <c r="J37" i="47"/>
  <c r="J20" i="47"/>
  <c r="J12" i="47"/>
  <c r="J16" i="47"/>
  <c r="J18" i="47"/>
  <c r="J19" i="47"/>
  <c r="J25" i="47"/>
  <c r="J15" i="47"/>
  <c r="J17" i="47"/>
  <c r="J10" i="47"/>
  <c r="M26" i="46"/>
  <c r="M67" i="46" s="1"/>
  <c r="I26" i="46"/>
  <c r="I67" i="46" s="1"/>
  <c r="J26" i="46"/>
  <c r="J67" i="46" s="1"/>
  <c r="K26" i="46"/>
  <c r="K67" i="46" s="1"/>
  <c r="H26" i="46"/>
  <c r="H67" i="46" s="1"/>
  <c r="L26" i="46"/>
  <c r="L67" i="46" s="1"/>
  <c r="H75" i="46"/>
  <c r="B47" i="38" s="1"/>
  <c r="H25" i="46"/>
  <c r="H66" i="46" s="1"/>
  <c r="K64" i="46"/>
  <c r="J64" i="46"/>
  <c r="M64" i="46"/>
  <c r="I64" i="46"/>
  <c r="L64" i="46"/>
  <c r="H64" i="46"/>
  <c r="I75" i="46"/>
  <c r="I25" i="46"/>
  <c r="M75" i="46"/>
  <c r="M25" i="46"/>
  <c r="L75" i="46"/>
  <c r="L25" i="46"/>
  <c r="J75" i="46"/>
  <c r="J25" i="46"/>
  <c r="K75" i="46"/>
  <c r="K25" i="46"/>
  <c r="J35" i="47"/>
  <c r="J9" i="47"/>
  <c r="F20" i="46"/>
  <c r="F18" i="46"/>
  <c r="K67" i="38"/>
  <c r="J68" i="38"/>
  <c r="J69" i="38" s="1"/>
  <c r="M59" i="47"/>
  <c r="G70" i="18" s="1"/>
  <c r="Q59" i="47"/>
  <c r="K70" i="18" s="1"/>
  <c r="L59" i="47"/>
  <c r="P59" i="47"/>
  <c r="J70" i="18" s="1"/>
  <c r="N59" i="47"/>
  <c r="H70" i="18" s="1"/>
  <c r="O59" i="47"/>
  <c r="I70" i="18" s="1"/>
  <c r="H61" i="46"/>
  <c r="K28" i="34"/>
  <c r="L28" i="34" s="1"/>
  <c r="M28" i="34" s="1"/>
  <c r="C44" i="46"/>
  <c r="C48" i="46" s="1"/>
  <c r="M27" i="46" l="1"/>
  <c r="I27" i="46"/>
  <c r="C53" i="46"/>
  <c r="C54" i="46" s="1"/>
  <c r="L27" i="46"/>
  <c r="H27" i="46"/>
  <c r="E67" i="46"/>
  <c r="K27" i="46"/>
  <c r="G25" i="46"/>
  <c r="G66" i="46" s="1"/>
  <c r="J27" i="46"/>
  <c r="G68" i="46"/>
  <c r="F19" i="46"/>
  <c r="L67" i="38"/>
  <c r="K68" i="38"/>
  <c r="K69" i="38" s="1"/>
  <c r="F70" i="18"/>
  <c r="B54" i="38"/>
  <c r="J59" i="47"/>
  <c r="H54" i="46" l="1"/>
  <c r="C55" i="46"/>
  <c r="H55" i="46" s="1"/>
  <c r="H68" i="46" s="1"/>
  <c r="H69" i="46" s="1"/>
  <c r="G27" i="46"/>
  <c r="E66" i="18"/>
  <c r="G69" i="46"/>
  <c r="M67" i="38"/>
  <c r="L68" i="38"/>
  <c r="L69" i="38" s="1"/>
  <c r="C70" i="18"/>
  <c r="F66" i="18" l="1"/>
  <c r="H63" i="46"/>
  <c r="F24" i="46"/>
  <c r="N67" i="38"/>
  <c r="M68" i="38"/>
  <c r="M69" i="38" s="1"/>
  <c r="A52" i="45"/>
  <c r="A53" i="45"/>
  <c r="A55" i="45"/>
  <c r="A57" i="45"/>
  <c r="O67" i="38" l="1"/>
  <c r="N68" i="38"/>
  <c r="N69" i="38" s="1"/>
  <c r="A47" i="45"/>
  <c r="A46" i="45"/>
  <c r="A45" i="45"/>
  <c r="A44" i="45"/>
  <c r="A43" i="45"/>
  <c r="A42" i="45"/>
  <c r="P67" i="38" l="1"/>
  <c r="P68" i="38" s="1"/>
  <c r="P69" i="38" s="1"/>
  <c r="O68" i="38"/>
  <c r="O69" i="38" s="1"/>
  <c r="D69" i="38" s="1"/>
  <c r="D68" i="38"/>
  <c r="A58" i="45" l="1"/>
  <c r="A51" i="45"/>
  <c r="A50" i="45"/>
  <c r="A49" i="45"/>
  <c r="A48" i="45"/>
  <c r="A41" i="45"/>
  <c r="A40" i="45"/>
  <c r="A39" i="45"/>
  <c r="A38" i="45"/>
  <c r="A37" i="45"/>
  <c r="A36" i="45"/>
  <c r="K17" i="45"/>
  <c r="J17" i="45"/>
  <c r="I17" i="45"/>
  <c r="H17" i="45"/>
  <c r="G17" i="45"/>
  <c r="F17" i="45"/>
  <c r="F11" i="45"/>
  <c r="F12" i="45" s="1"/>
  <c r="F8" i="45"/>
  <c r="A5" i="45"/>
  <c r="A2" i="45"/>
  <c r="E11" i="45" l="1"/>
  <c r="E12" i="45"/>
  <c r="G11" i="45"/>
  <c r="G12" i="45" s="1"/>
  <c r="H11" i="45" s="1"/>
  <c r="H12" i="45" s="1"/>
  <c r="I11" i="45" s="1"/>
  <c r="I12" i="45" s="1"/>
  <c r="J11" i="45" s="1"/>
  <c r="J12" i="45" s="1"/>
  <c r="K11" i="45" s="1"/>
  <c r="K12" i="45" s="1"/>
  <c r="C411" i="13"/>
  <c r="C405" i="13"/>
  <c r="C399" i="13"/>
  <c r="C393" i="13"/>
  <c r="C387" i="13"/>
  <c r="C381" i="13"/>
  <c r="C375" i="13"/>
  <c r="C368" i="13"/>
  <c r="C362" i="13"/>
  <c r="C356" i="13"/>
  <c r="C350" i="13"/>
  <c r="C344" i="13"/>
  <c r="C338" i="13"/>
  <c r="C332" i="13"/>
  <c r="C326" i="13"/>
  <c r="C74" i="13"/>
  <c r="C73" i="13"/>
  <c r="C72" i="13"/>
  <c r="C69" i="13"/>
  <c r="C68" i="13"/>
  <c r="P44" i="41" l="1"/>
  <c r="P43" i="41"/>
  <c r="P42" i="41"/>
  <c r="P41" i="41"/>
  <c r="P40" i="41"/>
  <c r="P39" i="41"/>
  <c r="P38" i="41"/>
  <c r="P37" i="41"/>
  <c r="P36" i="41"/>
  <c r="P35" i="41"/>
  <c r="O45" i="41" l="1"/>
  <c r="G26" i="35" l="1"/>
  <c r="G25" i="35"/>
  <c r="G24" i="35"/>
  <c r="G23" i="35"/>
  <c r="G22" i="35"/>
  <c r="G21" i="35"/>
  <c r="G20" i="35"/>
  <c r="G19" i="35"/>
  <c r="G18" i="35"/>
  <c r="G17" i="35"/>
  <c r="G16" i="35"/>
  <c r="G15" i="35"/>
  <c r="G14" i="35"/>
  <c r="G13" i="35"/>
  <c r="G11" i="35"/>
  <c r="K16" i="35" l="1"/>
  <c r="J16" i="35"/>
  <c r="K20" i="35"/>
  <c r="J20" i="35"/>
  <c r="K17" i="35"/>
  <c r="J17" i="35"/>
  <c r="J15" i="35"/>
  <c r="K15" i="35"/>
  <c r="J19" i="35"/>
  <c r="K19" i="35"/>
  <c r="J23" i="35"/>
  <c r="K23" i="35"/>
  <c r="K24" i="35"/>
  <c r="J24" i="35"/>
  <c r="K25" i="35"/>
  <c r="J25" i="35"/>
  <c r="K11" i="35"/>
  <c r="J11" i="35"/>
  <c r="K13" i="35"/>
  <c r="J13" i="35"/>
  <c r="J21" i="35"/>
  <c r="K21" i="35"/>
  <c r="K14" i="35"/>
  <c r="J14" i="35"/>
  <c r="K18" i="35"/>
  <c r="J18" i="35"/>
  <c r="K22" i="35"/>
  <c r="J22" i="35"/>
  <c r="K26" i="35"/>
  <c r="J26" i="35"/>
  <c r="D24" i="38" l="1"/>
  <c r="C24" i="38" s="1"/>
  <c r="R44" i="41" l="1"/>
  <c r="R43" i="41"/>
  <c r="R42" i="41"/>
  <c r="R41" i="41"/>
  <c r="R40" i="41"/>
  <c r="R39" i="41"/>
  <c r="R38" i="41"/>
  <c r="R37" i="41"/>
  <c r="R36" i="41"/>
  <c r="R35" i="41"/>
  <c r="Q45" i="41" l="1"/>
  <c r="A2" i="35" l="1"/>
  <c r="A5" i="35"/>
  <c r="A2" i="38"/>
  <c r="A5" i="38"/>
  <c r="A2" i="41"/>
  <c r="A5" i="41"/>
  <c r="A2" i="18"/>
  <c r="A5" i="18"/>
  <c r="A2" i="13"/>
  <c r="A5" i="13"/>
  <c r="A2" i="34"/>
  <c r="A5" i="34"/>
  <c r="K58" i="18"/>
  <c r="K57" i="18"/>
  <c r="K55" i="18"/>
  <c r="K53" i="18"/>
  <c r="K52" i="18"/>
  <c r="I44" i="41"/>
  <c r="I43" i="41"/>
  <c r="I42" i="41"/>
  <c r="I41" i="41"/>
  <c r="I40" i="41"/>
  <c r="I39" i="41"/>
  <c r="I38" i="41"/>
  <c r="I37" i="41"/>
  <c r="I36" i="41"/>
  <c r="I35" i="41"/>
  <c r="M6" i="34"/>
  <c r="L6" i="34"/>
  <c r="K6" i="34"/>
  <c r="J6" i="34"/>
  <c r="I6" i="34"/>
  <c r="H6" i="34"/>
  <c r="J27" i="41"/>
  <c r="N30" i="48" s="1"/>
  <c r="I27" i="41"/>
  <c r="M30" i="48" s="1"/>
  <c r="H27" i="41"/>
  <c r="L30" i="48" s="1"/>
  <c r="G27" i="41"/>
  <c r="K30" i="48" s="1"/>
  <c r="F27" i="41"/>
  <c r="J30" i="48" s="1"/>
  <c r="E27" i="41"/>
  <c r="I30" i="48" s="1"/>
  <c r="J26" i="41"/>
  <c r="N29" i="48" s="1"/>
  <c r="I26" i="41"/>
  <c r="M29" i="48" s="1"/>
  <c r="H26" i="41"/>
  <c r="L29" i="48" s="1"/>
  <c r="G26" i="41"/>
  <c r="K29" i="48" s="1"/>
  <c r="F26" i="41"/>
  <c r="J29" i="48" s="1"/>
  <c r="E26" i="41"/>
  <c r="I29" i="48" s="1"/>
  <c r="J25" i="41"/>
  <c r="N28" i="48" s="1"/>
  <c r="I25" i="41"/>
  <c r="M28" i="48" s="1"/>
  <c r="H25" i="41"/>
  <c r="L28" i="48" s="1"/>
  <c r="G25" i="41"/>
  <c r="K28" i="48" s="1"/>
  <c r="F25" i="41"/>
  <c r="J28" i="48" s="1"/>
  <c r="E25" i="41"/>
  <c r="I28" i="48" s="1"/>
  <c r="J24" i="41"/>
  <c r="N27" i="48" s="1"/>
  <c r="I24" i="41"/>
  <c r="M27" i="48" s="1"/>
  <c r="H24" i="41"/>
  <c r="L27" i="48" s="1"/>
  <c r="G24" i="41"/>
  <c r="K27" i="48" s="1"/>
  <c r="F24" i="41"/>
  <c r="J27" i="48" s="1"/>
  <c r="E24" i="41"/>
  <c r="I27" i="48" s="1"/>
  <c r="J23" i="41"/>
  <c r="N26" i="48" s="1"/>
  <c r="I23" i="41"/>
  <c r="M26" i="48" s="1"/>
  <c r="H23" i="41"/>
  <c r="L26" i="48" s="1"/>
  <c r="G23" i="41"/>
  <c r="K26" i="48" s="1"/>
  <c r="F23" i="41"/>
  <c r="J26" i="48" s="1"/>
  <c r="E23" i="41"/>
  <c r="I26" i="48" s="1"/>
  <c r="J22" i="41"/>
  <c r="N25" i="48" s="1"/>
  <c r="I22" i="41"/>
  <c r="M25" i="48" s="1"/>
  <c r="H22" i="41"/>
  <c r="L25" i="48" s="1"/>
  <c r="G22" i="41"/>
  <c r="K25" i="48" s="1"/>
  <c r="F22" i="41"/>
  <c r="J25" i="48" s="1"/>
  <c r="E22" i="41"/>
  <c r="I25" i="48" s="1"/>
  <c r="J21" i="41"/>
  <c r="N24" i="48" s="1"/>
  <c r="I21" i="41"/>
  <c r="M24" i="48" s="1"/>
  <c r="H21" i="41"/>
  <c r="L24" i="48" s="1"/>
  <c r="G21" i="41"/>
  <c r="K24" i="48" s="1"/>
  <c r="F21" i="41"/>
  <c r="J24" i="48" s="1"/>
  <c r="E21" i="41"/>
  <c r="I24" i="48" s="1"/>
  <c r="J20" i="41"/>
  <c r="N23" i="48" s="1"/>
  <c r="I20" i="41"/>
  <c r="M23" i="48" s="1"/>
  <c r="H20" i="41"/>
  <c r="L23" i="48" s="1"/>
  <c r="G20" i="41"/>
  <c r="K23" i="48" s="1"/>
  <c r="F20" i="41"/>
  <c r="J23" i="48" s="1"/>
  <c r="E20" i="41"/>
  <c r="I23" i="48" s="1"/>
  <c r="J19" i="41"/>
  <c r="N22" i="48" s="1"/>
  <c r="I19" i="41"/>
  <c r="M22" i="48" s="1"/>
  <c r="H19" i="41"/>
  <c r="L22" i="48" s="1"/>
  <c r="G19" i="41"/>
  <c r="K22" i="48" s="1"/>
  <c r="F19" i="41"/>
  <c r="J22" i="48" s="1"/>
  <c r="E19" i="41"/>
  <c r="I22" i="48" s="1"/>
  <c r="J18" i="41"/>
  <c r="N21" i="48" s="1"/>
  <c r="I18" i="41"/>
  <c r="M21" i="48" s="1"/>
  <c r="H18" i="41"/>
  <c r="L21" i="48" s="1"/>
  <c r="G18" i="41"/>
  <c r="K21" i="48" s="1"/>
  <c r="F18" i="41"/>
  <c r="J21" i="48" s="1"/>
  <c r="E18" i="41"/>
  <c r="I21" i="48" s="1"/>
  <c r="J17" i="41"/>
  <c r="N20" i="48" s="1"/>
  <c r="I17" i="41"/>
  <c r="M20" i="48" s="1"/>
  <c r="H17" i="41"/>
  <c r="L20" i="48" s="1"/>
  <c r="K20" i="48"/>
  <c r="F17" i="41"/>
  <c r="J20" i="48" s="1"/>
  <c r="E17" i="41"/>
  <c r="I20" i="48" s="1"/>
  <c r="J16" i="41"/>
  <c r="N19" i="48" s="1"/>
  <c r="I16" i="41"/>
  <c r="M19" i="48" s="1"/>
  <c r="H16" i="41"/>
  <c r="L19" i="48" s="1"/>
  <c r="G16" i="41"/>
  <c r="K19" i="48" s="1"/>
  <c r="F16" i="41"/>
  <c r="J19" i="48" s="1"/>
  <c r="E16" i="41"/>
  <c r="I19" i="48" s="1"/>
  <c r="J15" i="41"/>
  <c r="N18" i="48" s="1"/>
  <c r="I15" i="41"/>
  <c r="M18" i="48" s="1"/>
  <c r="H15" i="41"/>
  <c r="L18" i="48" s="1"/>
  <c r="G15" i="41"/>
  <c r="F15" i="41"/>
  <c r="J18" i="48" s="1"/>
  <c r="E15" i="41"/>
  <c r="I18" i="48" s="1"/>
  <c r="K7" i="18"/>
  <c r="K61" i="18" s="1"/>
  <c r="G12" i="41" l="1"/>
  <c r="I45" i="41"/>
  <c r="J45" i="41" s="1"/>
  <c r="K18" i="48"/>
  <c r="J15" i="48"/>
  <c r="J31" i="48"/>
  <c r="N15" i="48"/>
  <c r="N31" i="48"/>
  <c r="L15" i="48"/>
  <c r="L31" i="48"/>
  <c r="I31" i="48"/>
  <c r="I15" i="48"/>
  <c r="M15" i="48"/>
  <c r="M31" i="48"/>
  <c r="H12" i="41"/>
  <c r="E12" i="41"/>
  <c r="I12" i="41"/>
  <c r="F12" i="41"/>
  <c r="J12" i="41"/>
  <c r="H28" i="41"/>
  <c r="F28" i="41"/>
  <c r="J28" i="41"/>
  <c r="G28" i="41"/>
  <c r="E28" i="41"/>
  <c r="I28" i="41"/>
  <c r="E7" i="39"/>
  <c r="E8" i="39" s="1"/>
  <c r="E17" i="39"/>
  <c r="E16" i="39"/>
  <c r="E15" i="39"/>
  <c r="E14" i="39"/>
  <c r="K31" i="48" l="1"/>
  <c r="K15" i="48"/>
  <c r="G13" i="45"/>
  <c r="I13" i="45"/>
  <c r="H13" i="45"/>
  <c r="J13" i="45"/>
  <c r="F13" i="45"/>
  <c r="K13" i="45"/>
  <c r="F58" i="18"/>
  <c r="F57" i="18"/>
  <c r="F55" i="18"/>
  <c r="F53" i="18"/>
  <c r="F52" i="18"/>
  <c r="F7" i="18"/>
  <c r="F61" i="18" s="1"/>
  <c r="A13" i="13"/>
  <c r="A1442" i="13"/>
  <c r="A1377" i="13"/>
  <c r="A1378" i="13"/>
  <c r="A14" i="13"/>
  <c r="D38" i="38" l="1"/>
  <c r="D19" i="45" l="1"/>
  <c r="D20" i="45"/>
  <c r="D37" i="38"/>
  <c r="A1585" i="13" l="1"/>
  <c r="A1584" i="13"/>
  <c r="A1583" i="13"/>
  <c r="A1582" i="13"/>
  <c r="A1581" i="13"/>
  <c r="A1580" i="13"/>
  <c r="A1579" i="13"/>
  <c r="A1578" i="13"/>
  <c r="A1577" i="13"/>
  <c r="A1576" i="13"/>
  <c r="A1575" i="13"/>
  <c r="A1574" i="13"/>
  <c r="A1573" i="13"/>
  <c r="A1572" i="13"/>
  <c r="A1571" i="13"/>
  <c r="A1570" i="13"/>
  <c r="A1569" i="13"/>
  <c r="A1568" i="13"/>
  <c r="A1567" i="13"/>
  <c r="A1566" i="13"/>
  <c r="A1565" i="13"/>
  <c r="A1564" i="13"/>
  <c r="A1563" i="13"/>
  <c r="A1562" i="13"/>
  <c r="A1561" i="13"/>
  <c r="A1560" i="13"/>
  <c r="A1559" i="13"/>
  <c r="A1558" i="13"/>
  <c r="A1557" i="13"/>
  <c r="A1556" i="13"/>
  <c r="A1555" i="13"/>
  <c r="A1554" i="13"/>
  <c r="A1553" i="13"/>
  <c r="A1552" i="13"/>
  <c r="A1551" i="13"/>
  <c r="A1550" i="13"/>
  <c r="A1549" i="13"/>
  <c r="A1548" i="13"/>
  <c r="A1547" i="13"/>
  <c r="A1546" i="13"/>
  <c r="A1545" i="13"/>
  <c r="A1544" i="13"/>
  <c r="A1543" i="13"/>
  <c r="A1542" i="13"/>
  <c r="A1541" i="13"/>
  <c r="A1540" i="13"/>
  <c r="A1539" i="13"/>
  <c r="A1538" i="13"/>
  <c r="A1537" i="13"/>
  <c r="A1536" i="13"/>
  <c r="A1535" i="13"/>
  <c r="A1534" i="13"/>
  <c r="A1533" i="13"/>
  <c r="A1532" i="13"/>
  <c r="A1531" i="13"/>
  <c r="A1530" i="13"/>
  <c r="A1529" i="13"/>
  <c r="A1528" i="13"/>
  <c r="A1527" i="13"/>
  <c r="A1526" i="13"/>
  <c r="A1525" i="13"/>
  <c r="A1524" i="13"/>
  <c r="A1523" i="13"/>
  <c r="A1522" i="13"/>
  <c r="A1521" i="13"/>
  <c r="A1520" i="13"/>
  <c r="A1519" i="13"/>
  <c r="A1518" i="13"/>
  <c r="A1517" i="13"/>
  <c r="A1516" i="13"/>
  <c r="A1515" i="13"/>
  <c r="A1514" i="13"/>
  <c r="A1513" i="13"/>
  <c r="A1512" i="13"/>
  <c r="A1511" i="13"/>
  <c r="A1510" i="13"/>
  <c r="A1509" i="13"/>
  <c r="A1508" i="13"/>
  <c r="A1507" i="13"/>
  <c r="A1506" i="13"/>
  <c r="A1505" i="13"/>
  <c r="A1504" i="13"/>
  <c r="A1503" i="13"/>
  <c r="A1502" i="13"/>
  <c r="A1501" i="13"/>
  <c r="A1500" i="13"/>
  <c r="A1499" i="13"/>
  <c r="A1498" i="13"/>
  <c r="A1497" i="13"/>
  <c r="A1496" i="13"/>
  <c r="A1495" i="13"/>
  <c r="A1494" i="13"/>
  <c r="A1493" i="13"/>
  <c r="A1492" i="13"/>
  <c r="A1491" i="13"/>
  <c r="A1490" i="13"/>
  <c r="A1489" i="13"/>
  <c r="A1488" i="13"/>
  <c r="A1487" i="13"/>
  <c r="A1486" i="13"/>
  <c r="A1485" i="13"/>
  <c r="A1484" i="13"/>
  <c r="A1483" i="13"/>
  <c r="A1482" i="13"/>
  <c r="A1481" i="13"/>
  <c r="A1480" i="13"/>
  <c r="A1479" i="13"/>
  <c r="A1478" i="13"/>
  <c r="A1477" i="13"/>
  <c r="A1476" i="13"/>
  <c r="A1475" i="13"/>
  <c r="A1474" i="13"/>
  <c r="A1473" i="13"/>
  <c r="A1472" i="13"/>
  <c r="A1471" i="13"/>
  <c r="A1470" i="13"/>
  <c r="A1469" i="13"/>
  <c r="A1468" i="13"/>
  <c r="A1467" i="13"/>
  <c r="A1466" i="13"/>
  <c r="A1465" i="13"/>
  <c r="A1464" i="13"/>
  <c r="A1463" i="13"/>
  <c r="A1462" i="13"/>
  <c r="A1461" i="13"/>
  <c r="A1460" i="13"/>
  <c r="A1459" i="13"/>
  <c r="A1458" i="13"/>
  <c r="A1457" i="13"/>
  <c r="A1456" i="13"/>
  <c r="A1455" i="13"/>
  <c r="A1454" i="13"/>
  <c r="A1453" i="13"/>
  <c r="A1452" i="13"/>
  <c r="A1451" i="13"/>
  <c r="A1450" i="13"/>
  <c r="A1449" i="13"/>
  <c r="A1448" i="13"/>
  <c r="A1447" i="13"/>
  <c r="A1446" i="13"/>
  <c r="A1445" i="13"/>
  <c r="A1444" i="13"/>
  <c r="A1443" i="13"/>
  <c r="A1441" i="13"/>
  <c r="A1440" i="13"/>
  <c r="A1439" i="13"/>
  <c r="A1438" i="13"/>
  <c r="A1437" i="13"/>
  <c r="A1436" i="13"/>
  <c r="A1435" i="13"/>
  <c r="A1434" i="13"/>
  <c r="A1433" i="13"/>
  <c r="A1432" i="13"/>
  <c r="A1431" i="13"/>
  <c r="A1430" i="13"/>
  <c r="A1429" i="13"/>
  <c r="A1428" i="13"/>
  <c r="A1427" i="13"/>
  <c r="A1426" i="13"/>
  <c r="A1425" i="13"/>
  <c r="A1424" i="13"/>
  <c r="A1423" i="13"/>
  <c r="A1422" i="13"/>
  <c r="A1421" i="13"/>
  <c r="A1420" i="13"/>
  <c r="A1419" i="13"/>
  <c r="A1418" i="13"/>
  <c r="A1417" i="13"/>
  <c r="A1416" i="13"/>
  <c r="A1415" i="13"/>
  <c r="A1414" i="13"/>
  <c r="A1413" i="13"/>
  <c r="A1412" i="13"/>
  <c r="A1411" i="13"/>
  <c r="A1410" i="13"/>
  <c r="A1409" i="13"/>
  <c r="A1408" i="13"/>
  <c r="A1407" i="13"/>
  <c r="A1406" i="13"/>
  <c r="A1405" i="13"/>
  <c r="A1404" i="13"/>
  <c r="A1403" i="13"/>
  <c r="A1402" i="13"/>
  <c r="A1401" i="13"/>
  <c r="A1400" i="13"/>
  <c r="A1399" i="13"/>
  <c r="A1398" i="13"/>
  <c r="A1397" i="13"/>
  <c r="A1396" i="13"/>
  <c r="A1395" i="13"/>
  <c r="A1394" i="13"/>
  <c r="A1393" i="13"/>
  <c r="A1392" i="13"/>
  <c r="A1391" i="13"/>
  <c r="A1389" i="13"/>
  <c r="A1388" i="13"/>
  <c r="A1387" i="13"/>
  <c r="A1386" i="13"/>
  <c r="A1385" i="13"/>
  <c r="A1384" i="13"/>
  <c r="A1383" i="13"/>
  <c r="A1382" i="13"/>
  <c r="A1381" i="13"/>
  <c r="A1380" i="13"/>
  <c r="A1379" i="13"/>
  <c r="A1376" i="13"/>
  <c r="A1375" i="13"/>
  <c r="A1374" i="13"/>
  <c r="A1373" i="13"/>
  <c r="A1372" i="13"/>
  <c r="A1371" i="13"/>
  <c r="A1370" i="13"/>
  <c r="A1369" i="13"/>
  <c r="A1368" i="13"/>
  <c r="A1367" i="13"/>
  <c r="A1366" i="13"/>
  <c r="A1365" i="13"/>
  <c r="A1364" i="13"/>
  <c r="A1363" i="13"/>
  <c r="A1362" i="13"/>
  <c r="A1361" i="13"/>
  <c r="A1360" i="13"/>
  <c r="A1359" i="13"/>
  <c r="A1358" i="13"/>
  <c r="A1357" i="13"/>
  <c r="A1356" i="13"/>
  <c r="A1355" i="13"/>
  <c r="A1354" i="13"/>
  <c r="A1353" i="13"/>
  <c r="A1352" i="13"/>
  <c r="A1351" i="13"/>
  <c r="A1350" i="13"/>
  <c r="A1349" i="13"/>
  <c r="A1348" i="13"/>
  <c r="A1347" i="13"/>
  <c r="A1346" i="13"/>
  <c r="A1345" i="13"/>
  <c r="A1344" i="13"/>
  <c r="A1044" i="13"/>
  <c r="A1043" i="13"/>
  <c r="A1042" i="13"/>
  <c r="A1041" i="13"/>
  <c r="A1040" i="13"/>
  <c r="A1039" i="13"/>
  <c r="A1038" i="13"/>
  <c r="A1037" i="13"/>
  <c r="A1036" i="13"/>
  <c r="A1035" i="13"/>
  <c r="A1034" i="13"/>
  <c r="A1033" i="13"/>
  <c r="A1032" i="13"/>
  <c r="A1031" i="13"/>
  <c r="A1030" i="13"/>
  <c r="A1029" i="13"/>
  <c r="A1028" i="13"/>
  <c r="A719" i="13"/>
  <c r="A718" i="13"/>
  <c r="A717" i="13"/>
  <c r="A716" i="13"/>
  <c r="A715" i="13"/>
  <c r="A714" i="13"/>
  <c r="A713" i="13"/>
  <c r="A712" i="13"/>
  <c r="A711" i="13"/>
  <c r="A710" i="13"/>
  <c r="A709" i="13"/>
  <c r="A708" i="13"/>
  <c r="A707" i="13"/>
  <c r="A706" i="13"/>
  <c r="A705" i="13"/>
  <c r="A704" i="13"/>
  <c r="A703" i="13"/>
  <c r="A702" i="13"/>
  <c r="A701" i="13"/>
  <c r="A700" i="13"/>
  <c r="A699" i="13"/>
  <c r="A698" i="13"/>
  <c r="A697" i="13"/>
  <c r="A696" i="13"/>
  <c r="A695" i="13"/>
  <c r="A694" i="13"/>
  <c r="A693" i="13"/>
  <c r="A692" i="13"/>
  <c r="A691" i="13"/>
  <c r="A690" i="13"/>
  <c r="A689" i="13"/>
  <c r="A688" i="13"/>
  <c r="A687" i="13"/>
  <c r="A686" i="13"/>
  <c r="A685" i="13"/>
  <c r="A684" i="13"/>
  <c r="A683" i="13"/>
  <c r="A682" i="13"/>
  <c r="A681" i="13"/>
  <c r="A680" i="13"/>
  <c r="A679" i="13"/>
  <c r="A678" i="13"/>
  <c r="A677" i="13"/>
  <c r="A676" i="13"/>
  <c r="A675" i="13"/>
  <c r="A584" i="13"/>
  <c r="A583" i="13"/>
  <c r="A582" i="13"/>
  <c r="A581" i="13"/>
  <c r="A580" i="13"/>
  <c r="A579" i="13"/>
  <c r="A578" i="13"/>
  <c r="A577" i="13"/>
  <c r="A576" i="13"/>
  <c r="A575" i="13"/>
  <c r="A574" i="13"/>
  <c r="A573" i="13"/>
  <c r="A572" i="13"/>
  <c r="A571" i="13"/>
  <c r="A570" i="13"/>
  <c r="A569" i="13"/>
  <c r="A568" i="13"/>
  <c r="A420" i="13"/>
  <c r="A419" i="13"/>
  <c r="A418"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7" i="13"/>
  <c r="A166" i="13"/>
  <c r="A165" i="13"/>
  <c r="A164" i="13"/>
  <c r="A163" i="13"/>
  <c r="A162" i="13"/>
  <c r="A161" i="13"/>
  <c r="A160" i="13"/>
  <c r="A159" i="13"/>
  <c r="A158" i="13"/>
  <c r="A157" i="13"/>
  <c r="A156"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1"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31" i="13"/>
  <c r="A30" i="13"/>
  <c r="A29" i="13"/>
  <c r="A28" i="13"/>
  <c r="A27" i="13"/>
  <c r="A26" i="13"/>
  <c r="A25" i="13"/>
  <c r="A24" i="13"/>
  <c r="A23" i="13"/>
  <c r="A22" i="13"/>
  <c r="A21" i="13"/>
  <c r="A20" i="13"/>
  <c r="A19" i="13"/>
  <c r="A18" i="13"/>
  <c r="A17" i="13"/>
  <c r="A16" i="13"/>
  <c r="A15" i="13"/>
  <c r="E18" i="39"/>
  <c r="E13" i="39"/>
  <c r="E12" i="39"/>
  <c r="E11" i="39"/>
  <c r="A5" i="39"/>
  <c r="E19" i="39" l="1"/>
  <c r="G75" i="13"/>
  <c r="H7" i="13"/>
  <c r="H10" i="13"/>
  <c r="M1439" i="13"/>
  <c r="M1433" i="13"/>
  <c r="M1432" i="13"/>
  <c r="M1416" i="13"/>
  <c r="M1415" i="13"/>
  <c r="M1414" i="13"/>
  <c r="M1413" i="13"/>
  <c r="M1412" i="13"/>
  <c r="M1404" i="13"/>
  <c r="M1402" i="13"/>
  <c r="M1399" i="13"/>
  <c r="M1381" i="13"/>
  <c r="M1380" i="13"/>
  <c r="M1374" i="13"/>
  <c r="M1366" i="13"/>
  <c r="M1362" i="13"/>
  <c r="M1354" i="13"/>
  <c r="M1350" i="13"/>
  <c r="M79" i="13"/>
  <c r="M31" i="13"/>
  <c r="M32" i="13" s="1"/>
  <c r="M10" i="46" l="1"/>
  <c r="M4" i="53"/>
  <c r="E9" i="41"/>
  <c r="E10" i="41" s="1"/>
  <c r="F9" i="41" s="1"/>
  <c r="F10" i="41" s="1"/>
  <c r="G9" i="41" s="1"/>
  <c r="G10" i="41" s="1"/>
  <c r="H9" i="41" s="1"/>
  <c r="H10" i="41" s="1"/>
  <c r="I9" i="41" s="1"/>
  <c r="H2" i="53"/>
  <c r="H3" i="53" s="1"/>
  <c r="I2" i="53" s="1"/>
  <c r="I3" i="53" s="1"/>
  <c r="J2" i="53" s="1"/>
  <c r="J3" i="53" s="1"/>
  <c r="K2" i="53" s="1"/>
  <c r="K3" i="53" s="1"/>
  <c r="L2" i="53" s="1"/>
  <c r="L3" i="53" s="1"/>
  <c r="M2" i="53" s="1"/>
  <c r="M3" i="53" s="1"/>
  <c r="M37" i="13"/>
  <c r="M39" i="13"/>
  <c r="M34" i="13"/>
  <c r="M41" i="13"/>
  <c r="M43" i="13" s="1"/>
  <c r="H8" i="46"/>
  <c r="G8" i="46" s="1"/>
  <c r="G10" i="13"/>
  <c r="G7" i="34" s="1"/>
  <c r="M18" i="34"/>
  <c r="M11" i="46"/>
  <c r="M65" i="13"/>
  <c r="K48" i="18" s="1"/>
  <c r="K11" i="18"/>
  <c r="H7" i="34"/>
  <c r="F8" i="18"/>
  <c r="E22" i="39"/>
  <c r="E21" i="39"/>
  <c r="D170" i="13"/>
  <c r="C111" i="13"/>
  <c r="D7" i="38"/>
  <c r="H11" i="13"/>
  <c r="M63" i="13"/>
  <c r="K46" i="18" s="1"/>
  <c r="M70" i="13"/>
  <c r="K56" i="18" s="1"/>
  <c r="M64" i="13"/>
  <c r="K47" i="18" s="1"/>
  <c r="M67" i="13"/>
  <c r="K50" i="18" s="1"/>
  <c r="M1581" i="13"/>
  <c r="M62" i="13"/>
  <c r="K45" i="18" s="1"/>
  <c r="M1430" i="13"/>
  <c r="M1406" i="13"/>
  <c r="M1401" i="13"/>
  <c r="M1392" i="13"/>
  <c r="M1387" i="13"/>
  <c r="M1407" i="13"/>
  <c r="M1386" i="13"/>
  <c r="M1431" i="13"/>
  <c r="M1405" i="13"/>
  <c r="M1396" i="13"/>
  <c r="M1385" i="13"/>
  <c r="M1403" i="13"/>
  <c r="M1394" i="13"/>
  <c r="M66" i="13"/>
  <c r="K49" i="18" s="1"/>
  <c r="M1393" i="13"/>
  <c r="M61" i="13"/>
  <c r="K44" i="18" s="1"/>
  <c r="M1395" i="13"/>
  <c r="M1457" i="13"/>
  <c r="M1458" i="13" s="1"/>
  <c r="M5" i="53" l="1"/>
  <c r="M6" i="53" s="1"/>
  <c r="N16" i="48"/>
  <c r="N32" i="48" s="1"/>
  <c r="J13" i="41"/>
  <c r="J29" i="41" s="1"/>
  <c r="K20" i="18"/>
  <c r="E8" i="18"/>
  <c r="D9" i="41"/>
  <c r="D10" i="41" s="1"/>
  <c r="G11" i="13"/>
  <c r="K8" i="47" s="1"/>
  <c r="K54" i="18"/>
  <c r="K162" i="18"/>
  <c r="K163" i="18"/>
  <c r="K155" i="18"/>
  <c r="K161" i="18"/>
  <c r="G80" i="13"/>
  <c r="G1440" i="13"/>
  <c r="G1375" i="13"/>
  <c r="H9" i="46"/>
  <c r="G9" i="46" s="1"/>
  <c r="L8" i="47"/>
  <c r="K38" i="18"/>
  <c r="H8" i="34"/>
  <c r="F9" i="18"/>
  <c r="I10" i="41"/>
  <c r="E25" i="39"/>
  <c r="E43" i="39" s="1"/>
  <c r="D8" i="38"/>
  <c r="D12" i="38" s="1"/>
  <c r="I10" i="13"/>
  <c r="I8" i="46" s="1"/>
  <c r="M1462" i="13"/>
  <c r="M1435" i="13"/>
  <c r="F136" i="38"/>
  <c r="E136" i="38"/>
  <c r="E52" i="39" l="1"/>
  <c r="E73" i="18"/>
  <c r="C73" i="18" s="1"/>
  <c r="E9" i="18"/>
  <c r="G8" i="34"/>
  <c r="G1376" i="13"/>
  <c r="G1441" i="13"/>
  <c r="G81" i="13"/>
  <c r="G198" i="13" s="1"/>
  <c r="I54" i="46"/>
  <c r="I55" i="46"/>
  <c r="I11" i="13"/>
  <c r="I7" i="34"/>
  <c r="J9" i="41"/>
  <c r="P136" i="38"/>
  <c r="O136" i="38"/>
  <c r="N136" i="38"/>
  <c r="M136" i="38"/>
  <c r="L136" i="38"/>
  <c r="K136" i="38"/>
  <c r="J136" i="38"/>
  <c r="I136" i="38"/>
  <c r="H136" i="38"/>
  <c r="G136" i="38"/>
  <c r="G186" i="13" l="1"/>
  <c r="G1257" i="13" s="1"/>
  <c r="G202" i="13"/>
  <c r="G353" i="13" s="1"/>
  <c r="G215" i="13"/>
  <c r="G366" i="13" s="1"/>
  <c r="G195" i="13"/>
  <c r="G1107" i="13" s="1"/>
  <c r="G139" i="13"/>
  <c r="G1210" i="13" s="1"/>
  <c r="G162" i="13"/>
  <c r="G158" i="13"/>
  <c r="G1229" i="13" s="1"/>
  <c r="G151" i="13"/>
  <c r="G1222" i="13" s="1"/>
  <c r="G147" i="13"/>
  <c r="G143" i="13"/>
  <c r="G135" i="13"/>
  <c r="G131" i="13"/>
  <c r="G160" i="13"/>
  <c r="G1231" i="13" s="1"/>
  <c r="G156" i="13"/>
  <c r="G1227" i="13" s="1"/>
  <c r="G149" i="13"/>
  <c r="G145" i="13"/>
  <c r="G133" i="13"/>
  <c r="G163" i="13"/>
  <c r="G1234" i="13" s="1"/>
  <c r="G159" i="13"/>
  <c r="G1230" i="13" s="1"/>
  <c r="G155" i="13"/>
  <c r="G1226" i="13" s="1"/>
  <c r="G148" i="13"/>
  <c r="G144" i="13"/>
  <c r="G136" i="13"/>
  <c r="G132" i="13"/>
  <c r="G137" i="13"/>
  <c r="G157" i="13"/>
  <c r="G1228" i="13" s="1"/>
  <c r="G134" i="13"/>
  <c r="G138" i="13"/>
  <c r="G150" i="13"/>
  <c r="G1221" i="13" s="1"/>
  <c r="G161" i="13"/>
  <c r="G1232" i="13" s="1"/>
  <c r="G146" i="13"/>
  <c r="G182" i="13"/>
  <c r="G333" i="13" s="1"/>
  <c r="G263" i="13"/>
  <c r="G1334" i="13" s="1"/>
  <c r="G258" i="13"/>
  <c r="G409" i="13" s="1"/>
  <c r="G253" i="13"/>
  <c r="G404" i="13" s="1"/>
  <c r="G249" i="13"/>
  <c r="G1320" i="13" s="1"/>
  <c r="G244" i="13"/>
  <c r="G1315" i="13" s="1"/>
  <c r="G239" i="13"/>
  <c r="G1310" i="13" s="1"/>
  <c r="G234" i="13"/>
  <c r="G385" i="13" s="1"/>
  <c r="G229" i="13"/>
  <c r="G380" i="13" s="1"/>
  <c r="G225" i="13"/>
  <c r="G1296" i="13" s="1"/>
  <c r="G252" i="13"/>
  <c r="G247" i="13"/>
  <c r="G1318" i="13" s="1"/>
  <c r="G238" i="13"/>
  <c r="G1150" i="13" s="1"/>
  <c r="G228" i="13"/>
  <c r="G379" i="13" s="1"/>
  <c r="G264" i="13"/>
  <c r="G1176" i="13" s="1"/>
  <c r="G259" i="13"/>
  <c r="G410" i="13" s="1"/>
  <c r="G255" i="13"/>
  <c r="G1326" i="13" s="1"/>
  <c r="G250" i="13"/>
  <c r="G1321" i="13" s="1"/>
  <c r="G245" i="13"/>
  <c r="G396" i="13" s="1"/>
  <c r="G240" i="13"/>
  <c r="G1152" i="13" s="1"/>
  <c r="G235" i="13"/>
  <c r="G386" i="13" s="1"/>
  <c r="G231" i="13"/>
  <c r="G382" i="13" s="1"/>
  <c r="G226" i="13"/>
  <c r="G1297" i="13" s="1"/>
  <c r="G227" i="13"/>
  <c r="G1298" i="13" s="1"/>
  <c r="G262" i="13"/>
  <c r="G1333" i="13" s="1"/>
  <c r="G257" i="13"/>
  <c r="G408" i="13" s="1"/>
  <c r="G233" i="13"/>
  <c r="G1304" i="13" s="1"/>
  <c r="G265" i="13"/>
  <c r="G1336" i="13" s="1"/>
  <c r="G261" i="13"/>
  <c r="G1173" i="13" s="1"/>
  <c r="G256" i="13"/>
  <c r="G1168" i="13" s="1"/>
  <c r="G251" i="13"/>
  <c r="G402" i="13" s="1"/>
  <c r="G246" i="13"/>
  <c r="G1158" i="13" s="1"/>
  <c r="G241" i="13"/>
  <c r="G1153" i="13" s="1"/>
  <c r="G237" i="13"/>
  <c r="G1149" i="13" s="1"/>
  <c r="G232" i="13"/>
  <c r="G383" i="13" s="1"/>
  <c r="G243" i="13"/>
  <c r="G1314" i="13" s="1"/>
  <c r="G125" i="13"/>
  <c r="G282" i="13" s="1"/>
  <c r="G179" i="13"/>
  <c r="G1091" i="13" s="1"/>
  <c r="G221" i="13"/>
  <c r="G1133" i="13" s="1"/>
  <c r="G115" i="13"/>
  <c r="G1188" i="13" s="1"/>
  <c r="G118" i="13"/>
  <c r="G1035" i="13" s="1"/>
  <c r="G220" i="13"/>
  <c r="G1291" i="13" s="1"/>
  <c r="G200" i="13"/>
  <c r="G351" i="13" s="1"/>
  <c r="G218" i="13"/>
  <c r="G369" i="13" s="1"/>
  <c r="G183" i="13"/>
  <c r="G1095" i="13" s="1"/>
  <c r="G196" i="13"/>
  <c r="G347" i="13" s="1"/>
  <c r="G1164" i="13"/>
  <c r="G172" i="13"/>
  <c r="G323" i="13" s="1"/>
  <c r="G190" i="13"/>
  <c r="G1102" i="13" s="1"/>
  <c r="G213" i="13"/>
  <c r="G1125" i="13" s="1"/>
  <c r="G194" i="13"/>
  <c r="G1106" i="13" s="1"/>
  <c r="G174" i="13"/>
  <c r="G325" i="13" s="1"/>
  <c r="G123" i="13"/>
  <c r="G1194" i="13" s="1"/>
  <c r="G197" i="13"/>
  <c r="G1109" i="13" s="1"/>
  <c r="G206" i="13"/>
  <c r="G1118" i="13" s="1"/>
  <c r="G177" i="13"/>
  <c r="G328" i="13" s="1"/>
  <c r="G223" i="13"/>
  <c r="G1135" i="13" s="1"/>
  <c r="G201" i="13"/>
  <c r="G352" i="13" s="1"/>
  <c r="G219" i="13"/>
  <c r="G1290" i="13" s="1"/>
  <c r="G180" i="13"/>
  <c r="G1251" i="13" s="1"/>
  <c r="G208" i="13"/>
  <c r="G1120" i="13" s="1"/>
  <c r="G189" i="13"/>
  <c r="G1260" i="13" s="1"/>
  <c r="G116" i="13"/>
  <c r="G1189" i="13" s="1"/>
  <c r="G212" i="13"/>
  <c r="G363" i="13" s="1"/>
  <c r="G192" i="13"/>
  <c r="G1104" i="13" s="1"/>
  <c r="G173" i="13"/>
  <c r="G324" i="13" s="1"/>
  <c r="G204" i="13"/>
  <c r="G1116" i="13" s="1"/>
  <c r="G176" i="13"/>
  <c r="G1247" i="13" s="1"/>
  <c r="G210" i="13"/>
  <c r="G361" i="13" s="1"/>
  <c r="G114" i="13"/>
  <c r="G1031" i="13" s="1"/>
  <c r="G124" i="13"/>
  <c r="G1039" i="13" s="1"/>
  <c r="G216" i="13"/>
  <c r="G1287" i="13" s="1"/>
  <c r="G178" i="13"/>
  <c r="G1090" i="13" s="1"/>
  <c r="G185" i="13"/>
  <c r="G336" i="13" s="1"/>
  <c r="G214" i="13"/>
  <c r="G1285" i="13" s="1"/>
  <c r="G117" i="13"/>
  <c r="G1190" i="13" s="1"/>
  <c r="G191" i="13"/>
  <c r="G342" i="13" s="1"/>
  <c r="G209" i="13"/>
  <c r="G1280" i="13" s="1"/>
  <c r="G222" i="13"/>
  <c r="G1293" i="13" s="1"/>
  <c r="G203" i="13"/>
  <c r="G1274" i="13" s="1"/>
  <c r="G184" i="13"/>
  <c r="G1096" i="13" s="1"/>
  <c r="G207" i="13"/>
  <c r="G1119" i="13" s="1"/>
  <c r="G188" i="13"/>
  <c r="G1259" i="13" s="1"/>
  <c r="G126" i="13"/>
  <c r="G1197" i="13" s="1"/>
  <c r="J10" i="13"/>
  <c r="J8" i="46" s="1"/>
  <c r="J54" i="46" s="1"/>
  <c r="G349" i="13"/>
  <c r="G1110" i="13"/>
  <c r="G1269" i="13"/>
  <c r="G1303" i="13"/>
  <c r="I68" i="46"/>
  <c r="I63" i="46"/>
  <c r="I66" i="46" s="1"/>
  <c r="I9" i="46"/>
  <c r="M8" i="47"/>
  <c r="I8" i="34"/>
  <c r="G9" i="18"/>
  <c r="J10" i="41"/>
  <c r="K166" i="18"/>
  <c r="G1075" i="13" l="1"/>
  <c r="G1233" i="13"/>
  <c r="G1235" i="13" s="1"/>
  <c r="G1060" i="13"/>
  <c r="G1216" i="13"/>
  <c r="G1061" i="13"/>
  <c r="G1217" i="13"/>
  <c r="G1064" i="13"/>
  <c r="G1220" i="13"/>
  <c r="G1059" i="13"/>
  <c r="G1215" i="13"/>
  <c r="G1058" i="13"/>
  <c r="G1214" i="13"/>
  <c r="G1065" i="13"/>
  <c r="G1063" i="13"/>
  <c r="G1219" i="13"/>
  <c r="G1062" i="13"/>
  <c r="G1218" i="13"/>
  <c r="G1114" i="13"/>
  <c r="G377" i="13"/>
  <c r="G675" i="13" s="1"/>
  <c r="G1098" i="13"/>
  <c r="G337" i="13"/>
  <c r="G942" i="13" s="1"/>
  <c r="G391" i="13"/>
  <c r="G689" i="13" s="1"/>
  <c r="G1244" i="13"/>
  <c r="G360" i="13"/>
  <c r="G812" i="13" s="1"/>
  <c r="G1286" i="13"/>
  <c r="G1139" i="13"/>
  <c r="G1155" i="13"/>
  <c r="G274" i="13"/>
  <c r="G726" i="13" s="1"/>
  <c r="G1209" i="13"/>
  <c r="G1053" i="13"/>
  <c r="G1203" i="13"/>
  <c r="G1047" i="13"/>
  <c r="G1202" i="13"/>
  <c r="G1046" i="13"/>
  <c r="G308" i="13"/>
  <c r="G1066" i="13"/>
  <c r="G1205" i="13"/>
  <c r="G1049" i="13"/>
  <c r="G1207" i="13"/>
  <c r="G1051" i="13"/>
  <c r="G1072" i="13"/>
  <c r="G1206" i="13"/>
  <c r="G1050" i="13"/>
  <c r="G1071" i="13"/>
  <c r="G1243" i="13"/>
  <c r="G1074" i="13"/>
  <c r="G1070" i="13"/>
  <c r="G1079" i="13"/>
  <c r="G1076" i="13"/>
  <c r="G1127" i="13"/>
  <c r="G1208" i="13"/>
  <c r="G1052" i="13"/>
  <c r="G1204" i="13"/>
  <c r="G1048" i="13"/>
  <c r="G1073" i="13"/>
  <c r="G280" i="13"/>
  <c r="G732" i="13" s="1"/>
  <c r="G320" i="13"/>
  <c r="G313" i="13"/>
  <c r="G1089" i="13"/>
  <c r="G335" i="13"/>
  <c r="G633" i="13" s="1"/>
  <c r="G388" i="13"/>
  <c r="G840" i="13" s="1"/>
  <c r="G1312" i="13"/>
  <c r="G1115" i="13"/>
  <c r="G66" i="18"/>
  <c r="I69" i="46"/>
  <c r="G1289" i="13"/>
  <c r="G1165" i="13"/>
  <c r="G371" i="13"/>
  <c r="G976" i="13" s="1"/>
  <c r="G346" i="13"/>
  <c r="G798" i="13" s="1"/>
  <c r="G412" i="13"/>
  <c r="G1017" i="13" s="1"/>
  <c r="G330" i="13"/>
  <c r="G782" i="13" s="1"/>
  <c r="G334" i="13"/>
  <c r="G786" i="13" s="1"/>
  <c r="G1262" i="13"/>
  <c r="G1263" i="13"/>
  <c r="G1327" i="13"/>
  <c r="G1266" i="13"/>
  <c r="G414" i="13"/>
  <c r="G1019" i="13" s="1"/>
  <c r="G1175" i="13"/>
  <c r="G367" i="13"/>
  <c r="G665" i="13" s="1"/>
  <c r="G1134" i="13"/>
  <c r="G1140" i="13"/>
  <c r="G1250" i="13"/>
  <c r="G407" i="13"/>
  <c r="G859" i="13" s="1"/>
  <c r="G376" i="13"/>
  <c r="G981" i="13" s="1"/>
  <c r="G359" i="13"/>
  <c r="G811" i="13" s="1"/>
  <c r="G406" i="13"/>
  <c r="G858" i="13" s="1"/>
  <c r="G1273" i="13"/>
  <c r="G1309" i="13"/>
  <c r="G339" i="13"/>
  <c r="G791" i="13" s="1"/>
  <c r="G400" i="13"/>
  <c r="G852" i="13" s="1"/>
  <c r="G1151" i="13"/>
  <c r="G1112" i="13"/>
  <c r="G331" i="13"/>
  <c r="G936" i="13" s="1"/>
  <c r="G1144" i="13"/>
  <c r="G275" i="13"/>
  <c r="G880" i="13" s="1"/>
  <c r="G390" i="13"/>
  <c r="G688" i="13" s="1"/>
  <c r="G1038" i="13"/>
  <c r="G1248" i="13"/>
  <c r="G1132" i="13"/>
  <c r="G1131" i="13"/>
  <c r="G1335" i="13"/>
  <c r="G401" i="13"/>
  <c r="G853" i="13" s="1"/>
  <c r="G1308" i="13"/>
  <c r="G1329" i="13"/>
  <c r="G372" i="13"/>
  <c r="G977" i="13" s="1"/>
  <c r="G365" i="13"/>
  <c r="G970" i="13" s="1"/>
  <c r="G1316" i="13"/>
  <c r="G370" i="13"/>
  <c r="G975" i="13" s="1"/>
  <c r="G374" i="13"/>
  <c r="G672" i="13" s="1"/>
  <c r="G1108" i="13"/>
  <c r="G1128" i="13"/>
  <c r="G327" i="13"/>
  <c r="G625" i="13" s="1"/>
  <c r="G1174" i="13"/>
  <c r="G1094" i="13"/>
  <c r="G1088" i="13"/>
  <c r="G1196" i="13"/>
  <c r="G1167" i="13"/>
  <c r="G277" i="13"/>
  <c r="G729" i="13" s="1"/>
  <c r="G357" i="13"/>
  <c r="G809" i="13" s="1"/>
  <c r="G1254" i="13"/>
  <c r="G295" i="13"/>
  <c r="G746" i="13" s="1"/>
  <c r="G302" i="13"/>
  <c r="G394" i="13"/>
  <c r="G692" i="13" s="1"/>
  <c r="G343" i="13"/>
  <c r="G795" i="13" s="1"/>
  <c r="G1130" i="13"/>
  <c r="G1330" i="13"/>
  <c r="G378" i="13"/>
  <c r="G676" i="13" s="1"/>
  <c r="G1097" i="13"/>
  <c r="G1253" i="13"/>
  <c r="G303" i="13"/>
  <c r="G754" i="13" s="1"/>
  <c r="G291" i="13"/>
  <c r="G589" i="13" s="1"/>
  <c r="G293" i="13"/>
  <c r="G898" i="13" s="1"/>
  <c r="G316" i="13"/>
  <c r="G306" i="13"/>
  <c r="G757" i="13" s="1"/>
  <c r="G292" i="13"/>
  <c r="G590" i="13" s="1"/>
  <c r="G315" i="13"/>
  <c r="G920" i="13" s="1"/>
  <c r="G289" i="13"/>
  <c r="G587" i="13" s="1"/>
  <c r="G164" i="13"/>
  <c r="G312" i="13"/>
  <c r="G763" i="13" s="1"/>
  <c r="G140" i="13"/>
  <c r="G288" i="13"/>
  <c r="G893" i="13" s="1"/>
  <c r="G1032" i="13"/>
  <c r="G1033" i="13"/>
  <c r="G1311" i="13"/>
  <c r="G1171" i="13"/>
  <c r="G397" i="13"/>
  <c r="G695" i="13" s="1"/>
  <c r="G1113" i="13"/>
  <c r="G1256" i="13"/>
  <c r="G1284" i="13"/>
  <c r="G318" i="13"/>
  <c r="G314" i="13"/>
  <c r="G301" i="13"/>
  <c r="G300" i="13"/>
  <c r="G751" i="13" s="1"/>
  <c r="G152" i="13"/>
  <c r="G319" i="13"/>
  <c r="G329" i="13"/>
  <c r="G781" i="13" s="1"/>
  <c r="G307" i="13"/>
  <c r="G758" i="13" s="1"/>
  <c r="G294" i="13"/>
  <c r="G745" i="13" s="1"/>
  <c r="G305" i="13"/>
  <c r="G756" i="13" s="1"/>
  <c r="G290" i="13"/>
  <c r="G588" i="13" s="1"/>
  <c r="G317" i="13"/>
  <c r="G304" i="13"/>
  <c r="G755" i="13" s="1"/>
  <c r="G296" i="13"/>
  <c r="G1268" i="13"/>
  <c r="G354" i="13"/>
  <c r="G652" i="13" s="1"/>
  <c r="G1103" i="13"/>
  <c r="G1191" i="13"/>
  <c r="G1157" i="13"/>
  <c r="G1084" i="13"/>
  <c r="G1040" i="13"/>
  <c r="G1086" i="13"/>
  <c r="G1294" i="13"/>
  <c r="G389" i="13"/>
  <c r="G994" i="13" s="1"/>
  <c r="G1170" i="13"/>
  <c r="G1249" i="13"/>
  <c r="G1195" i="13"/>
  <c r="G1277" i="13"/>
  <c r="G1163" i="13"/>
  <c r="G1085" i="13"/>
  <c r="G1138" i="13"/>
  <c r="G1122" i="13"/>
  <c r="G128" i="13"/>
  <c r="G100" i="13" s="1"/>
  <c r="G281" i="13"/>
  <c r="G1271" i="13"/>
  <c r="G413" i="13"/>
  <c r="G865" i="13" s="1"/>
  <c r="G1169" i="13"/>
  <c r="G415" i="13"/>
  <c r="G867" i="13" s="1"/>
  <c r="G1324" i="13"/>
  <c r="G1124" i="13"/>
  <c r="G1141" i="13"/>
  <c r="G1121" i="13"/>
  <c r="G1300" i="13"/>
  <c r="G1161" i="13"/>
  <c r="G1292" i="13"/>
  <c r="G1317" i="13"/>
  <c r="G1328" i="13"/>
  <c r="G1100" i="13"/>
  <c r="G1245" i="13"/>
  <c r="G1322" i="13"/>
  <c r="G1283" i="13"/>
  <c r="G348" i="13"/>
  <c r="G646" i="13" s="1"/>
  <c r="G373" i="13"/>
  <c r="G671" i="13" s="1"/>
  <c r="G1261" i="13"/>
  <c r="G384" i="13"/>
  <c r="G682" i="13" s="1"/>
  <c r="G120" i="13"/>
  <c r="G99" i="13" s="1"/>
  <c r="G1147" i="13"/>
  <c r="G1278" i="13"/>
  <c r="G1265" i="13"/>
  <c r="G1156" i="13"/>
  <c r="G398" i="13"/>
  <c r="G1003" i="13" s="1"/>
  <c r="G276" i="13"/>
  <c r="G881" i="13" s="1"/>
  <c r="G355" i="13"/>
  <c r="G807" i="13" s="1"/>
  <c r="G1101" i="13"/>
  <c r="G1177" i="13"/>
  <c r="G1146" i="13"/>
  <c r="G403" i="13"/>
  <c r="G855" i="13" s="1"/>
  <c r="G1267" i="13"/>
  <c r="G1306" i="13"/>
  <c r="G392" i="13"/>
  <c r="G997" i="13" s="1"/>
  <c r="G358" i="13"/>
  <c r="G656" i="13" s="1"/>
  <c r="G345" i="13"/>
  <c r="G950" i="13" s="1"/>
  <c r="G416" i="13"/>
  <c r="G714" i="13" s="1"/>
  <c r="G1145" i="13"/>
  <c r="G1305" i="13"/>
  <c r="G341" i="13"/>
  <c r="G793" i="13" s="1"/>
  <c r="G1255" i="13"/>
  <c r="G1332" i="13"/>
  <c r="G1159" i="13"/>
  <c r="G1034" i="13"/>
  <c r="G1126" i="13"/>
  <c r="G1299" i="13"/>
  <c r="G395" i="13"/>
  <c r="G1000" i="13" s="1"/>
  <c r="G1302" i="13"/>
  <c r="G1137" i="13"/>
  <c r="G1279" i="13"/>
  <c r="G1092" i="13"/>
  <c r="G1272" i="13"/>
  <c r="G364" i="13"/>
  <c r="G969" i="13" s="1"/>
  <c r="G1187" i="13"/>
  <c r="G1281" i="13"/>
  <c r="G1323" i="13"/>
  <c r="G1162" i="13"/>
  <c r="G1143" i="13"/>
  <c r="G1275" i="13"/>
  <c r="G340" i="13"/>
  <c r="G638" i="13" s="1"/>
  <c r="G267" i="13"/>
  <c r="G273" i="13"/>
  <c r="G725" i="13" s="1"/>
  <c r="J7" i="34"/>
  <c r="J11" i="13"/>
  <c r="J8" i="34" s="1"/>
  <c r="J55" i="46"/>
  <c r="J68" i="46" s="1"/>
  <c r="G640" i="13"/>
  <c r="G794" i="13"/>
  <c r="G947" i="13"/>
  <c r="G694" i="13"/>
  <c r="G1001" i="13"/>
  <c r="G848" i="13"/>
  <c r="G677" i="13"/>
  <c r="G831" i="13"/>
  <c r="G984" i="13"/>
  <c r="G680" i="13"/>
  <c r="G987" i="13"/>
  <c r="G834" i="13"/>
  <c r="G706" i="13"/>
  <c r="G1013" i="13"/>
  <c r="G860" i="13"/>
  <c r="G621" i="13"/>
  <c r="G775" i="13"/>
  <c r="G928" i="13"/>
  <c r="G683" i="13"/>
  <c r="G837" i="13"/>
  <c r="G990" i="13"/>
  <c r="G661" i="13"/>
  <c r="G968" i="13"/>
  <c r="G815" i="13"/>
  <c r="G684" i="13"/>
  <c r="G991" i="13"/>
  <c r="G838" i="13"/>
  <c r="G681" i="13"/>
  <c r="G988" i="13"/>
  <c r="G835" i="13"/>
  <c r="G659" i="13"/>
  <c r="G813" i="13"/>
  <c r="G966" i="13"/>
  <c r="G702" i="13"/>
  <c r="G856" i="13"/>
  <c r="G1009" i="13"/>
  <c r="G631" i="13"/>
  <c r="G785" i="13"/>
  <c r="G938" i="13"/>
  <c r="G707" i="13"/>
  <c r="G861" i="13"/>
  <c r="G1014" i="13"/>
  <c r="G678" i="13"/>
  <c r="G832" i="13"/>
  <c r="G985" i="13"/>
  <c r="G664" i="13"/>
  <c r="G818" i="13"/>
  <c r="G971" i="13"/>
  <c r="G667" i="13"/>
  <c r="G974" i="13"/>
  <c r="G821" i="13"/>
  <c r="G734" i="13"/>
  <c r="G580" i="13"/>
  <c r="G887" i="13"/>
  <c r="G651" i="13"/>
  <c r="G958" i="13"/>
  <c r="G805" i="13"/>
  <c r="G843" i="13"/>
  <c r="G829" i="13"/>
  <c r="G700" i="13"/>
  <c r="G1007" i="13"/>
  <c r="G854" i="13"/>
  <c r="G626" i="13"/>
  <c r="G933" i="13"/>
  <c r="G780" i="13"/>
  <c r="G649" i="13"/>
  <c r="G803" i="13"/>
  <c r="G956" i="13"/>
  <c r="G708" i="13"/>
  <c r="G1015" i="13"/>
  <c r="G862" i="13"/>
  <c r="G650" i="13"/>
  <c r="G804" i="13"/>
  <c r="G957" i="13"/>
  <c r="G776" i="13"/>
  <c r="G622" i="13"/>
  <c r="G929" i="13"/>
  <c r="G647" i="13"/>
  <c r="G954" i="13"/>
  <c r="G801" i="13"/>
  <c r="G788" i="13"/>
  <c r="G941" i="13"/>
  <c r="G634" i="13"/>
  <c r="G777" i="13"/>
  <c r="G623" i="13"/>
  <c r="G930" i="13"/>
  <c r="G645" i="13"/>
  <c r="G799" i="13"/>
  <c r="G952" i="13"/>
  <c r="G996" i="13" l="1"/>
  <c r="G1211" i="13"/>
  <c r="G1223" i="13"/>
  <c r="G1077" i="13"/>
  <c r="G923" i="13"/>
  <c r="G769" i="13"/>
  <c r="G921" i="13"/>
  <c r="G767" i="13"/>
  <c r="G924" i="13"/>
  <c r="G770" i="13"/>
  <c r="G922" i="13"/>
  <c r="G768" i="13"/>
  <c r="G925" i="13"/>
  <c r="G771" i="13"/>
  <c r="G765" i="13"/>
  <c r="G919" i="13"/>
  <c r="G918" i="13"/>
  <c r="G764" i="13"/>
  <c r="G766" i="13"/>
  <c r="G913" i="13"/>
  <c r="G759" i="13"/>
  <c r="G789" i="13"/>
  <c r="G635" i="13"/>
  <c r="G982" i="13"/>
  <c r="G658" i="13"/>
  <c r="G879" i="13"/>
  <c r="G727" i="13"/>
  <c r="G899" i="13"/>
  <c r="G885" i="13"/>
  <c r="G940" i="13"/>
  <c r="G578" i="13"/>
  <c r="G283" i="13"/>
  <c r="G965" i="13"/>
  <c r="G823" i="13"/>
  <c r="E17" i="18"/>
  <c r="G102" i="13"/>
  <c r="G993" i="13"/>
  <c r="G686" i="13"/>
  <c r="G644" i="13"/>
  <c r="G572" i="13"/>
  <c r="G1011" i="13"/>
  <c r="G850" i="13"/>
  <c r="G787" i="13"/>
  <c r="G897" i="13"/>
  <c r="G828" i="13"/>
  <c r="G744" i="13"/>
  <c r="G662" i="13"/>
  <c r="G978" i="13"/>
  <c r="G629" i="13"/>
  <c r="G699" i="13"/>
  <c r="G866" i="13"/>
  <c r="G663" i="13"/>
  <c r="G864" i="13"/>
  <c r="E16" i="18"/>
  <c r="G1067" i="13"/>
  <c r="G704" i="13"/>
  <c r="G1006" i="13"/>
  <c r="G882" i="13"/>
  <c r="G698" i="13"/>
  <c r="G979" i="13"/>
  <c r="G964" i="13"/>
  <c r="G1005" i="13"/>
  <c r="G710" i="13"/>
  <c r="G611" i="13"/>
  <c r="G574" i="13"/>
  <c r="G278" i="13"/>
  <c r="G711" i="13"/>
  <c r="G959" i="13"/>
  <c r="G830" i="13"/>
  <c r="G797" i="13"/>
  <c r="G670" i="13"/>
  <c r="G935" i="13"/>
  <c r="G1012" i="13"/>
  <c r="G628" i="13"/>
  <c r="G819" i="13"/>
  <c r="G669" i="13"/>
  <c r="G939" i="13"/>
  <c r="G822" i="13"/>
  <c r="G868" i="13"/>
  <c r="G817" i="13"/>
  <c r="G825" i="13"/>
  <c r="G1018" i="13"/>
  <c r="G806" i="13"/>
  <c r="G946" i="13"/>
  <c r="G783" i="13"/>
  <c r="G951" i="13"/>
  <c r="G643" i="13"/>
  <c r="G592" i="13"/>
  <c r="G712" i="13"/>
  <c r="G944" i="13"/>
  <c r="G657" i="13"/>
  <c r="G900" i="13"/>
  <c r="G639" i="13"/>
  <c r="G826" i="13"/>
  <c r="G637" i="13"/>
  <c r="G824" i="13"/>
  <c r="G632" i="13"/>
  <c r="G593" i="13"/>
  <c r="G779" i="13"/>
  <c r="G972" i="13"/>
  <c r="G705" i="13"/>
  <c r="H66" i="18"/>
  <c r="G594" i="13"/>
  <c r="G747" i="13"/>
  <c r="G917" i="13"/>
  <c r="G910" i="13"/>
  <c r="G909" i="13"/>
  <c r="G753" i="13"/>
  <c r="G906" i="13"/>
  <c r="G752" i="13"/>
  <c r="G1008" i="13"/>
  <c r="G960" i="13"/>
  <c r="G948" i="13"/>
  <c r="G591" i="13"/>
  <c r="G995" i="13"/>
  <c r="G1199" i="13"/>
  <c r="G1002" i="13"/>
  <c r="G573" i="13"/>
  <c r="G641" i="13"/>
  <c r="G743" i="13"/>
  <c r="G989" i="13"/>
  <c r="G932" i="13"/>
  <c r="G842" i="13"/>
  <c r="G668" i="13"/>
  <c r="G849" i="13"/>
  <c r="G674" i="13"/>
  <c r="G655" i="13"/>
  <c r="G999" i="13"/>
  <c r="G934" i="13"/>
  <c r="G733" i="13"/>
  <c r="G742" i="13"/>
  <c r="G901" i="13"/>
  <c r="G741" i="13"/>
  <c r="G579" i="13"/>
  <c r="G728" i="13"/>
  <c r="G627" i="13"/>
  <c r="G739" i="13"/>
  <c r="G962" i="13"/>
  <c r="G983" i="13"/>
  <c r="G846" i="13"/>
  <c r="G740" i="13"/>
  <c r="G896" i="13"/>
  <c r="G895" i="13"/>
  <c r="G894" i="13"/>
  <c r="G844" i="13"/>
  <c r="G886" i="13"/>
  <c r="G575" i="13"/>
  <c r="G800" i="13"/>
  <c r="G321" i="13"/>
  <c r="G926" i="13" s="1"/>
  <c r="G907" i="13"/>
  <c r="G600" i="13"/>
  <c r="E24" i="18"/>
  <c r="G878" i="13"/>
  <c r="G836" i="13"/>
  <c r="G309" i="13"/>
  <c r="G687" i="13"/>
  <c r="G847" i="13"/>
  <c r="G604" i="13"/>
  <c r="G603" i="13"/>
  <c r="G945" i="13"/>
  <c r="G297" i="13"/>
  <c r="G616" i="13"/>
  <c r="G166" i="13"/>
  <c r="E15" i="18"/>
  <c r="G614" i="13"/>
  <c r="G615" i="13"/>
  <c r="G586" i="13"/>
  <c r="G1020" i="13"/>
  <c r="G617" i="13"/>
  <c r="G610" i="13"/>
  <c r="G613" i="13"/>
  <c r="G911" i="13"/>
  <c r="G602" i="13"/>
  <c r="G599" i="13"/>
  <c r="G908" i="13"/>
  <c r="G690" i="13"/>
  <c r="G816" i="13"/>
  <c r="G653" i="13"/>
  <c r="G601" i="13"/>
  <c r="G841" i="13"/>
  <c r="G713" i="13"/>
  <c r="G598" i="13"/>
  <c r="G1043" i="13"/>
  <c r="G418" i="13"/>
  <c r="G571" i="13"/>
  <c r="G953" i="13"/>
  <c r="G1021" i="13"/>
  <c r="E21" i="18"/>
  <c r="E22" i="18" s="1"/>
  <c r="G905" i="13"/>
  <c r="G1179" i="13"/>
  <c r="G701" i="13"/>
  <c r="G810" i="13"/>
  <c r="G696" i="13"/>
  <c r="G693" i="13"/>
  <c r="G963" i="13"/>
  <c r="G792" i="13"/>
  <c r="J9" i="46"/>
  <c r="H9" i="18"/>
  <c r="N8" i="47"/>
  <c r="K10" i="13"/>
  <c r="K8" i="46" s="1"/>
  <c r="K54" i="46" s="1"/>
  <c r="J63" i="46"/>
  <c r="J66" i="46" s="1"/>
  <c r="G1237" i="13" l="1"/>
  <c r="G1338" i="13" s="1"/>
  <c r="G1341" i="13" s="1"/>
  <c r="G101" i="13"/>
  <c r="G748" i="13"/>
  <c r="G285" i="13"/>
  <c r="G421" i="13" s="1"/>
  <c r="G1370" i="13" s="1"/>
  <c r="G268" i="13"/>
  <c r="G736" i="13"/>
  <c r="J69" i="46"/>
  <c r="G583" i="13"/>
  <c r="G890" i="13"/>
  <c r="G1023" i="13"/>
  <c r="G595" i="13"/>
  <c r="G902" i="13"/>
  <c r="G619" i="13"/>
  <c r="G716" i="13" s="1"/>
  <c r="K11" i="13"/>
  <c r="O8" i="47" s="1"/>
  <c r="K55" i="46"/>
  <c r="K63" i="46" s="1"/>
  <c r="K66" i="46" s="1"/>
  <c r="K7" i="34"/>
  <c r="K8" i="34" l="1"/>
  <c r="L10" i="13"/>
  <c r="L8" i="46" s="1"/>
  <c r="L55" i="46" s="1"/>
  <c r="K9" i="46"/>
  <c r="G870" i="13"/>
  <c r="I9" i="18"/>
  <c r="K68" i="46"/>
  <c r="D23" i="38"/>
  <c r="C23" i="38" s="1"/>
  <c r="L54" i="46" l="1"/>
  <c r="L63" i="46" s="1"/>
  <c r="L66" i="46" s="1"/>
  <c r="I66" i="18"/>
  <c r="K69" i="46"/>
  <c r="L7" i="34"/>
  <c r="L11" i="13"/>
  <c r="M10" i="13" s="1"/>
  <c r="M8" i="46" s="1"/>
  <c r="L68" i="46"/>
  <c r="D20" i="38"/>
  <c r="L8" i="34" l="1"/>
  <c r="J66" i="18"/>
  <c r="L69" i="46"/>
  <c r="P8" i="47"/>
  <c r="J9" i="18"/>
  <c r="L9" i="46"/>
  <c r="M54" i="46"/>
  <c r="M55" i="46"/>
  <c r="M11" i="13"/>
  <c r="M7" i="34"/>
  <c r="K8" i="18"/>
  <c r="M1375" i="13"/>
  <c r="M1440" i="13"/>
  <c r="M80" i="13"/>
  <c r="M60" i="13" l="1"/>
  <c r="M68" i="46"/>
  <c r="E68" i="46" s="1"/>
  <c r="M63" i="46"/>
  <c r="M66" i="46" s="1"/>
  <c r="E66" i="46" s="1"/>
  <c r="M9" i="46"/>
  <c r="Q8" i="47"/>
  <c r="K9" i="18"/>
  <c r="M8" i="34"/>
  <c r="L31" i="13"/>
  <c r="L32" i="13" s="1"/>
  <c r="L10" i="46" l="1"/>
  <c r="L4" i="53"/>
  <c r="J20" i="18"/>
  <c r="K66" i="18"/>
  <c r="K159" i="18" s="1"/>
  <c r="M69" i="46"/>
  <c r="L60" i="13"/>
  <c r="L41" i="13"/>
  <c r="L43" i="13" s="1"/>
  <c r="L37" i="13"/>
  <c r="L39" i="13"/>
  <c r="L34" i="13"/>
  <c r="L18" i="34"/>
  <c r="L11" i="46"/>
  <c r="M52" i="34"/>
  <c r="M1400" i="13"/>
  <c r="M1383" i="13"/>
  <c r="H1374" i="13"/>
  <c r="J1422" i="13"/>
  <c r="K1422" i="13" s="1"/>
  <c r="L5" i="53" l="1"/>
  <c r="L6" i="53" s="1"/>
  <c r="M16" i="48"/>
  <c r="M32" i="48" s="1"/>
  <c r="I13" i="41"/>
  <c r="I29" i="41" s="1"/>
  <c r="M37" i="34"/>
  <c r="C66" i="18"/>
  <c r="L1422" i="13"/>
  <c r="M1422" i="13"/>
  <c r="J58" i="18" l="1"/>
  <c r="J57" i="18"/>
  <c r="J55" i="18"/>
  <c r="J53" i="18"/>
  <c r="J52" i="18"/>
  <c r="J8" i="18"/>
  <c r="J7" i="18"/>
  <c r="J61" i="18" s="1"/>
  <c r="I58" i="18"/>
  <c r="I57" i="18"/>
  <c r="I55" i="18"/>
  <c r="I53" i="18"/>
  <c r="I52" i="18"/>
  <c r="I8" i="18"/>
  <c r="I7" i="18"/>
  <c r="I61" i="18" s="1"/>
  <c r="M46" i="34"/>
  <c r="M42" i="34"/>
  <c r="M41" i="34"/>
  <c r="L46" i="34"/>
  <c r="L42" i="34"/>
  <c r="L41" i="34"/>
  <c r="L1440" i="13"/>
  <c r="L1439" i="13"/>
  <c r="L1433" i="13"/>
  <c r="L1432" i="13"/>
  <c r="L1416" i="13"/>
  <c r="L1415" i="13"/>
  <c r="L1414" i="13"/>
  <c r="L1413" i="13"/>
  <c r="L1412" i="13"/>
  <c r="L1404" i="13"/>
  <c r="L1402" i="13"/>
  <c r="L1399" i="13"/>
  <c r="L1381" i="13"/>
  <c r="L1380" i="13"/>
  <c r="L1375" i="13"/>
  <c r="L1374" i="13"/>
  <c r="L1366" i="13"/>
  <c r="L1362" i="13"/>
  <c r="L1354" i="13"/>
  <c r="L1350" i="13"/>
  <c r="L80" i="13"/>
  <c r="L79" i="13"/>
  <c r="K1440" i="13"/>
  <c r="K1439" i="13"/>
  <c r="K1433" i="13"/>
  <c r="K1432" i="13"/>
  <c r="K1416" i="13"/>
  <c r="K1415" i="13"/>
  <c r="K1414" i="13"/>
  <c r="K1413" i="13"/>
  <c r="K1412" i="13"/>
  <c r="K1404" i="13"/>
  <c r="K1402" i="13"/>
  <c r="K1399" i="13"/>
  <c r="K1381" i="13"/>
  <c r="K1380" i="13"/>
  <c r="K1375" i="13"/>
  <c r="K1374" i="13"/>
  <c r="K1366" i="13"/>
  <c r="K1362" i="13"/>
  <c r="K1354" i="13"/>
  <c r="K1350" i="13"/>
  <c r="K80" i="13"/>
  <c r="K79" i="13"/>
  <c r="K31" i="13"/>
  <c r="K32" i="13" s="1"/>
  <c r="K10" i="46" l="1"/>
  <c r="K4" i="53"/>
  <c r="I20" i="18"/>
  <c r="K60" i="13"/>
  <c r="K41" i="13"/>
  <c r="K43" i="13" s="1"/>
  <c r="K37" i="13"/>
  <c r="K34" i="13"/>
  <c r="K39" i="13"/>
  <c r="K18" i="34"/>
  <c r="K11" i="46"/>
  <c r="L52" i="34"/>
  <c r="K64" i="13"/>
  <c r="I47" i="18" s="1"/>
  <c r="K63" i="13"/>
  <c r="I46" i="18" s="1"/>
  <c r="K1581" i="13"/>
  <c r="I69" i="18" s="1"/>
  <c r="L65" i="13"/>
  <c r="J48" i="18" s="1"/>
  <c r="L63" i="13"/>
  <c r="J46" i="18" s="1"/>
  <c r="L1581" i="13"/>
  <c r="J69" i="18" s="1"/>
  <c r="I11" i="18"/>
  <c r="K67" i="13"/>
  <c r="I50" i="18" s="1"/>
  <c r="L40" i="34"/>
  <c r="L67" i="13"/>
  <c r="J50" i="18" s="1"/>
  <c r="L61" i="13"/>
  <c r="J44" i="18" s="1"/>
  <c r="K62" i="13"/>
  <c r="I45" i="18" s="1"/>
  <c r="K61" i="13"/>
  <c r="I44" i="18" s="1"/>
  <c r="J11" i="18"/>
  <c r="L62" i="13"/>
  <c r="J45" i="18" s="1"/>
  <c r="L64" i="13"/>
  <c r="J47" i="18" s="1"/>
  <c r="L1457" i="13"/>
  <c r="L1458" i="13" s="1"/>
  <c r="M1459" i="13" s="1"/>
  <c r="L1431" i="13"/>
  <c r="L1407" i="13"/>
  <c r="L1403" i="13"/>
  <c r="L1395" i="13"/>
  <c r="L1385" i="13"/>
  <c r="L1430" i="13"/>
  <c r="L1406" i="13"/>
  <c r="L1394" i="13"/>
  <c r="L1405" i="13"/>
  <c r="L1401" i="13"/>
  <c r="L1393" i="13"/>
  <c r="L1387" i="13"/>
  <c r="L1383" i="13"/>
  <c r="L1400" i="13"/>
  <c r="L1396" i="13"/>
  <c r="L1392" i="13"/>
  <c r="L1386" i="13"/>
  <c r="L66" i="13"/>
  <c r="J49" i="18" s="1"/>
  <c r="L70" i="13"/>
  <c r="J56" i="18" s="1"/>
  <c r="K1457" i="13"/>
  <c r="K1458" i="13" s="1"/>
  <c r="K1431" i="13"/>
  <c r="K1407" i="13"/>
  <c r="K1403" i="13"/>
  <c r="K1395" i="13"/>
  <c r="K1385" i="13"/>
  <c r="K1430" i="13"/>
  <c r="K1406" i="13"/>
  <c r="K1394" i="13"/>
  <c r="K1405" i="13"/>
  <c r="K1401" i="13"/>
  <c r="K1393" i="13"/>
  <c r="K1387" i="13"/>
  <c r="K1396" i="13"/>
  <c r="K1392" i="13"/>
  <c r="K1386" i="13"/>
  <c r="K65" i="13"/>
  <c r="I48" i="18" s="1"/>
  <c r="K70" i="13"/>
  <c r="I56" i="18" s="1"/>
  <c r="K66" i="13"/>
  <c r="I49" i="18" s="1"/>
  <c r="L9" i="53" l="1"/>
  <c r="M29" i="53" s="1"/>
  <c r="K5" i="53"/>
  <c r="K6" i="53" s="1"/>
  <c r="L11" i="53" s="1"/>
  <c r="L16" i="48"/>
  <c r="L32" i="48" s="1"/>
  <c r="H13" i="41"/>
  <c r="H29" i="41" s="1"/>
  <c r="L37" i="34"/>
  <c r="J147" i="18"/>
  <c r="J14" i="18"/>
  <c r="K14" i="18"/>
  <c r="I155" i="18"/>
  <c r="I163" i="18"/>
  <c r="I162" i="18"/>
  <c r="I161" i="18"/>
  <c r="I159" i="18"/>
  <c r="I158" i="18"/>
  <c r="J163" i="18"/>
  <c r="J162" i="18"/>
  <c r="J155" i="18"/>
  <c r="J161" i="18"/>
  <c r="J159" i="18"/>
  <c r="J158" i="18"/>
  <c r="I136" i="18"/>
  <c r="I141" i="18"/>
  <c r="J135" i="18"/>
  <c r="J137" i="18"/>
  <c r="J144" i="18"/>
  <c r="I144" i="18"/>
  <c r="I147" i="18"/>
  <c r="I140" i="18"/>
  <c r="J136" i="18"/>
  <c r="J138" i="18"/>
  <c r="I139" i="18"/>
  <c r="J141" i="18"/>
  <c r="J139" i="18"/>
  <c r="I148" i="18"/>
  <c r="J146" i="18"/>
  <c r="I135" i="18"/>
  <c r="J140" i="18"/>
  <c r="I149" i="18"/>
  <c r="I38" i="18"/>
  <c r="J149" i="18"/>
  <c r="J148" i="18"/>
  <c r="J38" i="18"/>
  <c r="I137" i="18"/>
  <c r="I138" i="18"/>
  <c r="J143" i="18"/>
  <c r="I146" i="18"/>
  <c r="I143" i="18"/>
  <c r="K143" i="18"/>
  <c r="K69" i="18"/>
  <c r="K158" i="18" s="1"/>
  <c r="J54" i="18"/>
  <c r="J145" i="18" s="1"/>
  <c r="I54" i="18"/>
  <c r="I145" i="18" s="1"/>
  <c r="L20" i="34"/>
  <c r="L21" i="34" s="1"/>
  <c r="L22" i="34"/>
  <c r="M40" i="34"/>
  <c r="M22" i="34"/>
  <c r="M20" i="34"/>
  <c r="M21" i="34" s="1"/>
  <c r="L1435" i="13"/>
  <c r="K1435" i="13"/>
  <c r="L1459" i="13"/>
  <c r="L1462" i="13"/>
  <c r="K1462" i="13"/>
  <c r="L15" i="53" l="1"/>
  <c r="M15" i="53" s="1"/>
  <c r="M35" i="53" s="1"/>
  <c r="M36" i="53" s="1"/>
  <c r="M37" i="53" s="1"/>
  <c r="M38" i="53" s="1"/>
  <c r="K139" i="18"/>
  <c r="K138" i="18"/>
  <c r="K149" i="18"/>
  <c r="K147" i="18"/>
  <c r="K136" i="18"/>
  <c r="K135" i="18"/>
  <c r="K137" i="18"/>
  <c r="K148" i="18"/>
  <c r="K141" i="18"/>
  <c r="K140" i="18"/>
  <c r="K144" i="18"/>
  <c r="K146" i="18"/>
  <c r="K145" i="18"/>
  <c r="G55" i="18"/>
  <c r="H55" i="18"/>
  <c r="C55" i="18" l="1"/>
  <c r="K81" i="13" l="1"/>
  <c r="K1441" i="13"/>
  <c r="K139" i="13" l="1"/>
  <c r="K1210" i="13" s="1"/>
  <c r="K162" i="13"/>
  <c r="K158" i="13"/>
  <c r="K1229" i="13" s="1"/>
  <c r="K151" i="13"/>
  <c r="K1222" i="13" s="1"/>
  <c r="K147" i="13"/>
  <c r="K143" i="13"/>
  <c r="K135" i="13"/>
  <c r="K131" i="13"/>
  <c r="K137" i="13"/>
  <c r="K163" i="13"/>
  <c r="K1234" i="13" s="1"/>
  <c r="K159" i="13"/>
  <c r="K1230" i="13" s="1"/>
  <c r="K155" i="13"/>
  <c r="K148" i="13"/>
  <c r="K144" i="13"/>
  <c r="K136" i="13"/>
  <c r="K132" i="13"/>
  <c r="K160" i="13"/>
  <c r="K1231" i="13" s="1"/>
  <c r="K156" i="13"/>
  <c r="K1227" i="13" s="1"/>
  <c r="K149" i="13"/>
  <c r="K145" i="13"/>
  <c r="K133" i="13"/>
  <c r="K161" i="13"/>
  <c r="K1232" i="13" s="1"/>
  <c r="K138" i="13"/>
  <c r="K157" i="13"/>
  <c r="K1228" i="13" s="1"/>
  <c r="K134" i="13"/>
  <c r="K146" i="13"/>
  <c r="K150" i="13"/>
  <c r="K1221" i="13" s="1"/>
  <c r="K263" i="13"/>
  <c r="K258" i="13"/>
  <c r="K253" i="13"/>
  <c r="K249" i="13"/>
  <c r="K244" i="13"/>
  <c r="K239" i="13"/>
  <c r="K234" i="13"/>
  <c r="K229" i="13"/>
  <c r="K225" i="13"/>
  <c r="K262" i="13"/>
  <c r="K233" i="13"/>
  <c r="K264" i="13"/>
  <c r="K259" i="13"/>
  <c r="K255" i="13"/>
  <c r="K250" i="13"/>
  <c r="K245" i="13"/>
  <c r="K240" i="13"/>
  <c r="K235" i="13"/>
  <c r="K231" i="13"/>
  <c r="K226" i="13"/>
  <c r="K257" i="13"/>
  <c r="K252" i="13"/>
  <c r="K247" i="13"/>
  <c r="K243" i="13"/>
  <c r="K228" i="13"/>
  <c r="K265" i="13"/>
  <c r="K261" i="13"/>
  <c r="K256" i="13"/>
  <c r="K251" i="13"/>
  <c r="K246" i="13"/>
  <c r="K241" i="13"/>
  <c r="K237" i="13"/>
  <c r="K232" i="13"/>
  <c r="K227" i="13"/>
  <c r="K238" i="13"/>
  <c r="K1376" i="13"/>
  <c r="I43" i="18"/>
  <c r="I134" i="18" s="1"/>
  <c r="K212" i="13"/>
  <c r="K192" i="13"/>
  <c r="K173" i="13"/>
  <c r="K223" i="13"/>
  <c r="K204" i="13"/>
  <c r="K185" i="13"/>
  <c r="K124" i="13"/>
  <c r="K174" i="13"/>
  <c r="K213" i="13"/>
  <c r="K196" i="13"/>
  <c r="K198" i="13"/>
  <c r="K125" i="13"/>
  <c r="K182" i="13"/>
  <c r="K220" i="13"/>
  <c r="K197" i="13"/>
  <c r="K203" i="13"/>
  <c r="K189" i="13"/>
  <c r="K172" i="13"/>
  <c r="K207" i="13"/>
  <c r="K188" i="13"/>
  <c r="K219" i="13"/>
  <c r="K200" i="13"/>
  <c r="K180" i="13"/>
  <c r="K117" i="13"/>
  <c r="K184" i="13"/>
  <c r="K222" i="13"/>
  <c r="K206" i="13"/>
  <c r="K208" i="13"/>
  <c r="K191" i="13"/>
  <c r="K216" i="13"/>
  <c r="K115" i="13"/>
  <c r="K209" i="13"/>
  <c r="K179" i="13"/>
  <c r="K114" i="13"/>
  <c r="K210" i="13"/>
  <c r="K221" i="13"/>
  <c r="K202" i="13"/>
  <c r="K183" i="13"/>
  <c r="K126" i="13"/>
  <c r="K1197" i="13" s="1"/>
  <c r="K214" i="13"/>
  <c r="K195" i="13"/>
  <c r="K176" i="13"/>
  <c r="K116" i="13"/>
  <c r="K194" i="13"/>
  <c r="K118" i="13"/>
  <c r="K177" i="13"/>
  <c r="K215" i="13"/>
  <c r="K218" i="13"/>
  <c r="K201" i="13"/>
  <c r="K178" i="13"/>
  <c r="K190" i="13"/>
  <c r="K186" i="13"/>
  <c r="K123" i="13"/>
  <c r="B277" i="13"/>
  <c r="B276" i="13"/>
  <c r="B275" i="13"/>
  <c r="D11" i="35"/>
  <c r="D12" i="35"/>
  <c r="D13" i="35"/>
  <c r="D14" i="35"/>
  <c r="D15" i="35"/>
  <c r="D16" i="35"/>
  <c r="D17" i="35"/>
  <c r="D18" i="35"/>
  <c r="D19" i="35"/>
  <c r="D20" i="35"/>
  <c r="D21" i="35"/>
  <c r="D22" i="35"/>
  <c r="D23" i="35"/>
  <c r="D24" i="35"/>
  <c r="D25" i="35"/>
  <c r="D26" i="35"/>
  <c r="D10" i="35"/>
  <c r="K312" i="13" l="1"/>
  <c r="K763" i="13" s="1"/>
  <c r="K1226" i="13"/>
  <c r="K1075" i="13"/>
  <c r="K1233" i="13"/>
  <c r="K1061" i="13"/>
  <c r="K1217" i="13"/>
  <c r="K1059" i="13"/>
  <c r="K1215" i="13"/>
  <c r="K1058" i="13"/>
  <c r="K1214" i="13"/>
  <c r="K1060" i="13"/>
  <c r="K1216" i="13"/>
  <c r="K1065" i="13"/>
  <c r="K1064" i="13"/>
  <c r="K1220" i="13"/>
  <c r="K1063" i="13"/>
  <c r="K1219" i="13"/>
  <c r="K1062" i="13"/>
  <c r="K1218" i="13"/>
  <c r="V763" i="13"/>
  <c r="K1070" i="13"/>
  <c r="K1203" i="13"/>
  <c r="K1047" i="13"/>
  <c r="K308" i="13"/>
  <c r="K1066" i="13"/>
  <c r="K1209" i="13"/>
  <c r="K1053" i="13"/>
  <c r="K1207" i="13"/>
  <c r="K1051" i="13"/>
  <c r="K1072" i="13"/>
  <c r="K1206" i="13"/>
  <c r="K1050" i="13"/>
  <c r="K1071" i="13"/>
  <c r="K1074" i="13"/>
  <c r="K1079" i="13"/>
  <c r="K1076" i="13"/>
  <c r="K1202" i="13"/>
  <c r="K1046" i="13"/>
  <c r="K1205" i="13"/>
  <c r="K1049" i="13"/>
  <c r="K1204" i="13"/>
  <c r="K1048" i="13"/>
  <c r="K1073" i="13"/>
  <c r="K1208" i="13"/>
  <c r="K1052" i="13"/>
  <c r="K313" i="13"/>
  <c r="K320" i="13"/>
  <c r="K771" i="13" s="1"/>
  <c r="V771" i="13" s="1"/>
  <c r="K917" i="13"/>
  <c r="K314" i="13"/>
  <c r="K610" i="13"/>
  <c r="K288" i="13"/>
  <c r="K307" i="13"/>
  <c r="K758" i="13" s="1"/>
  <c r="V758" i="13" s="1"/>
  <c r="K306" i="13"/>
  <c r="K757" i="13" s="1"/>
  <c r="V757" i="13" s="1"/>
  <c r="K316" i="13"/>
  <c r="K292" i="13"/>
  <c r="K303" i="13"/>
  <c r="K754" i="13" s="1"/>
  <c r="V754" i="13" s="1"/>
  <c r="K318" i="13"/>
  <c r="K301" i="13"/>
  <c r="K752" i="13" s="1"/>
  <c r="V752" i="13" s="1"/>
  <c r="K300" i="13"/>
  <c r="K751" i="13" s="1"/>
  <c r="K319" i="13"/>
  <c r="K302" i="13"/>
  <c r="K753" i="13" s="1"/>
  <c r="V753" i="13" s="1"/>
  <c r="K289" i="13"/>
  <c r="K295" i="13"/>
  <c r="K293" i="13"/>
  <c r="K315" i="13"/>
  <c r="K920" i="13" s="1"/>
  <c r="K291" i="13"/>
  <c r="K290" i="13"/>
  <c r="K317" i="13"/>
  <c r="K305" i="13"/>
  <c r="K756" i="13" s="1"/>
  <c r="V756" i="13" s="1"/>
  <c r="K294" i="13"/>
  <c r="K304" i="13"/>
  <c r="K755" i="13" s="1"/>
  <c r="V755" i="13" s="1"/>
  <c r="K296" i="13"/>
  <c r="K747" i="13" s="1"/>
  <c r="V747" i="13" s="1"/>
  <c r="K267" i="13"/>
  <c r="F25" i="35"/>
  <c r="H25" i="35"/>
  <c r="I25" i="35"/>
  <c r="F21" i="35"/>
  <c r="H21" i="35"/>
  <c r="I21" i="35"/>
  <c r="F17" i="35"/>
  <c r="H17" i="35"/>
  <c r="I17" i="35"/>
  <c r="F13" i="35"/>
  <c r="H13" i="35"/>
  <c r="I13" i="35"/>
  <c r="F26" i="35"/>
  <c r="I26" i="35"/>
  <c r="H26" i="35"/>
  <c r="F22" i="35"/>
  <c r="I22" i="35"/>
  <c r="H22" i="35"/>
  <c r="F18" i="35"/>
  <c r="I18" i="35"/>
  <c r="H18" i="35"/>
  <c r="F14" i="35"/>
  <c r="I14" i="35"/>
  <c r="H14" i="35"/>
  <c r="F24" i="35"/>
  <c r="I24" i="35"/>
  <c r="H24" i="35"/>
  <c r="F20" i="35"/>
  <c r="I20" i="35"/>
  <c r="H20" i="35"/>
  <c r="F16" i="35"/>
  <c r="I16" i="35"/>
  <c r="H16" i="35"/>
  <c r="C45" i="13"/>
  <c r="M59" i="13" s="1"/>
  <c r="H12" i="35"/>
  <c r="I12" i="35"/>
  <c r="F10" i="35"/>
  <c r="G10" i="35" s="1"/>
  <c r="I10" i="35"/>
  <c r="H10" i="35"/>
  <c r="F23" i="35"/>
  <c r="I23" i="35"/>
  <c r="H23" i="35"/>
  <c r="F19" i="35"/>
  <c r="I19" i="35"/>
  <c r="H19" i="35"/>
  <c r="F15" i="35"/>
  <c r="I15" i="35"/>
  <c r="H15" i="35"/>
  <c r="F11" i="35"/>
  <c r="I11" i="35"/>
  <c r="H11" i="35"/>
  <c r="L81" i="13"/>
  <c r="L1376" i="13"/>
  <c r="L1441" i="13"/>
  <c r="J43" i="18"/>
  <c r="J134" i="18" s="1"/>
  <c r="K43" i="18"/>
  <c r="M1441" i="13"/>
  <c r="M81" i="13"/>
  <c r="K1167" i="13"/>
  <c r="K406" i="13"/>
  <c r="K1326" i="13"/>
  <c r="K1106" i="13"/>
  <c r="K345" i="13"/>
  <c r="K1265" i="13"/>
  <c r="K1292" i="13"/>
  <c r="K1133" i="13"/>
  <c r="K372" i="13"/>
  <c r="K1188" i="13"/>
  <c r="K274" i="13"/>
  <c r="K1032" i="13"/>
  <c r="K1290" i="13"/>
  <c r="K370" i="13"/>
  <c r="K1131" i="13"/>
  <c r="K340" i="13"/>
  <c r="K1260" i="13"/>
  <c r="K1101" i="13"/>
  <c r="K1146" i="13"/>
  <c r="K385" i="13"/>
  <c r="K1305" i="13"/>
  <c r="K1256" i="13"/>
  <c r="K336" i="13"/>
  <c r="K1097" i="13"/>
  <c r="K1124" i="13"/>
  <c r="K363" i="13"/>
  <c r="K1283" i="13"/>
  <c r="K1194" i="13"/>
  <c r="K1038" i="13"/>
  <c r="K128" i="13"/>
  <c r="K100" i="13" s="1"/>
  <c r="K280" i="13"/>
  <c r="K1299" i="13"/>
  <c r="K379" i="13"/>
  <c r="K1140" i="13"/>
  <c r="K390" i="13"/>
  <c r="K1310" i="13"/>
  <c r="K1151" i="13"/>
  <c r="K1130" i="13"/>
  <c r="K369" i="13"/>
  <c r="K1289" i="13"/>
  <c r="K1089" i="13"/>
  <c r="K328" i="13"/>
  <c r="K1248" i="13"/>
  <c r="K1189" i="13"/>
  <c r="K1033" i="13"/>
  <c r="K275" i="13"/>
  <c r="K1126" i="13"/>
  <c r="K1285" i="13"/>
  <c r="K365" i="13"/>
  <c r="K1152" i="13"/>
  <c r="K391" i="13"/>
  <c r="K1311" i="13"/>
  <c r="K1091" i="13"/>
  <c r="K330" i="13"/>
  <c r="K1250" i="13"/>
  <c r="K1153" i="13"/>
  <c r="K392" i="13"/>
  <c r="K1312" i="13"/>
  <c r="K1128" i="13"/>
  <c r="K367" i="13"/>
  <c r="K1287" i="13"/>
  <c r="K342" i="13"/>
  <c r="K1262" i="13"/>
  <c r="K1103" i="13"/>
  <c r="K1173" i="13"/>
  <c r="K412" i="13"/>
  <c r="K1332" i="13"/>
  <c r="K1309" i="13"/>
  <c r="K389" i="13"/>
  <c r="K1150" i="13"/>
  <c r="K1259" i="13"/>
  <c r="K339" i="13"/>
  <c r="K1100" i="13"/>
  <c r="K1176" i="13"/>
  <c r="K415" i="13"/>
  <c r="K1335" i="13"/>
  <c r="K1115" i="13"/>
  <c r="K354" i="13"/>
  <c r="K1274" i="13"/>
  <c r="K1170" i="13"/>
  <c r="K409" i="13"/>
  <c r="K1329" i="13"/>
  <c r="K1149" i="13"/>
  <c r="K388" i="13"/>
  <c r="K1308" i="13"/>
  <c r="K1108" i="13"/>
  <c r="K347" i="13"/>
  <c r="K1267" i="13"/>
  <c r="K1086" i="13"/>
  <c r="K325" i="13"/>
  <c r="K1245" i="13"/>
  <c r="K1275" i="13"/>
  <c r="K355" i="13"/>
  <c r="K1116" i="13"/>
  <c r="K1143" i="13"/>
  <c r="K382" i="13"/>
  <c r="K1302" i="13"/>
  <c r="K416" i="13"/>
  <c r="K1336" i="13"/>
  <c r="K1177" i="13"/>
  <c r="K1168" i="13"/>
  <c r="K407" i="13"/>
  <c r="K1327" i="13"/>
  <c r="K1266" i="13"/>
  <c r="K346" i="13"/>
  <c r="K1107" i="13"/>
  <c r="K273" i="13"/>
  <c r="K1031" i="13"/>
  <c r="K120" i="13"/>
  <c r="K99" i="13" s="1"/>
  <c r="K1187" i="13"/>
  <c r="K359" i="13"/>
  <c r="K1120" i="13"/>
  <c r="K1279" i="13"/>
  <c r="K1196" i="13"/>
  <c r="K282" i="13"/>
  <c r="K1040" i="13"/>
  <c r="K337" i="13"/>
  <c r="K1257" i="13"/>
  <c r="K1098" i="13"/>
  <c r="K352" i="13"/>
  <c r="K1272" i="13"/>
  <c r="K1113" i="13"/>
  <c r="K1035" i="13"/>
  <c r="K277" i="13"/>
  <c r="K1191" i="13"/>
  <c r="K1304" i="13"/>
  <c r="K384" i="13"/>
  <c r="K1145" i="13"/>
  <c r="K1095" i="13"/>
  <c r="K1254" i="13"/>
  <c r="K334" i="13"/>
  <c r="K1330" i="13"/>
  <c r="K1171" i="13"/>
  <c r="K410" i="13"/>
  <c r="K414" i="13"/>
  <c r="K1334" i="13"/>
  <c r="K1175" i="13"/>
  <c r="K1147" i="13"/>
  <c r="K386" i="13"/>
  <c r="K1306" i="13"/>
  <c r="K1156" i="13"/>
  <c r="K395" i="13"/>
  <c r="K1315" i="13"/>
  <c r="K1134" i="13"/>
  <c r="K373" i="13"/>
  <c r="K1293" i="13"/>
  <c r="K1251" i="13"/>
  <c r="K331" i="13"/>
  <c r="K1092" i="13"/>
  <c r="K1328" i="13"/>
  <c r="K408" i="13"/>
  <c r="K1169" i="13"/>
  <c r="K1119" i="13"/>
  <c r="K358" i="13"/>
  <c r="K1278" i="13"/>
  <c r="K1243" i="13"/>
  <c r="K323" i="13"/>
  <c r="V774" i="13" s="1"/>
  <c r="K1084" i="13"/>
  <c r="K1132" i="13"/>
  <c r="K371" i="13"/>
  <c r="K1291" i="13"/>
  <c r="K1110" i="13"/>
  <c r="K349" i="13"/>
  <c r="K1269" i="13"/>
  <c r="K1039" i="13"/>
  <c r="K281" i="13"/>
  <c r="K1195" i="13"/>
  <c r="K1294" i="13"/>
  <c r="K374" i="13"/>
  <c r="K1135" i="13"/>
  <c r="K1244" i="13"/>
  <c r="K324" i="13"/>
  <c r="K1085" i="13"/>
  <c r="K1162" i="13"/>
  <c r="K401" i="13"/>
  <c r="K1321" i="13"/>
  <c r="K1261" i="13"/>
  <c r="K341" i="13"/>
  <c r="K1102" i="13"/>
  <c r="K1127" i="13"/>
  <c r="K366" i="13"/>
  <c r="K1286" i="13"/>
  <c r="K380" i="13"/>
  <c r="K1300" i="13"/>
  <c r="K1141" i="13"/>
  <c r="K1190" i="13"/>
  <c r="K276" i="13"/>
  <c r="K1034" i="13"/>
  <c r="K1157" i="13"/>
  <c r="K396" i="13"/>
  <c r="K1316" i="13"/>
  <c r="K1109" i="13"/>
  <c r="K348" i="13"/>
  <c r="K1268" i="13"/>
  <c r="K1125" i="13"/>
  <c r="K364" i="13"/>
  <c r="K1284" i="13"/>
  <c r="K1333" i="13"/>
  <c r="K413" i="13"/>
  <c r="K1174" i="13"/>
  <c r="K400" i="13"/>
  <c r="K1320" i="13"/>
  <c r="K1161" i="13"/>
  <c r="K1249" i="13"/>
  <c r="K329" i="13"/>
  <c r="K1090" i="13"/>
  <c r="K1324" i="13"/>
  <c r="K1165" i="13"/>
  <c r="K404" i="13"/>
  <c r="K1144" i="13"/>
  <c r="K383" i="13"/>
  <c r="K1303" i="13"/>
  <c r="K1088" i="13"/>
  <c r="K1247" i="13"/>
  <c r="K327" i="13"/>
  <c r="V778" i="13" s="1"/>
  <c r="K1323" i="13"/>
  <c r="K403" i="13"/>
  <c r="K1164" i="13"/>
  <c r="K1114" i="13"/>
  <c r="K353" i="13"/>
  <c r="K1273" i="13"/>
  <c r="K361" i="13"/>
  <c r="K1281" i="13"/>
  <c r="K1122" i="13"/>
  <c r="K376" i="13"/>
  <c r="K1296" i="13"/>
  <c r="K1137" i="13"/>
  <c r="K1280" i="13"/>
  <c r="K360" i="13"/>
  <c r="K1121" i="13"/>
  <c r="K1158" i="13"/>
  <c r="K397" i="13"/>
  <c r="K1317" i="13"/>
  <c r="K1118" i="13"/>
  <c r="K357" i="13"/>
  <c r="K1277" i="13"/>
  <c r="K1096" i="13"/>
  <c r="K335" i="13"/>
  <c r="K1255" i="13"/>
  <c r="K1271" i="13"/>
  <c r="K351" i="13"/>
  <c r="K1112" i="13"/>
  <c r="K1138" i="13"/>
  <c r="K377" i="13"/>
  <c r="K1297" i="13"/>
  <c r="K378" i="13"/>
  <c r="K1298" i="13"/>
  <c r="K1139" i="13"/>
  <c r="K1318" i="13"/>
  <c r="K398" i="13"/>
  <c r="K1159" i="13"/>
  <c r="K1094" i="13"/>
  <c r="K333" i="13"/>
  <c r="K1253" i="13"/>
  <c r="K1163" i="13"/>
  <c r="K402" i="13"/>
  <c r="K1322" i="13"/>
  <c r="K1314" i="13"/>
  <c r="K394" i="13"/>
  <c r="K1155" i="13"/>
  <c r="K1263" i="13"/>
  <c r="K343" i="13"/>
  <c r="K1104" i="13"/>
  <c r="F12" i="35"/>
  <c r="G12" i="35" s="1"/>
  <c r="K12" i="35" s="1"/>
  <c r="D45" i="38"/>
  <c r="C45" i="38" s="1"/>
  <c r="D48" i="38"/>
  <c r="C48" i="38" s="1"/>
  <c r="D49" i="38"/>
  <c r="C49" i="38" s="1"/>
  <c r="D50" i="38"/>
  <c r="C50" i="38" s="1"/>
  <c r="D53" i="38"/>
  <c r="D54" i="38"/>
  <c r="C54" i="38" s="1"/>
  <c r="D16" i="38"/>
  <c r="D18" i="38"/>
  <c r="D19" i="38"/>
  <c r="D21" i="38"/>
  <c r="D22" i="38"/>
  <c r="F30" i="38"/>
  <c r="F98" i="38" s="1"/>
  <c r="E27" i="35"/>
  <c r="K1223" i="13" l="1"/>
  <c r="K1235" i="13"/>
  <c r="K1211" i="13"/>
  <c r="K922" i="13"/>
  <c r="K768" i="13"/>
  <c r="V768" i="13" s="1"/>
  <c r="K924" i="13"/>
  <c r="K770" i="13"/>
  <c r="V770" i="13" s="1"/>
  <c r="K923" i="13"/>
  <c r="K769" i="13"/>
  <c r="V769" i="13" s="1"/>
  <c r="K921" i="13"/>
  <c r="K767" i="13"/>
  <c r="V767" i="13" s="1"/>
  <c r="K925" i="13"/>
  <c r="K765" i="13"/>
  <c r="V765" i="13" s="1"/>
  <c r="K919" i="13"/>
  <c r="K913" i="13"/>
  <c r="K759" i="13"/>
  <c r="V759" i="13" s="1"/>
  <c r="K766" i="13"/>
  <c r="V766" i="13" s="1"/>
  <c r="V751" i="13"/>
  <c r="K918" i="13"/>
  <c r="K764" i="13"/>
  <c r="J10" i="35"/>
  <c r="K10" i="35"/>
  <c r="I17" i="18"/>
  <c r="K102" i="13"/>
  <c r="K611" i="13"/>
  <c r="K613" i="13"/>
  <c r="K614" i="13"/>
  <c r="M160" i="13"/>
  <c r="M1231" i="13" s="1"/>
  <c r="M156" i="13"/>
  <c r="M1227" i="13" s="1"/>
  <c r="M149" i="13"/>
  <c r="M145" i="13"/>
  <c r="M137" i="13"/>
  <c r="M133" i="13"/>
  <c r="M1048" i="13" s="1"/>
  <c r="M139" i="13"/>
  <c r="M1210" i="13" s="1"/>
  <c r="M162" i="13"/>
  <c r="M151" i="13"/>
  <c r="M1222" i="13" s="1"/>
  <c r="M143" i="13"/>
  <c r="M135" i="13"/>
  <c r="M131" i="13"/>
  <c r="M161" i="13"/>
  <c r="M1232" i="13" s="1"/>
  <c r="M157" i="13"/>
  <c r="M1228" i="13" s="1"/>
  <c r="M150" i="13"/>
  <c r="M1221" i="13" s="1"/>
  <c r="M146" i="13"/>
  <c r="M138" i="13"/>
  <c r="M134" i="13"/>
  <c r="M158" i="13"/>
  <c r="M1229" i="13" s="1"/>
  <c r="M147" i="13"/>
  <c r="M163" i="13"/>
  <c r="M1234" i="13" s="1"/>
  <c r="M144" i="13"/>
  <c r="M155" i="13"/>
  <c r="M159" i="13"/>
  <c r="M1230" i="13" s="1"/>
  <c r="M136" i="13"/>
  <c r="M148" i="13"/>
  <c r="M132" i="13"/>
  <c r="L163" i="13"/>
  <c r="L1234" i="13" s="1"/>
  <c r="L159" i="13"/>
  <c r="L1230" i="13" s="1"/>
  <c r="L155" i="13"/>
  <c r="L1226" i="13" s="1"/>
  <c r="L148" i="13"/>
  <c r="L144" i="13"/>
  <c r="L136" i="13"/>
  <c r="L132" i="13"/>
  <c r="L161" i="13"/>
  <c r="L1232" i="13" s="1"/>
  <c r="L150" i="13"/>
  <c r="L1221" i="13" s="1"/>
  <c r="L138" i="13"/>
  <c r="L139" i="13"/>
  <c r="L1210" i="13" s="1"/>
  <c r="L160" i="13"/>
  <c r="L1231" i="13" s="1"/>
  <c r="L156" i="13"/>
  <c r="L1227" i="13" s="1"/>
  <c r="L149" i="13"/>
  <c r="L145" i="13"/>
  <c r="L137" i="13"/>
  <c r="L133" i="13"/>
  <c r="L157" i="13"/>
  <c r="L1228" i="13" s="1"/>
  <c r="L146" i="13"/>
  <c r="L134" i="13"/>
  <c r="L151" i="13"/>
  <c r="L131" i="13"/>
  <c r="L162" i="13"/>
  <c r="L143" i="13"/>
  <c r="L147" i="13"/>
  <c r="L158" i="13"/>
  <c r="L1229" i="13" s="1"/>
  <c r="L135" i="13"/>
  <c r="K615" i="13"/>
  <c r="K617" i="13"/>
  <c r="K616" i="13"/>
  <c r="L264" i="13"/>
  <c r="L259" i="13"/>
  <c r="L1171" i="13" s="1"/>
  <c r="L255" i="13"/>
  <c r="L406" i="13" s="1"/>
  <c r="L250" i="13"/>
  <c r="L401" i="13" s="1"/>
  <c r="L245" i="13"/>
  <c r="L396" i="13" s="1"/>
  <c r="L240" i="13"/>
  <c r="L1152" i="13" s="1"/>
  <c r="L235" i="13"/>
  <c r="L1147" i="13" s="1"/>
  <c r="L231" i="13"/>
  <c r="L382" i="13" s="1"/>
  <c r="L226" i="13"/>
  <c r="L1297" i="13" s="1"/>
  <c r="L258" i="13"/>
  <c r="L409" i="13" s="1"/>
  <c r="L253" i="13"/>
  <c r="L404" i="13" s="1"/>
  <c r="L249" i="13"/>
  <c r="L1320" i="13" s="1"/>
  <c r="L239" i="13"/>
  <c r="L390" i="13" s="1"/>
  <c r="L229" i="13"/>
  <c r="L1300" i="13" s="1"/>
  <c r="L265" i="13"/>
  <c r="L1336" i="13" s="1"/>
  <c r="L261" i="13"/>
  <c r="L412" i="13" s="1"/>
  <c r="L256" i="13"/>
  <c r="L1327" i="13" s="1"/>
  <c r="L251" i="13"/>
  <c r="L246" i="13"/>
  <c r="L1158" i="13" s="1"/>
  <c r="L241" i="13"/>
  <c r="L392" i="13" s="1"/>
  <c r="L237" i="13"/>
  <c r="L1308" i="13" s="1"/>
  <c r="L232" i="13"/>
  <c r="L227" i="13"/>
  <c r="L1298" i="13" s="1"/>
  <c r="L263" i="13"/>
  <c r="L414" i="13" s="1"/>
  <c r="L244" i="13"/>
  <c r="L1156" i="13" s="1"/>
  <c r="L234" i="13"/>
  <c r="L1305" i="13" s="1"/>
  <c r="L262" i="13"/>
  <c r="L413" i="13" s="1"/>
  <c r="L257" i="13"/>
  <c r="L1328" i="13" s="1"/>
  <c r="L252" i="13"/>
  <c r="L1164" i="13" s="1"/>
  <c r="L247" i="13"/>
  <c r="L398" i="13" s="1"/>
  <c r="L243" i="13"/>
  <c r="L394" i="13" s="1"/>
  <c r="L238" i="13"/>
  <c r="L389" i="13" s="1"/>
  <c r="L233" i="13"/>
  <c r="L384" i="13" s="1"/>
  <c r="L228" i="13"/>
  <c r="L1299" i="13" s="1"/>
  <c r="L225" i="13"/>
  <c r="M265" i="13"/>
  <c r="M261" i="13"/>
  <c r="M256" i="13"/>
  <c r="M251" i="13"/>
  <c r="M246" i="13"/>
  <c r="M241" i="13"/>
  <c r="M237" i="13"/>
  <c r="M232" i="13"/>
  <c r="M227" i="13"/>
  <c r="M262" i="13"/>
  <c r="M257" i="13"/>
  <c r="M252" i="13"/>
  <c r="M247" i="13"/>
  <c r="M243" i="13"/>
  <c r="M238" i="13"/>
  <c r="M233" i="13"/>
  <c r="M228" i="13"/>
  <c r="M225" i="13"/>
  <c r="M250" i="13"/>
  <c r="M245" i="13"/>
  <c r="M240" i="13"/>
  <c r="M263" i="13"/>
  <c r="M258" i="13"/>
  <c r="M253" i="13"/>
  <c r="M249" i="13"/>
  <c r="M244" i="13"/>
  <c r="M239" i="13"/>
  <c r="M234" i="13"/>
  <c r="M229" i="13"/>
  <c r="M264" i="13"/>
  <c r="M259" i="13"/>
  <c r="M255" i="13"/>
  <c r="M235" i="13"/>
  <c r="M231" i="13"/>
  <c r="M226" i="13"/>
  <c r="K321" i="13"/>
  <c r="K926" i="13" s="1"/>
  <c r="K309" i="13"/>
  <c r="K297" i="13"/>
  <c r="L189" i="13"/>
  <c r="L340" i="13" s="1"/>
  <c r="M75" i="13"/>
  <c r="M1390" i="13" s="1"/>
  <c r="F95" i="38"/>
  <c r="F99" i="38"/>
  <c r="F97" i="38"/>
  <c r="F96" i="38"/>
  <c r="F94" i="38"/>
  <c r="J12" i="35"/>
  <c r="M1388" i="13"/>
  <c r="K42" i="18"/>
  <c r="M1389" i="13"/>
  <c r="L212" i="13"/>
  <c r="L363" i="13" s="1"/>
  <c r="L116" i="13"/>
  <c r="L1189" i="13" s="1"/>
  <c r="L126" i="13"/>
  <c r="L1197" i="13" s="1"/>
  <c r="L179" i="13"/>
  <c r="L1250" i="13" s="1"/>
  <c r="L415" i="13"/>
  <c r="L218" i="13"/>
  <c r="L1289" i="13" s="1"/>
  <c r="L203" i="13"/>
  <c r="L354" i="13" s="1"/>
  <c r="L192" i="13"/>
  <c r="L343" i="13" s="1"/>
  <c r="L202" i="13"/>
  <c r="L353" i="13" s="1"/>
  <c r="L197" i="13"/>
  <c r="L1109" i="13" s="1"/>
  <c r="L117" i="13"/>
  <c r="L276" i="13" s="1"/>
  <c r="L214" i="13"/>
  <c r="L365" i="13" s="1"/>
  <c r="L209" i="13"/>
  <c r="L360" i="13" s="1"/>
  <c r="L194" i="13"/>
  <c r="L1106" i="13" s="1"/>
  <c r="L182" i="13"/>
  <c r="L333" i="13" s="1"/>
  <c r="L195" i="13"/>
  <c r="L1266" i="13" s="1"/>
  <c r="L219" i="13"/>
  <c r="L1290" i="13" s="1"/>
  <c r="L191" i="13"/>
  <c r="L1103" i="13" s="1"/>
  <c r="L208" i="13"/>
  <c r="L359" i="13" s="1"/>
  <c r="L220" i="13"/>
  <c r="L371" i="13" s="1"/>
  <c r="L178" i="13"/>
  <c r="L1090" i="13" s="1"/>
  <c r="L213" i="13"/>
  <c r="L1125" i="13" s="1"/>
  <c r="L172" i="13"/>
  <c r="L198" i="13"/>
  <c r="L1269" i="13" s="1"/>
  <c r="L176" i="13"/>
  <c r="L1088" i="13" s="1"/>
  <c r="L118" i="13"/>
  <c r="L1191" i="13" s="1"/>
  <c r="L184" i="13"/>
  <c r="L335" i="13" s="1"/>
  <c r="L185" i="13"/>
  <c r="L1256" i="13" s="1"/>
  <c r="L201" i="13"/>
  <c r="L1113" i="13" s="1"/>
  <c r="L206" i="13"/>
  <c r="L1118" i="13" s="1"/>
  <c r="L174" i="13"/>
  <c r="L1086" i="13" s="1"/>
  <c r="L115" i="13"/>
  <c r="L1188" i="13" s="1"/>
  <c r="L183" i="13"/>
  <c r="L1095" i="13" s="1"/>
  <c r="L210" i="13"/>
  <c r="L1122" i="13" s="1"/>
  <c r="L177" i="13"/>
  <c r="L328" i="13" s="1"/>
  <c r="L222" i="13"/>
  <c r="L373" i="13" s="1"/>
  <c r="L216" i="13"/>
  <c r="L1128" i="13" s="1"/>
  <c r="L402" i="13"/>
  <c r="L221" i="13"/>
  <c r="L1133" i="13" s="1"/>
  <c r="L124" i="13"/>
  <c r="L281" i="13" s="1"/>
  <c r="L196" i="13"/>
  <c r="L1267" i="13" s="1"/>
  <c r="L1144" i="13"/>
  <c r="L188" i="13"/>
  <c r="L339" i="13" s="1"/>
  <c r="L190" i="13"/>
  <c r="L1261" i="13" s="1"/>
  <c r="L207" i="13"/>
  <c r="L1278" i="13" s="1"/>
  <c r="L173" i="13"/>
  <c r="L1085" i="13" s="1"/>
  <c r="L180" i="13"/>
  <c r="L1251" i="13" s="1"/>
  <c r="L186" i="13"/>
  <c r="L337" i="13" s="1"/>
  <c r="L204" i="13"/>
  <c r="L355" i="13" s="1"/>
  <c r="L114" i="13"/>
  <c r="L1187" i="13" s="1"/>
  <c r="L200" i="13"/>
  <c r="L351" i="13" s="1"/>
  <c r="L123" i="13"/>
  <c r="L1038" i="13" s="1"/>
  <c r="M1376" i="13"/>
  <c r="K134" i="18"/>
  <c r="L223" i="13"/>
  <c r="L374" i="13" s="1"/>
  <c r="L125" i="13"/>
  <c r="L1196" i="13" s="1"/>
  <c r="L215" i="13"/>
  <c r="L1286" i="13" s="1"/>
  <c r="M198" i="13"/>
  <c r="M223" i="13"/>
  <c r="M203" i="13"/>
  <c r="M172" i="13"/>
  <c r="M190" i="13"/>
  <c r="M221" i="13"/>
  <c r="M192" i="13"/>
  <c r="M189" i="13"/>
  <c r="M207" i="13"/>
  <c r="M216" i="13"/>
  <c r="M214" i="13"/>
  <c r="M117" i="13"/>
  <c r="M194" i="13"/>
  <c r="M209" i="13"/>
  <c r="M188" i="13"/>
  <c r="M184" i="13"/>
  <c r="M115" i="13"/>
  <c r="M178" i="13"/>
  <c r="M195" i="13"/>
  <c r="M174" i="13"/>
  <c r="M220" i="13"/>
  <c r="M125" i="13"/>
  <c r="M177" i="13"/>
  <c r="M118" i="13"/>
  <c r="M196" i="13"/>
  <c r="M179" i="13"/>
  <c r="M202" i="13"/>
  <c r="M185" i="13"/>
  <c r="M210" i="13"/>
  <c r="M114" i="13"/>
  <c r="M173" i="13"/>
  <c r="M215" i="13"/>
  <c r="M124" i="13"/>
  <c r="M176" i="13"/>
  <c r="M201" i="13"/>
  <c r="M183" i="13"/>
  <c r="M186" i="13"/>
  <c r="M180" i="13"/>
  <c r="M197" i="13"/>
  <c r="M126" i="13"/>
  <c r="M1197" i="13" s="1"/>
  <c r="M218" i="13"/>
  <c r="M123" i="13"/>
  <c r="M222" i="13"/>
  <c r="M116" i="13"/>
  <c r="M191" i="13"/>
  <c r="M200" i="13"/>
  <c r="M206" i="13"/>
  <c r="M212" i="13"/>
  <c r="M208" i="13"/>
  <c r="M213" i="13"/>
  <c r="M182" i="13"/>
  <c r="M219" i="13"/>
  <c r="M204" i="13"/>
  <c r="K283" i="13"/>
  <c r="V735" i="13" s="1"/>
  <c r="I24" i="18"/>
  <c r="I21" i="18"/>
  <c r="K278" i="13"/>
  <c r="V730" i="13" s="1"/>
  <c r="F93" i="38"/>
  <c r="F92" i="38"/>
  <c r="F91" i="38"/>
  <c r="F90" i="38"/>
  <c r="F89" i="38"/>
  <c r="F88" i="38"/>
  <c r="F87" i="38"/>
  <c r="F86" i="38"/>
  <c r="F85" i="38"/>
  <c r="F84" i="38"/>
  <c r="K847" i="13"/>
  <c r="V847" i="13" s="1"/>
  <c r="K1000" i="13"/>
  <c r="K693" i="13"/>
  <c r="K939" i="13"/>
  <c r="K632" i="13"/>
  <c r="K786" i="13"/>
  <c r="V786" i="13" s="1"/>
  <c r="K680" i="13"/>
  <c r="K987" i="13"/>
  <c r="K834" i="13"/>
  <c r="V834" i="13" s="1"/>
  <c r="K653" i="13"/>
  <c r="K807" i="13"/>
  <c r="V807" i="13" s="1"/>
  <c r="K960" i="13"/>
  <c r="K713" i="13"/>
  <c r="K1020" i="13"/>
  <c r="K867" i="13"/>
  <c r="V867" i="13" s="1"/>
  <c r="K994" i="13"/>
  <c r="K687" i="13"/>
  <c r="K841" i="13"/>
  <c r="V841" i="13" s="1"/>
  <c r="K794" i="13"/>
  <c r="V794" i="13" s="1"/>
  <c r="K640" i="13"/>
  <c r="K947" i="13"/>
  <c r="K690" i="13"/>
  <c r="K997" i="13"/>
  <c r="K844" i="13"/>
  <c r="V844" i="13" s="1"/>
  <c r="K600" i="13"/>
  <c r="K907" i="13"/>
  <c r="K821" i="13"/>
  <c r="V821" i="13" s="1"/>
  <c r="K974" i="13"/>
  <c r="K667" i="13"/>
  <c r="K831" i="13"/>
  <c r="V831" i="13" s="1"/>
  <c r="K677" i="13"/>
  <c r="K984" i="13"/>
  <c r="K700" i="13"/>
  <c r="K1007" i="13"/>
  <c r="K854" i="13"/>
  <c r="V854" i="13" s="1"/>
  <c r="K589" i="13"/>
  <c r="K896" i="13"/>
  <c r="K742" i="13"/>
  <c r="V742" i="13" s="1"/>
  <c r="K785" i="13"/>
  <c r="V785" i="13" s="1"/>
  <c r="K938" i="13"/>
  <c r="K631" i="13"/>
  <c r="K787" i="13"/>
  <c r="V787" i="13" s="1"/>
  <c r="K940" i="13"/>
  <c r="K633" i="13"/>
  <c r="K962" i="13"/>
  <c r="K809" i="13"/>
  <c r="V809" i="13" s="1"/>
  <c r="K655" i="13"/>
  <c r="K1002" i="13"/>
  <c r="K849" i="13"/>
  <c r="V849" i="13" s="1"/>
  <c r="K695" i="13"/>
  <c r="K779" i="13"/>
  <c r="V779" i="13" s="1"/>
  <c r="K932" i="13"/>
  <c r="K625" i="13"/>
  <c r="K681" i="13"/>
  <c r="K988" i="13"/>
  <c r="K835" i="13"/>
  <c r="V835" i="13" s="1"/>
  <c r="K969" i="13"/>
  <c r="K662" i="13"/>
  <c r="K816" i="13"/>
  <c r="V816" i="13" s="1"/>
  <c r="K818" i="13"/>
  <c r="V818" i="13" s="1"/>
  <c r="K664" i="13"/>
  <c r="K971" i="13"/>
  <c r="K586" i="13"/>
  <c r="K739" i="13"/>
  <c r="K893" i="13"/>
  <c r="K656" i="13"/>
  <c r="K963" i="13"/>
  <c r="K810" i="13"/>
  <c r="V810" i="13" s="1"/>
  <c r="K706" i="13"/>
  <c r="K860" i="13"/>
  <c r="V860" i="13" s="1"/>
  <c r="K1013" i="13"/>
  <c r="K783" i="13"/>
  <c r="V783" i="13" s="1"/>
  <c r="K936" i="13"/>
  <c r="K629" i="13"/>
  <c r="K744" i="13"/>
  <c r="V744" i="13" s="1"/>
  <c r="K898" i="13"/>
  <c r="K591" i="13"/>
  <c r="K838" i="13"/>
  <c r="V838" i="13" s="1"/>
  <c r="K684" i="13"/>
  <c r="K991" i="13"/>
  <c r="K712" i="13"/>
  <c r="K866" i="13"/>
  <c r="V866" i="13" s="1"/>
  <c r="K1019" i="13"/>
  <c r="K682" i="13"/>
  <c r="K836" i="13"/>
  <c r="V836" i="13" s="1"/>
  <c r="K989" i="13"/>
  <c r="K743" i="13"/>
  <c r="V743" i="13" s="1"/>
  <c r="K897" i="13"/>
  <c r="K590" i="13"/>
  <c r="K912" i="13"/>
  <c r="K605" i="13"/>
  <c r="K804" i="13"/>
  <c r="V804" i="13" s="1"/>
  <c r="K650" i="13"/>
  <c r="K957" i="13"/>
  <c r="K789" i="13"/>
  <c r="V789" i="13" s="1"/>
  <c r="K942" i="13"/>
  <c r="K635" i="13"/>
  <c r="K887" i="13"/>
  <c r="K734" i="13"/>
  <c r="V734" i="13" s="1"/>
  <c r="K580" i="13"/>
  <c r="K911" i="13"/>
  <c r="K604" i="13"/>
  <c r="K964" i="13"/>
  <c r="K811" i="13"/>
  <c r="V811" i="13" s="1"/>
  <c r="K657" i="13"/>
  <c r="K1009" i="13"/>
  <c r="K856" i="13"/>
  <c r="V856" i="13" s="1"/>
  <c r="K702" i="13"/>
  <c r="K825" i="13"/>
  <c r="V825" i="13" s="1"/>
  <c r="K978" i="13"/>
  <c r="K671" i="13"/>
  <c r="K899" i="13"/>
  <c r="K745" i="13"/>
  <c r="V745" i="13" s="1"/>
  <c r="K592" i="13"/>
  <c r="K806" i="13"/>
  <c r="V806" i="13" s="1"/>
  <c r="K959" i="13"/>
  <c r="K652" i="13"/>
  <c r="K791" i="13"/>
  <c r="V791" i="13" s="1"/>
  <c r="K637" i="13"/>
  <c r="K944" i="13"/>
  <c r="K594" i="13"/>
  <c r="K901" i="13"/>
  <c r="K972" i="13"/>
  <c r="K819" i="13"/>
  <c r="V819" i="13" s="1"/>
  <c r="K665" i="13"/>
  <c r="K843" i="13"/>
  <c r="V843" i="13" s="1"/>
  <c r="K996" i="13"/>
  <c r="K689" i="13"/>
  <c r="K688" i="13"/>
  <c r="K842" i="13"/>
  <c r="V842" i="13" s="1"/>
  <c r="K995" i="13"/>
  <c r="K795" i="13"/>
  <c r="V795" i="13" s="1"/>
  <c r="K948" i="13"/>
  <c r="K641" i="13"/>
  <c r="K676" i="13"/>
  <c r="K830" i="13"/>
  <c r="V830" i="13" s="1"/>
  <c r="K983" i="13"/>
  <c r="K956" i="13"/>
  <c r="K649" i="13"/>
  <c r="K803" i="13"/>
  <c r="V803" i="13" s="1"/>
  <c r="K908" i="13"/>
  <c r="K601" i="13"/>
  <c r="K966" i="13"/>
  <c r="K659" i="13"/>
  <c r="K813" i="13"/>
  <c r="V813" i="13" s="1"/>
  <c r="K1008" i="13"/>
  <c r="K701" i="13"/>
  <c r="K855" i="13"/>
  <c r="V855" i="13" s="1"/>
  <c r="K906" i="13"/>
  <c r="K599" i="13"/>
  <c r="K627" i="13"/>
  <c r="K781" i="13"/>
  <c r="V781" i="13" s="1"/>
  <c r="K934" i="13"/>
  <c r="K746" i="13"/>
  <c r="V746" i="13" s="1"/>
  <c r="K900" i="13"/>
  <c r="K593" i="13"/>
  <c r="K852" i="13"/>
  <c r="V852" i="13" s="1"/>
  <c r="K1005" i="13"/>
  <c r="K698" i="13"/>
  <c r="K1018" i="13"/>
  <c r="K711" i="13"/>
  <c r="K865" i="13"/>
  <c r="V865" i="13" s="1"/>
  <c r="K800" i="13"/>
  <c r="V800" i="13" s="1"/>
  <c r="K646" i="13"/>
  <c r="K953" i="13"/>
  <c r="K848" i="13"/>
  <c r="V848" i="13" s="1"/>
  <c r="K1001" i="13"/>
  <c r="K694" i="13"/>
  <c r="K881" i="13"/>
  <c r="K728" i="13"/>
  <c r="V728" i="13" s="1"/>
  <c r="K574" i="13"/>
  <c r="K678" i="13"/>
  <c r="K832" i="13"/>
  <c r="V832" i="13" s="1"/>
  <c r="K985" i="13"/>
  <c r="K587" i="13"/>
  <c r="K740" i="13"/>
  <c r="V740" i="13" s="1"/>
  <c r="K894" i="13"/>
  <c r="K946" i="13"/>
  <c r="K639" i="13"/>
  <c r="K793" i="13"/>
  <c r="V793" i="13" s="1"/>
  <c r="K579" i="13"/>
  <c r="K886" i="13"/>
  <c r="K733" i="13"/>
  <c r="V733" i="13" s="1"/>
  <c r="K954" i="13"/>
  <c r="K801" i="13"/>
  <c r="V801" i="13" s="1"/>
  <c r="K647" i="13"/>
  <c r="K823" i="13"/>
  <c r="V823" i="13" s="1"/>
  <c r="K669" i="13"/>
  <c r="K976" i="13"/>
  <c r="K1179" i="13"/>
  <c r="K909" i="13"/>
  <c r="K602" i="13"/>
  <c r="K1043" i="13"/>
  <c r="K644" i="13"/>
  <c r="K951" i="13"/>
  <c r="K798" i="13"/>
  <c r="V798" i="13" s="1"/>
  <c r="K705" i="13"/>
  <c r="K859" i="13"/>
  <c r="V859" i="13" s="1"/>
  <c r="K1012" i="13"/>
  <c r="K1021" i="13"/>
  <c r="K868" i="13"/>
  <c r="V868" i="13" s="1"/>
  <c r="K714" i="13"/>
  <c r="K573" i="13"/>
  <c r="K727" i="13"/>
  <c r="V727" i="13" s="1"/>
  <c r="K880" i="13"/>
  <c r="K732" i="13"/>
  <c r="V732" i="13" s="1"/>
  <c r="K885" i="13"/>
  <c r="K578" i="13"/>
  <c r="K990" i="13"/>
  <c r="K837" i="13"/>
  <c r="V837" i="13" s="1"/>
  <c r="K683" i="13"/>
  <c r="K603" i="13"/>
  <c r="K910" i="13"/>
  <c r="K670" i="13"/>
  <c r="K824" i="13"/>
  <c r="V824" i="13" s="1"/>
  <c r="K977" i="13"/>
  <c r="K797" i="13"/>
  <c r="V797" i="13" s="1"/>
  <c r="K643" i="13"/>
  <c r="K950" i="13"/>
  <c r="K862" i="13"/>
  <c r="V862" i="13" s="1"/>
  <c r="K1015" i="13"/>
  <c r="K708" i="13"/>
  <c r="K729" i="13"/>
  <c r="V729" i="13" s="1"/>
  <c r="K882" i="13"/>
  <c r="K575" i="13"/>
  <c r="K999" i="13"/>
  <c r="K692" i="13"/>
  <c r="K846" i="13"/>
  <c r="V846" i="13" s="1"/>
  <c r="K696" i="13"/>
  <c r="K850" i="13"/>
  <c r="V850" i="13" s="1"/>
  <c r="K1003" i="13"/>
  <c r="K675" i="13"/>
  <c r="K982" i="13"/>
  <c r="K829" i="13"/>
  <c r="V829" i="13" s="1"/>
  <c r="K588" i="13"/>
  <c r="K741" i="13"/>
  <c r="V741" i="13" s="1"/>
  <c r="K895" i="13"/>
  <c r="K965" i="13"/>
  <c r="K658" i="13"/>
  <c r="K812" i="13"/>
  <c r="V812" i="13" s="1"/>
  <c r="K828" i="13"/>
  <c r="V828" i="13" s="1"/>
  <c r="K981" i="13"/>
  <c r="K674" i="13"/>
  <c r="K651" i="13"/>
  <c r="K958" i="13"/>
  <c r="K805" i="13"/>
  <c r="V805" i="13" s="1"/>
  <c r="K598" i="13"/>
  <c r="K905" i="13"/>
  <c r="K853" i="13"/>
  <c r="V853" i="13" s="1"/>
  <c r="K1006" i="13"/>
  <c r="K699" i="13"/>
  <c r="K622" i="13"/>
  <c r="K776" i="13"/>
  <c r="V776" i="13" s="1"/>
  <c r="K929" i="13"/>
  <c r="K826" i="13"/>
  <c r="V826" i="13" s="1"/>
  <c r="K672" i="13"/>
  <c r="K979" i="13"/>
  <c r="K928" i="13"/>
  <c r="K775" i="13"/>
  <c r="V775" i="13" s="1"/>
  <c r="K621" i="13"/>
  <c r="K418" i="13"/>
  <c r="K1199" i="13"/>
  <c r="K571" i="13"/>
  <c r="K725" i="13"/>
  <c r="V725" i="13" s="1"/>
  <c r="K878" i="13"/>
  <c r="K930" i="13"/>
  <c r="K623" i="13"/>
  <c r="K777" i="13"/>
  <c r="V777" i="13" s="1"/>
  <c r="K952" i="13"/>
  <c r="K799" i="13"/>
  <c r="V799" i="13" s="1"/>
  <c r="K645" i="13"/>
  <c r="K993" i="13"/>
  <c r="K840" i="13"/>
  <c r="V840" i="13" s="1"/>
  <c r="K686" i="13"/>
  <c r="K707" i="13"/>
  <c r="K861" i="13"/>
  <c r="V861" i="13" s="1"/>
  <c r="K1014" i="13"/>
  <c r="K710" i="13"/>
  <c r="K1017" i="13"/>
  <c r="K864" i="13"/>
  <c r="V864" i="13" s="1"/>
  <c r="K935" i="13"/>
  <c r="K628" i="13"/>
  <c r="K782" i="13"/>
  <c r="V782" i="13" s="1"/>
  <c r="K970" i="13"/>
  <c r="K817" i="13"/>
  <c r="V817" i="13" s="1"/>
  <c r="K663" i="13"/>
  <c r="K780" i="13"/>
  <c r="V780" i="13" s="1"/>
  <c r="K933" i="13"/>
  <c r="K626" i="13"/>
  <c r="K815" i="13"/>
  <c r="V815" i="13" s="1"/>
  <c r="K661" i="13"/>
  <c r="K968" i="13"/>
  <c r="K941" i="13"/>
  <c r="K634" i="13"/>
  <c r="K788" i="13"/>
  <c r="V788" i="13" s="1"/>
  <c r="K792" i="13"/>
  <c r="V792" i="13" s="1"/>
  <c r="K945" i="13"/>
  <c r="K638" i="13"/>
  <c r="K822" i="13"/>
  <c r="V822" i="13" s="1"/>
  <c r="K975" i="13"/>
  <c r="K668" i="13"/>
  <c r="K879" i="13"/>
  <c r="K572" i="13"/>
  <c r="K726" i="13"/>
  <c r="V726" i="13" s="1"/>
  <c r="K858" i="13"/>
  <c r="V858" i="13" s="1"/>
  <c r="K1011" i="13"/>
  <c r="K704" i="13"/>
  <c r="K59" i="13"/>
  <c r="L59" i="13"/>
  <c r="F27" i="35"/>
  <c r="I1412" i="13"/>
  <c r="J1412" i="13"/>
  <c r="K1237" i="13" l="1"/>
  <c r="K760" i="13"/>
  <c r="M312" i="13"/>
  <c r="M763" i="13" s="1"/>
  <c r="X763" i="13" s="1"/>
  <c r="M1226" i="13"/>
  <c r="L1075" i="13"/>
  <c r="L1233" i="13"/>
  <c r="L1235" i="13" s="1"/>
  <c r="L1066" i="13"/>
  <c r="L1222" i="13"/>
  <c r="M1075" i="13"/>
  <c r="M1233" i="13"/>
  <c r="L1058" i="13"/>
  <c r="L1214" i="13"/>
  <c r="L1063" i="13"/>
  <c r="L1219" i="13"/>
  <c r="L1060" i="13"/>
  <c r="L1216" i="13"/>
  <c r="M1063" i="13"/>
  <c r="M1219" i="13"/>
  <c r="M1058" i="13"/>
  <c r="M1214" i="13"/>
  <c r="L1064" i="13"/>
  <c r="L1220" i="13"/>
  <c r="M1065" i="13"/>
  <c r="M1064" i="13"/>
  <c r="M1220" i="13"/>
  <c r="L1061" i="13"/>
  <c r="L1217" i="13"/>
  <c r="M1059" i="13"/>
  <c r="M1215" i="13"/>
  <c r="L1062" i="13"/>
  <c r="L1218" i="13"/>
  <c r="L1065" i="13"/>
  <c r="L1059" i="13"/>
  <c r="L1215" i="13"/>
  <c r="M1062" i="13"/>
  <c r="M1218" i="13"/>
  <c r="M1061" i="13"/>
  <c r="M1217" i="13"/>
  <c r="M1060" i="13"/>
  <c r="M1216" i="13"/>
  <c r="V739" i="13"/>
  <c r="K748" i="13"/>
  <c r="K14" i="45"/>
  <c r="M76" i="13"/>
  <c r="V764" i="13"/>
  <c r="K772" i="13"/>
  <c r="V772" i="13" s="1"/>
  <c r="V760" i="13"/>
  <c r="L1208" i="13"/>
  <c r="L1052" i="13"/>
  <c r="L1074" i="13"/>
  <c r="M1071" i="13"/>
  <c r="M1206" i="13"/>
  <c r="M1050" i="13"/>
  <c r="L1206" i="13"/>
  <c r="L1050" i="13"/>
  <c r="L1203" i="13"/>
  <c r="L1047" i="13"/>
  <c r="M1205" i="13"/>
  <c r="M1049" i="13"/>
  <c r="M1070" i="13"/>
  <c r="L1071" i="13"/>
  <c r="L1202" i="13"/>
  <c r="L1046" i="13"/>
  <c r="L1070" i="13"/>
  <c r="L1209" i="13"/>
  <c r="L1053" i="13"/>
  <c r="L1207" i="13"/>
  <c r="L1051" i="13"/>
  <c r="L1072" i="13"/>
  <c r="M1207" i="13"/>
  <c r="M1051" i="13"/>
  <c r="M1079" i="13"/>
  <c r="M1076" i="13"/>
  <c r="M1209" i="13"/>
  <c r="M1053" i="13"/>
  <c r="M1074" i="13"/>
  <c r="M308" i="13"/>
  <c r="M1066" i="13"/>
  <c r="M1208" i="13"/>
  <c r="M1052" i="13"/>
  <c r="M1073" i="13"/>
  <c r="L1205" i="13"/>
  <c r="L1049" i="13"/>
  <c r="L1073" i="13"/>
  <c r="M1203" i="13"/>
  <c r="M1047" i="13"/>
  <c r="L1204" i="13"/>
  <c r="L1048" i="13"/>
  <c r="L1079" i="13"/>
  <c r="L1076" i="13"/>
  <c r="M1072" i="13"/>
  <c r="M1202" i="13"/>
  <c r="M1046" i="13"/>
  <c r="M1204" i="13"/>
  <c r="M313" i="13"/>
  <c r="M320" i="13"/>
  <c r="K902" i="13"/>
  <c r="K914" i="13" s="1"/>
  <c r="K1023" i="13"/>
  <c r="L308" i="13"/>
  <c r="L290" i="13"/>
  <c r="L895" i="13" s="1"/>
  <c r="L301" i="13"/>
  <c r="L752" i="13" s="1"/>
  <c r="W752" i="13" s="1"/>
  <c r="M316" i="13"/>
  <c r="M288" i="13"/>
  <c r="L300" i="13"/>
  <c r="L152" i="13"/>
  <c r="L291" i="13"/>
  <c r="L742" i="13" s="1"/>
  <c r="W742" i="13" s="1"/>
  <c r="L294" i="13"/>
  <c r="L899" i="13" s="1"/>
  <c r="L317" i="13"/>
  <c r="L318" i="13"/>
  <c r="L305" i="13"/>
  <c r="L756" i="13" s="1"/>
  <c r="W756" i="13" s="1"/>
  <c r="M289" i="13"/>
  <c r="M315" i="13"/>
  <c r="M920" i="13" s="1"/>
  <c r="M307" i="13"/>
  <c r="M758" i="13" s="1"/>
  <c r="X758" i="13" s="1"/>
  <c r="M292" i="13"/>
  <c r="M296" i="13"/>
  <c r="M747" i="13" s="1"/>
  <c r="X747" i="13" s="1"/>
  <c r="M306" i="13"/>
  <c r="M757" i="13" s="1"/>
  <c r="X757" i="13" s="1"/>
  <c r="L307" i="13"/>
  <c r="L758" i="13" s="1"/>
  <c r="W758" i="13" s="1"/>
  <c r="M319" i="13"/>
  <c r="L292" i="13"/>
  <c r="L590" i="13" s="1"/>
  <c r="L319" i="13"/>
  <c r="L303" i="13"/>
  <c r="L754" i="13" s="1"/>
  <c r="W754" i="13" s="1"/>
  <c r="L302" i="13"/>
  <c r="L753" i="13" s="1"/>
  <c r="W753" i="13" s="1"/>
  <c r="L296" i="13"/>
  <c r="L289" i="13"/>
  <c r="L740" i="13" s="1"/>
  <c r="W740" i="13" s="1"/>
  <c r="L312" i="13"/>
  <c r="L763" i="13" s="1"/>
  <c r="L164" i="13"/>
  <c r="M305" i="13"/>
  <c r="M756" i="13" s="1"/>
  <c r="X756" i="13" s="1"/>
  <c r="M301" i="13"/>
  <c r="M752" i="13" s="1"/>
  <c r="X752" i="13" s="1"/>
  <c r="M291" i="13"/>
  <c r="M314" i="13"/>
  <c r="M300" i="13"/>
  <c r="M751" i="13" s="1"/>
  <c r="X751" i="13" s="1"/>
  <c r="M290" i="13"/>
  <c r="L304" i="13"/>
  <c r="L755" i="13" s="1"/>
  <c r="W755" i="13" s="1"/>
  <c r="L313" i="13"/>
  <c r="L320" i="13"/>
  <c r="L771" i="13" s="1"/>
  <c r="W771" i="13" s="1"/>
  <c r="M304" i="13"/>
  <c r="M755" i="13" s="1"/>
  <c r="X755" i="13" s="1"/>
  <c r="M303" i="13"/>
  <c r="M754" i="13" s="1"/>
  <c r="X754" i="13" s="1"/>
  <c r="M302" i="13"/>
  <c r="M753" i="13" s="1"/>
  <c r="X753" i="13" s="1"/>
  <c r="K619" i="13"/>
  <c r="K716" i="13" s="1"/>
  <c r="L315" i="13"/>
  <c r="L920" i="13" s="1"/>
  <c r="L288" i="13"/>
  <c r="L140" i="13"/>
  <c r="L314" i="13"/>
  <c r="L306" i="13"/>
  <c r="L757" i="13" s="1"/>
  <c r="W757" i="13" s="1"/>
  <c r="L295" i="13"/>
  <c r="L900" i="13" s="1"/>
  <c r="L293" i="13"/>
  <c r="L591" i="13" s="1"/>
  <c r="L316" i="13"/>
  <c r="M293" i="13"/>
  <c r="M295" i="13"/>
  <c r="M318" i="13"/>
  <c r="M294" i="13"/>
  <c r="M317" i="13"/>
  <c r="M267" i="13"/>
  <c r="L1137" i="13"/>
  <c r="L267" i="13"/>
  <c r="K595" i="13"/>
  <c r="K607" i="13" s="1"/>
  <c r="L1101" i="13"/>
  <c r="L1260" i="13"/>
  <c r="M164" i="13"/>
  <c r="M152" i="13"/>
  <c r="M140" i="13"/>
  <c r="K15" i="18" s="1"/>
  <c r="L1243" i="13"/>
  <c r="L1190" i="13"/>
  <c r="L1311" i="13"/>
  <c r="L1177" i="13"/>
  <c r="I42" i="18"/>
  <c r="I133" i="18" s="1"/>
  <c r="K75" i="13"/>
  <c r="K1390" i="13" s="1"/>
  <c r="J42" i="18"/>
  <c r="J133" i="18" s="1"/>
  <c r="L75" i="13"/>
  <c r="L1390" i="13" s="1"/>
  <c r="L1124" i="13"/>
  <c r="L1335" i="13"/>
  <c r="L1170" i="13"/>
  <c r="L1317" i="13"/>
  <c r="L397" i="13"/>
  <c r="L1098" i="13"/>
  <c r="F100" i="38"/>
  <c r="L1175" i="13"/>
  <c r="B27" i="35"/>
  <c r="F28" i="35"/>
  <c r="L1323" i="13"/>
  <c r="L391" i="13"/>
  <c r="L1292" i="13"/>
  <c r="L1176" i="13"/>
  <c r="L1279" i="13"/>
  <c r="L403" i="13"/>
  <c r="L1265" i="13"/>
  <c r="L1283" i="13"/>
  <c r="L358" i="13"/>
  <c r="L810" i="13" s="1"/>
  <c r="W810" i="13" s="1"/>
  <c r="L377" i="13"/>
  <c r="L829" i="13" s="1"/>
  <c r="W829" i="13" s="1"/>
  <c r="L1120" i="13"/>
  <c r="L1324" i="13"/>
  <c r="L1091" i="13"/>
  <c r="L329" i="13"/>
  <c r="L781" i="13" s="1"/>
  <c r="W781" i="13" s="1"/>
  <c r="L1315" i="13"/>
  <c r="L1155" i="13"/>
  <c r="L342" i="13"/>
  <c r="L400" i="13"/>
  <c r="L698" i="13" s="1"/>
  <c r="L395" i="13"/>
  <c r="L847" i="13" s="1"/>
  <c r="W847" i="13" s="1"/>
  <c r="L1314" i="13"/>
  <c r="L347" i="13"/>
  <c r="L799" i="13" s="1"/>
  <c r="W799" i="13" s="1"/>
  <c r="L1161" i="13"/>
  <c r="L1102" i="13"/>
  <c r="L1097" i="13"/>
  <c r="L1294" i="13"/>
  <c r="L341" i="13"/>
  <c r="L639" i="13" s="1"/>
  <c r="L1165" i="13"/>
  <c r="L1322" i="13"/>
  <c r="L1262" i="13"/>
  <c r="L1169" i="13"/>
  <c r="L327" i="13"/>
  <c r="L407" i="13"/>
  <c r="L705" i="13" s="1"/>
  <c r="L1332" i="13"/>
  <c r="L336" i="13"/>
  <c r="L1163" i="13"/>
  <c r="L324" i="13"/>
  <c r="L1285" i="13"/>
  <c r="L1126" i="13"/>
  <c r="L1135" i="13"/>
  <c r="L1271" i="13"/>
  <c r="L1334" i="13"/>
  <c r="L1112" i="13"/>
  <c r="L1146" i="13"/>
  <c r="L383" i="13"/>
  <c r="L681" i="13" s="1"/>
  <c r="L1039" i="13"/>
  <c r="L1257" i="13"/>
  <c r="L1303" i="13"/>
  <c r="L385" i="13"/>
  <c r="L1244" i="13"/>
  <c r="L1157" i="13"/>
  <c r="L1159" i="13"/>
  <c r="L323" i="13"/>
  <c r="L1304" i="13"/>
  <c r="L1318" i="13"/>
  <c r="L1089" i="13"/>
  <c r="L1268" i="13"/>
  <c r="L1277" i="13"/>
  <c r="L1084" i="13"/>
  <c r="L1248" i="13"/>
  <c r="L348" i="13"/>
  <c r="L357" i="13"/>
  <c r="L655" i="13" s="1"/>
  <c r="L1263" i="13"/>
  <c r="L1195" i="13"/>
  <c r="L1104" i="13"/>
  <c r="L1173" i="13"/>
  <c r="L1281" i="13"/>
  <c r="L1139" i="13"/>
  <c r="L1034" i="13"/>
  <c r="L369" i="13"/>
  <c r="L667" i="13" s="1"/>
  <c r="L1130" i="13"/>
  <c r="L1162" i="13"/>
  <c r="L275" i="13"/>
  <c r="L573" i="13" s="1"/>
  <c r="L408" i="13"/>
  <c r="L860" i="13" s="1"/>
  <c r="W860" i="13" s="1"/>
  <c r="L1033" i="13"/>
  <c r="L1275" i="13"/>
  <c r="L1138" i="13"/>
  <c r="L334" i="13"/>
  <c r="L939" i="13" s="1"/>
  <c r="L1310" i="13"/>
  <c r="L277" i="13"/>
  <c r="L729" i="13" s="1"/>
  <c r="W729" i="13" s="1"/>
  <c r="L1330" i="13"/>
  <c r="L1107" i="13"/>
  <c r="L1254" i="13"/>
  <c r="L1151" i="13"/>
  <c r="L1035" i="13"/>
  <c r="L346" i="13"/>
  <c r="L644" i="13" s="1"/>
  <c r="L1333" i="13"/>
  <c r="L1316" i="13"/>
  <c r="L410" i="13"/>
  <c r="L1015" i="13" s="1"/>
  <c r="L379" i="13"/>
  <c r="L1296" i="13"/>
  <c r="L376" i="13"/>
  <c r="L981" i="13" s="1"/>
  <c r="L372" i="13"/>
  <c r="L824" i="13" s="1"/>
  <c r="W824" i="13" s="1"/>
  <c r="L370" i="13"/>
  <c r="L822" i="13" s="1"/>
  <c r="W822" i="13" s="1"/>
  <c r="L1108" i="13"/>
  <c r="L345" i="13"/>
  <c r="L643" i="13" s="1"/>
  <c r="L352" i="13"/>
  <c r="L650" i="13" s="1"/>
  <c r="L1092" i="13"/>
  <c r="L331" i="13"/>
  <c r="L783" i="13" s="1"/>
  <c r="W783" i="13" s="1"/>
  <c r="L1119" i="13"/>
  <c r="L1255" i="13"/>
  <c r="L273" i="13"/>
  <c r="L878" i="13" s="1"/>
  <c r="L1274" i="13"/>
  <c r="L1253" i="13"/>
  <c r="L1132" i="13"/>
  <c r="L1259" i="13"/>
  <c r="L128" i="13"/>
  <c r="L100" i="13" s="1"/>
  <c r="L1031" i="13"/>
  <c r="L274" i="13"/>
  <c r="L572" i="13" s="1"/>
  <c r="L1287" i="13"/>
  <c r="L1143" i="13"/>
  <c r="L1306" i="13"/>
  <c r="L1291" i="13"/>
  <c r="L1131" i="13"/>
  <c r="L1115" i="13"/>
  <c r="L330" i="13"/>
  <c r="L1094" i="13"/>
  <c r="L1140" i="13"/>
  <c r="L120" i="13"/>
  <c r="L99" i="13" s="1"/>
  <c r="L1040" i="13"/>
  <c r="L282" i="13"/>
  <c r="L887" i="13" s="1"/>
  <c r="L1114" i="13"/>
  <c r="L388" i="13"/>
  <c r="L840" i="13" s="1"/>
  <c r="W840" i="13" s="1"/>
  <c r="L1273" i="13"/>
  <c r="L1149" i="13"/>
  <c r="L1326" i="13"/>
  <c r="L1309" i="13"/>
  <c r="L1280" i="13"/>
  <c r="L1167" i="13"/>
  <c r="L1194" i="13"/>
  <c r="L1150" i="13"/>
  <c r="L1284" i="13"/>
  <c r="L1121" i="13"/>
  <c r="L280" i="13"/>
  <c r="L578" i="13" s="1"/>
  <c r="L364" i="13"/>
  <c r="L662" i="13" s="1"/>
  <c r="L1272" i="13"/>
  <c r="L1145" i="13"/>
  <c r="L1247" i="13"/>
  <c r="L1100" i="13"/>
  <c r="L367" i="13"/>
  <c r="L972" i="13" s="1"/>
  <c r="L1168" i="13"/>
  <c r="L1329" i="13"/>
  <c r="L1249" i="13"/>
  <c r="L1302" i="13"/>
  <c r="L361" i="13"/>
  <c r="L659" i="13" s="1"/>
  <c r="L386" i="13"/>
  <c r="L991" i="13" s="1"/>
  <c r="L416" i="13"/>
  <c r="L1021" i="13" s="1"/>
  <c r="L1153" i="13"/>
  <c r="L1096" i="13"/>
  <c r="L1032" i="13"/>
  <c r="L1312" i="13"/>
  <c r="L378" i="13"/>
  <c r="L676" i="13" s="1"/>
  <c r="L349" i="13"/>
  <c r="L954" i="13" s="1"/>
  <c r="L1110" i="13"/>
  <c r="L380" i="13"/>
  <c r="L985" i="13" s="1"/>
  <c r="L1134" i="13"/>
  <c r="L1141" i="13"/>
  <c r="L1245" i="13"/>
  <c r="L1293" i="13"/>
  <c r="L1321" i="13"/>
  <c r="L1116" i="13"/>
  <c r="L325" i="13"/>
  <c r="L777" i="13" s="1"/>
  <c r="W777" i="13" s="1"/>
  <c r="L1174" i="13"/>
  <c r="L366" i="13"/>
  <c r="L1127" i="13"/>
  <c r="K285" i="13"/>
  <c r="M1124" i="13"/>
  <c r="M363" i="13"/>
  <c r="M1283" i="13"/>
  <c r="M337" i="13"/>
  <c r="M1098" i="13"/>
  <c r="M1257" i="13"/>
  <c r="M1164" i="13"/>
  <c r="M1323" i="13"/>
  <c r="M403" i="13"/>
  <c r="M389" i="13"/>
  <c r="M1309" i="13"/>
  <c r="M1150" i="13"/>
  <c r="M1174" i="13"/>
  <c r="M1333" i="13"/>
  <c r="M413" i="13"/>
  <c r="M282" i="13"/>
  <c r="M1040" i="13"/>
  <c r="M1196" i="13"/>
  <c r="M397" i="13"/>
  <c r="M1158" i="13"/>
  <c r="M1317" i="13"/>
  <c r="M1265" i="13"/>
  <c r="M1106" i="13"/>
  <c r="M345" i="13"/>
  <c r="M1104" i="13"/>
  <c r="M1263" i="13"/>
  <c r="M343" i="13"/>
  <c r="M1135" i="13"/>
  <c r="M374" i="13"/>
  <c r="M1294" i="13"/>
  <c r="M1315" i="13"/>
  <c r="M1156" i="13"/>
  <c r="M395" i="13"/>
  <c r="M1155" i="13"/>
  <c r="M1314" i="13"/>
  <c r="M394" i="13"/>
  <c r="M1254" i="13"/>
  <c r="M1095" i="13"/>
  <c r="M334" i="13"/>
  <c r="M324" i="13"/>
  <c r="M1085" i="13"/>
  <c r="M1244" i="13"/>
  <c r="M406" i="13"/>
  <c r="M1326" i="13"/>
  <c r="M1167" i="13"/>
  <c r="M371" i="13"/>
  <c r="M1132" i="13"/>
  <c r="M1291" i="13"/>
  <c r="M1032" i="13"/>
  <c r="M1188" i="13"/>
  <c r="M274" i="13"/>
  <c r="M276" i="13"/>
  <c r="M1034" i="13"/>
  <c r="M1190" i="13"/>
  <c r="M1292" i="13"/>
  <c r="M1133" i="13"/>
  <c r="M372" i="13"/>
  <c r="M386" i="13"/>
  <c r="M1147" i="13"/>
  <c r="M1306" i="13"/>
  <c r="M1275" i="13"/>
  <c r="M1116" i="13"/>
  <c r="M355" i="13"/>
  <c r="M1277" i="13"/>
  <c r="M357" i="13"/>
  <c r="M1118" i="13"/>
  <c r="M1176" i="13"/>
  <c r="M1335" i="13"/>
  <c r="M415" i="13"/>
  <c r="M1159" i="13"/>
  <c r="M398" i="13"/>
  <c r="M1318" i="13"/>
  <c r="M1162" i="13"/>
  <c r="M401" i="13"/>
  <c r="M1321" i="13"/>
  <c r="M1245" i="13"/>
  <c r="M1086" i="13"/>
  <c r="M325" i="13"/>
  <c r="M1096" i="13"/>
  <c r="M335" i="13"/>
  <c r="M1255" i="13"/>
  <c r="M1126" i="13"/>
  <c r="M1285" i="13"/>
  <c r="M365" i="13"/>
  <c r="M341" i="13"/>
  <c r="M1102" i="13"/>
  <c r="M1261" i="13"/>
  <c r="M1138" i="13"/>
  <c r="M1297" i="13"/>
  <c r="M377" i="13"/>
  <c r="M1175" i="13"/>
  <c r="M414" i="13"/>
  <c r="M1334" i="13"/>
  <c r="M1271" i="13"/>
  <c r="M1112" i="13"/>
  <c r="M351" i="13"/>
  <c r="M1038" i="13"/>
  <c r="M280" i="13"/>
  <c r="M128" i="13"/>
  <c r="M100" i="13" s="1"/>
  <c r="M1194" i="13"/>
  <c r="M1092" i="13"/>
  <c r="M1251" i="13"/>
  <c r="M331" i="13"/>
  <c r="M1305" i="13"/>
  <c r="M1146" i="13"/>
  <c r="M385" i="13"/>
  <c r="M378" i="13"/>
  <c r="M1139" i="13"/>
  <c r="M1298" i="13"/>
  <c r="M1031" i="13"/>
  <c r="M1187" i="13"/>
  <c r="M120" i="13"/>
  <c r="M99" i="13" s="1"/>
  <c r="M273" i="13"/>
  <c r="M1308" i="13"/>
  <c r="M388" i="13"/>
  <c r="M1149" i="13"/>
  <c r="M1143" i="13"/>
  <c r="M382" i="13"/>
  <c r="M1302" i="13"/>
  <c r="M1322" i="13"/>
  <c r="M402" i="13"/>
  <c r="M1163" i="13"/>
  <c r="M339" i="13"/>
  <c r="M1100" i="13"/>
  <c r="M1259" i="13"/>
  <c r="M367" i="13"/>
  <c r="M1287" i="13"/>
  <c r="M1128" i="13"/>
  <c r="M1324" i="13"/>
  <c r="M1165" i="13"/>
  <c r="M404" i="13"/>
  <c r="M349" i="13"/>
  <c r="M1269" i="13"/>
  <c r="M1110" i="13"/>
  <c r="M370" i="13"/>
  <c r="M1131" i="13"/>
  <c r="M1290" i="13"/>
  <c r="M408" i="13"/>
  <c r="M1328" i="13"/>
  <c r="M1169" i="13"/>
  <c r="M369" i="13"/>
  <c r="M1130" i="13"/>
  <c r="M1289" i="13"/>
  <c r="M1329" i="13"/>
  <c r="M1170" i="13"/>
  <c r="M409" i="13"/>
  <c r="M1272" i="13"/>
  <c r="M352" i="13"/>
  <c r="M1113" i="13"/>
  <c r="M1195" i="13"/>
  <c r="M281" i="13"/>
  <c r="M1039" i="13"/>
  <c r="M1281" i="13"/>
  <c r="M1122" i="13"/>
  <c r="M361" i="13"/>
  <c r="M1114" i="13"/>
  <c r="M353" i="13"/>
  <c r="M1273" i="13"/>
  <c r="M1152" i="13"/>
  <c r="M1311" i="13"/>
  <c r="M391" i="13"/>
  <c r="M1107" i="13"/>
  <c r="M346" i="13"/>
  <c r="M1266" i="13"/>
  <c r="M1121" i="13"/>
  <c r="M360" i="13"/>
  <c r="M1280" i="13"/>
  <c r="M1278" i="13"/>
  <c r="M1119" i="13"/>
  <c r="M358" i="13"/>
  <c r="M1084" i="13"/>
  <c r="M323" i="13"/>
  <c r="X774" i="13" s="1"/>
  <c r="M1243" i="13"/>
  <c r="M1094" i="13"/>
  <c r="M1253" i="13"/>
  <c r="M333" i="13"/>
  <c r="M1262" i="13"/>
  <c r="M1103" i="13"/>
  <c r="M342" i="13"/>
  <c r="M1168" i="13"/>
  <c r="M1327" i="13"/>
  <c r="M407" i="13"/>
  <c r="M1332" i="13"/>
  <c r="M412" i="13"/>
  <c r="M1173" i="13"/>
  <c r="M277" i="13"/>
  <c r="M1191" i="13"/>
  <c r="M1035" i="13"/>
  <c r="M1299" i="13"/>
  <c r="M379" i="13"/>
  <c r="M1140" i="13"/>
  <c r="M1101" i="13"/>
  <c r="M340" i="13"/>
  <c r="M1260" i="13"/>
  <c r="M1161" i="13"/>
  <c r="M1320" i="13"/>
  <c r="M400" i="13"/>
  <c r="M1125" i="13"/>
  <c r="M1284" i="13"/>
  <c r="M364" i="13"/>
  <c r="M1189" i="13"/>
  <c r="M275" i="13"/>
  <c r="M1033" i="13"/>
  <c r="M1141" i="13"/>
  <c r="M380" i="13"/>
  <c r="M1300" i="13"/>
  <c r="M1316" i="13"/>
  <c r="M1157" i="13"/>
  <c r="M396" i="13"/>
  <c r="M1303" i="13"/>
  <c r="M1144" i="13"/>
  <c r="M383" i="13"/>
  <c r="M384" i="13"/>
  <c r="M1304" i="13"/>
  <c r="M1145" i="13"/>
  <c r="M392" i="13"/>
  <c r="M1312" i="13"/>
  <c r="M1153" i="13"/>
  <c r="M330" i="13"/>
  <c r="M1091" i="13"/>
  <c r="M1250" i="13"/>
  <c r="M1137" i="13"/>
  <c r="M1296" i="13"/>
  <c r="M376" i="13"/>
  <c r="M1249" i="13"/>
  <c r="M1090" i="13"/>
  <c r="M329" i="13"/>
  <c r="M1336" i="13"/>
  <c r="M1177" i="13"/>
  <c r="M416" i="13"/>
  <c r="M1115" i="13"/>
  <c r="M1274" i="13"/>
  <c r="M354" i="13"/>
  <c r="M359" i="13"/>
  <c r="M1120" i="13"/>
  <c r="M1279" i="13"/>
  <c r="M1293" i="13"/>
  <c r="M1134" i="13"/>
  <c r="M373" i="13"/>
  <c r="M1268" i="13"/>
  <c r="M1109" i="13"/>
  <c r="M348" i="13"/>
  <c r="M1247" i="13"/>
  <c r="M1088" i="13"/>
  <c r="M327" i="13"/>
  <c r="X778" i="13" s="1"/>
  <c r="M366" i="13"/>
  <c r="M1286" i="13"/>
  <c r="M1127" i="13"/>
  <c r="M336" i="13"/>
  <c r="M1097" i="13"/>
  <c r="M1256" i="13"/>
  <c r="M1267" i="13"/>
  <c r="M347" i="13"/>
  <c r="M1108" i="13"/>
  <c r="M328" i="13"/>
  <c r="M1248" i="13"/>
  <c r="M1089" i="13"/>
  <c r="M1151" i="13"/>
  <c r="M390" i="13"/>
  <c r="M1310" i="13"/>
  <c r="M1171" i="13"/>
  <c r="M1330" i="13"/>
  <c r="M410" i="13"/>
  <c r="I22" i="18"/>
  <c r="I27" i="18"/>
  <c r="I25" i="18"/>
  <c r="I28" i="18"/>
  <c r="K133" i="18"/>
  <c r="L692" i="13"/>
  <c r="L846" i="13"/>
  <c r="W846" i="13" s="1"/>
  <c r="L999" i="13"/>
  <c r="L864" i="13"/>
  <c r="W864" i="13" s="1"/>
  <c r="L1017" i="13"/>
  <c r="L710" i="13"/>
  <c r="L680" i="13"/>
  <c r="L834" i="13"/>
  <c r="W834" i="13" s="1"/>
  <c r="L987" i="13"/>
  <c r="L635" i="13"/>
  <c r="L789" i="13"/>
  <c r="W789" i="13" s="1"/>
  <c r="L942" i="13"/>
  <c r="L661" i="13"/>
  <c r="L815" i="13"/>
  <c r="W815" i="13" s="1"/>
  <c r="L968" i="13"/>
  <c r="L976" i="13"/>
  <c r="L669" i="13"/>
  <c r="L823" i="13"/>
  <c r="W823" i="13" s="1"/>
  <c r="L805" i="13"/>
  <c r="W805" i="13" s="1"/>
  <c r="L958" i="13"/>
  <c r="L651" i="13"/>
  <c r="L825" i="13"/>
  <c r="W825" i="13" s="1"/>
  <c r="L671" i="13"/>
  <c r="L978" i="13"/>
  <c r="L791" i="13"/>
  <c r="W791" i="13" s="1"/>
  <c r="L944" i="13"/>
  <c r="L637" i="13"/>
  <c r="L1006" i="13"/>
  <c r="L699" i="13"/>
  <c r="L853" i="13"/>
  <c r="W853" i="13" s="1"/>
  <c r="K890" i="13"/>
  <c r="L850" i="13"/>
  <c r="W850" i="13" s="1"/>
  <c r="L696" i="13"/>
  <c r="L1003" i="13"/>
  <c r="L579" i="13"/>
  <c r="L733" i="13"/>
  <c r="W733" i="13" s="1"/>
  <c r="L886" i="13"/>
  <c r="L866" i="13"/>
  <c r="W866" i="13" s="1"/>
  <c r="L1019" i="13"/>
  <c r="L712" i="13"/>
  <c r="L1007" i="13"/>
  <c r="L700" i="13"/>
  <c r="L854" i="13"/>
  <c r="W854" i="13" s="1"/>
  <c r="L1018" i="13"/>
  <c r="L711" i="13"/>
  <c r="L865" i="13"/>
  <c r="W865" i="13" s="1"/>
  <c r="L713" i="13"/>
  <c r="L867" i="13"/>
  <c r="W867" i="13" s="1"/>
  <c r="L1020" i="13"/>
  <c r="L940" i="13"/>
  <c r="L787" i="13"/>
  <c r="W787" i="13" s="1"/>
  <c r="L633" i="13"/>
  <c r="L652" i="13"/>
  <c r="L806" i="13"/>
  <c r="W806" i="13" s="1"/>
  <c r="L959" i="13"/>
  <c r="L649" i="13"/>
  <c r="L803" i="13"/>
  <c r="W803" i="13" s="1"/>
  <c r="L956" i="13"/>
  <c r="L574" i="13"/>
  <c r="L728" i="13"/>
  <c r="W728" i="13" s="1"/>
  <c r="L881" i="13"/>
  <c r="L812" i="13"/>
  <c r="W812" i="13" s="1"/>
  <c r="L965" i="13"/>
  <c r="L658" i="13"/>
  <c r="L792" i="13"/>
  <c r="W792" i="13" s="1"/>
  <c r="L945" i="13"/>
  <c r="L638" i="13"/>
  <c r="L995" i="13"/>
  <c r="L842" i="13"/>
  <c r="W842" i="13" s="1"/>
  <c r="L688" i="13"/>
  <c r="L997" i="13"/>
  <c r="L690" i="13"/>
  <c r="L844" i="13"/>
  <c r="W844" i="13" s="1"/>
  <c r="L1001" i="13"/>
  <c r="L848" i="13"/>
  <c r="W848" i="13" s="1"/>
  <c r="L694" i="13"/>
  <c r="L817" i="13"/>
  <c r="W817" i="13" s="1"/>
  <c r="L970" i="13"/>
  <c r="L663" i="13"/>
  <c r="L795" i="13"/>
  <c r="W795" i="13" s="1"/>
  <c r="L948" i="13"/>
  <c r="L641" i="13"/>
  <c r="L704" i="13"/>
  <c r="L1011" i="13"/>
  <c r="L858" i="13"/>
  <c r="W858" i="13" s="1"/>
  <c r="K583" i="13"/>
  <c r="L994" i="13"/>
  <c r="L841" i="13"/>
  <c r="W841" i="13" s="1"/>
  <c r="L687" i="13"/>
  <c r="K736" i="13"/>
  <c r="L979" i="13"/>
  <c r="L826" i="13"/>
  <c r="W826" i="13" s="1"/>
  <c r="L672" i="13"/>
  <c r="L856" i="13"/>
  <c r="W856" i="13" s="1"/>
  <c r="L1009" i="13"/>
  <c r="L702" i="13"/>
  <c r="L780" i="13"/>
  <c r="W780" i="13" s="1"/>
  <c r="L626" i="13"/>
  <c r="L933" i="13"/>
  <c r="L811" i="13"/>
  <c r="W811" i="13" s="1"/>
  <c r="L964" i="13"/>
  <c r="L657" i="13"/>
  <c r="L1014" i="13"/>
  <c r="L707" i="13"/>
  <c r="L861" i="13"/>
  <c r="W861" i="13" s="1"/>
  <c r="L938" i="13"/>
  <c r="L631" i="13"/>
  <c r="L785" i="13"/>
  <c r="W785" i="13" s="1"/>
  <c r="L807" i="13"/>
  <c r="W807" i="13" s="1"/>
  <c r="L653" i="13"/>
  <c r="L960" i="13"/>
  <c r="L682" i="13"/>
  <c r="L836" i="13"/>
  <c r="W836" i="13" s="1"/>
  <c r="L989" i="13"/>
  <c r="L1389" i="13"/>
  <c r="L1388" i="13"/>
  <c r="K1389" i="13"/>
  <c r="K1388" i="13"/>
  <c r="J1381" i="13"/>
  <c r="I1381" i="13"/>
  <c r="K41" i="34"/>
  <c r="J41" i="34"/>
  <c r="L1211" i="13" l="1"/>
  <c r="M610" i="13"/>
  <c r="M917" i="13"/>
  <c r="M1211" i="13"/>
  <c r="M1223" i="13"/>
  <c r="L1223" i="13"/>
  <c r="M1235" i="13"/>
  <c r="L1077" i="13"/>
  <c r="M1077" i="13"/>
  <c r="M1067" i="13"/>
  <c r="L1067" i="13"/>
  <c r="V736" i="13"/>
  <c r="L924" i="13"/>
  <c r="L770" i="13"/>
  <c r="W770" i="13" s="1"/>
  <c r="M921" i="13"/>
  <c r="M767" i="13"/>
  <c r="X767" i="13" s="1"/>
  <c r="M923" i="13"/>
  <c r="M769" i="13"/>
  <c r="X769" i="13" s="1"/>
  <c r="L921" i="13"/>
  <c r="L767" i="13"/>
  <c r="W767" i="13" s="1"/>
  <c r="L922" i="13"/>
  <c r="L768" i="13"/>
  <c r="W768" i="13" s="1"/>
  <c r="M924" i="13"/>
  <c r="M770" i="13"/>
  <c r="X770" i="13" s="1"/>
  <c r="L923" i="13"/>
  <c r="L769" i="13"/>
  <c r="W769" i="13" s="1"/>
  <c r="M925" i="13"/>
  <c r="M771" i="13"/>
  <c r="X771" i="13" s="1"/>
  <c r="M922" i="13"/>
  <c r="M768" i="13"/>
  <c r="X768" i="13" s="1"/>
  <c r="L775" i="13"/>
  <c r="W775" i="13" s="1"/>
  <c r="W774" i="13"/>
  <c r="L779" i="13"/>
  <c r="W779" i="13" s="1"/>
  <c r="W778" i="13"/>
  <c r="K421" i="13"/>
  <c r="V874" i="13" s="1"/>
  <c r="V737" i="13"/>
  <c r="V748" i="13"/>
  <c r="I14" i="45"/>
  <c r="K76" i="13"/>
  <c r="J14" i="45"/>
  <c r="L76" i="13"/>
  <c r="L765" i="13"/>
  <c r="W765" i="13" s="1"/>
  <c r="L919" i="13"/>
  <c r="L925" i="13"/>
  <c r="M765" i="13"/>
  <c r="X765" i="13" s="1"/>
  <c r="M919" i="13"/>
  <c r="L640" i="13"/>
  <c r="L843" i="13"/>
  <c r="W843" i="13" s="1"/>
  <c r="M918" i="13"/>
  <c r="M764" i="13"/>
  <c r="X764" i="13" s="1"/>
  <c r="L800" i="13"/>
  <c r="W800" i="13" s="1"/>
  <c r="L990" i="13"/>
  <c r="L929" i="13"/>
  <c r="L766" i="13"/>
  <c r="W766" i="13" s="1"/>
  <c r="M766" i="13"/>
  <c r="X766" i="13" s="1"/>
  <c r="L831" i="13"/>
  <c r="W831" i="13" s="1"/>
  <c r="L855" i="13"/>
  <c r="W855" i="13" s="1"/>
  <c r="L918" i="13"/>
  <c r="L764" i="13"/>
  <c r="W764" i="13" s="1"/>
  <c r="L971" i="13"/>
  <c r="L782" i="13"/>
  <c r="W782" i="13" s="1"/>
  <c r="W763" i="13"/>
  <c r="L634" i="13"/>
  <c r="L1002" i="13"/>
  <c r="L913" i="13"/>
  <c r="L759" i="13"/>
  <c r="W759" i="13" s="1"/>
  <c r="M913" i="13"/>
  <c r="M759" i="13"/>
  <c r="J17" i="18"/>
  <c r="L102" i="13"/>
  <c r="K17" i="18"/>
  <c r="M102" i="13"/>
  <c r="M611" i="13"/>
  <c r="L592" i="13"/>
  <c r="L743" i="13"/>
  <c r="W743" i="13" s="1"/>
  <c r="L746" i="13"/>
  <c r="W746" i="13" s="1"/>
  <c r="L593" i="13"/>
  <c r="L587" i="13"/>
  <c r="L894" i="13"/>
  <c r="L896" i="13"/>
  <c r="L589" i="13"/>
  <c r="L917" i="13"/>
  <c r="L747" i="13"/>
  <c r="W747" i="13" s="1"/>
  <c r="L911" i="13"/>
  <c r="L907" i="13"/>
  <c r="L906" i="13"/>
  <c r="L905" i="13"/>
  <c r="L751" i="13"/>
  <c r="L897" i="13"/>
  <c r="K870" i="13"/>
  <c r="V871" i="13" s="1"/>
  <c r="V872" i="13" s="1"/>
  <c r="L745" i="13"/>
  <c r="W745" i="13" s="1"/>
  <c r="M615" i="13"/>
  <c r="M616" i="13"/>
  <c r="L614" i="13"/>
  <c r="L613" i="13"/>
  <c r="M617" i="13"/>
  <c r="L616" i="13"/>
  <c r="L615" i="13"/>
  <c r="M614" i="13"/>
  <c r="J15" i="18"/>
  <c r="L166" i="13"/>
  <c r="L610" i="13"/>
  <c r="L617" i="13"/>
  <c r="M613" i="13"/>
  <c r="L611" i="13"/>
  <c r="J16" i="18"/>
  <c r="L604" i="13"/>
  <c r="M321" i="13"/>
  <c r="M926" i="13" s="1"/>
  <c r="L603" i="13"/>
  <c r="L910" i="13"/>
  <c r="K16" i="18"/>
  <c r="L321" i="13"/>
  <c r="L926" i="13" s="1"/>
  <c r="M309" i="13"/>
  <c r="L309" i="13"/>
  <c r="L893" i="13"/>
  <c r="L297" i="13"/>
  <c r="L599" i="13"/>
  <c r="M166" i="13"/>
  <c r="M297" i="13"/>
  <c r="K29" i="18" s="1"/>
  <c r="L912" i="13"/>
  <c r="L605" i="13"/>
  <c r="K30" i="45"/>
  <c r="L996" i="13"/>
  <c r="L689" i="13"/>
  <c r="L622" i="13"/>
  <c r="L859" i="13"/>
  <c r="W859" i="13" s="1"/>
  <c r="L588" i="13"/>
  <c r="L741" i="13"/>
  <c r="W741" i="13" s="1"/>
  <c r="L849" i="13"/>
  <c r="W849" i="13" s="1"/>
  <c r="L695" i="13"/>
  <c r="L963" i="13"/>
  <c r="L982" i="13"/>
  <c r="L601" i="13"/>
  <c r="L947" i="13"/>
  <c r="L701" i="13"/>
  <c r="L898" i="13"/>
  <c r="L645" i="13"/>
  <c r="L1008" i="13"/>
  <c r="L794" i="13"/>
  <c r="W794" i="13" s="1"/>
  <c r="L952" i="13"/>
  <c r="L675" i="13"/>
  <c r="L932" i="13"/>
  <c r="L798" i="13"/>
  <c r="W798" i="13" s="1"/>
  <c r="L908" i="13"/>
  <c r="L627" i="13"/>
  <c r="L776" i="13"/>
  <c r="W776" i="13" s="1"/>
  <c r="L852" i="13"/>
  <c r="W852" i="13" s="1"/>
  <c r="L1012" i="13"/>
  <c r="L1005" i="13"/>
  <c r="L934" i="13"/>
  <c r="L656" i="13"/>
  <c r="L809" i="13"/>
  <c r="W809" i="13" s="1"/>
  <c r="K24" i="18"/>
  <c r="K25" i="18" s="1"/>
  <c r="K21" i="18"/>
  <c r="K22" i="18" s="1"/>
  <c r="L788" i="13"/>
  <c r="W788" i="13" s="1"/>
  <c r="L1199" i="13"/>
  <c r="L882" i="13"/>
  <c r="L575" i="13"/>
  <c r="J21" i="18"/>
  <c r="L988" i="13"/>
  <c r="L835" i="13"/>
  <c r="W835" i="13" s="1"/>
  <c r="L693" i="13"/>
  <c r="L821" i="13"/>
  <c r="W821" i="13" s="1"/>
  <c r="L1000" i="13"/>
  <c r="L946" i="13"/>
  <c r="L793" i="13"/>
  <c r="W793" i="13" s="1"/>
  <c r="L880" i="13"/>
  <c r="L632" i="13"/>
  <c r="L668" i="13"/>
  <c r="L625" i="13"/>
  <c r="L962" i="13"/>
  <c r="L941" i="13"/>
  <c r="L725" i="13"/>
  <c r="W725" i="13" s="1"/>
  <c r="L1013" i="13"/>
  <c r="L975" i="13"/>
  <c r="L837" i="13"/>
  <c r="W837" i="13" s="1"/>
  <c r="L984" i="13"/>
  <c r="L683" i="13"/>
  <c r="L953" i="13"/>
  <c r="L727" i="13"/>
  <c r="W727" i="13" s="1"/>
  <c r="L646" i="13"/>
  <c r="L879" i="13"/>
  <c r="L580" i="13"/>
  <c r="L816" i="13"/>
  <c r="W816" i="13" s="1"/>
  <c r="L602" i="13"/>
  <c r="L969" i="13"/>
  <c r="L909" i="13"/>
  <c r="L726" i="13"/>
  <c r="W726" i="13" s="1"/>
  <c r="L571" i="13"/>
  <c r="L928" i="13"/>
  <c r="L623" i="13"/>
  <c r="L278" i="13"/>
  <c r="W730" i="13" s="1"/>
  <c r="L930" i="13"/>
  <c r="L734" i="13"/>
  <c r="W734" i="13" s="1"/>
  <c r="L283" i="13"/>
  <c r="W735" i="13" s="1"/>
  <c r="L628" i="13"/>
  <c r="L708" i="13"/>
  <c r="L744" i="13"/>
  <c r="W744" i="13" s="1"/>
  <c r="J24" i="18"/>
  <c r="J25" i="18" s="1"/>
  <c r="L629" i="13"/>
  <c r="L936" i="13"/>
  <c r="L674" i="13"/>
  <c r="L951" i="13"/>
  <c r="L828" i="13"/>
  <c r="W828" i="13" s="1"/>
  <c r="L621" i="13"/>
  <c r="L885" i="13"/>
  <c r="L678" i="13"/>
  <c r="L670" i="13"/>
  <c r="L974" i="13"/>
  <c r="L935" i="13"/>
  <c r="L977" i="13"/>
  <c r="L862" i="13"/>
  <c r="W862" i="13" s="1"/>
  <c r="L600" i="13"/>
  <c r="L598" i="13"/>
  <c r="L706" i="13"/>
  <c r="L786" i="13"/>
  <c r="W786" i="13" s="1"/>
  <c r="L950" i="13"/>
  <c r="L966" i="13"/>
  <c r="L957" i="13"/>
  <c r="L804" i="13"/>
  <c r="W804" i="13" s="1"/>
  <c r="L739" i="13"/>
  <c r="L677" i="13"/>
  <c r="L797" i="13"/>
  <c r="W797" i="13" s="1"/>
  <c r="L813" i="13"/>
  <c r="W813" i="13" s="1"/>
  <c r="L594" i="13"/>
  <c r="L1043" i="13"/>
  <c r="L901" i="13"/>
  <c r="L732" i="13"/>
  <c r="W732" i="13" s="1"/>
  <c r="L586" i="13"/>
  <c r="L993" i="13"/>
  <c r="L686" i="13"/>
  <c r="L868" i="13"/>
  <c r="W868" i="13" s="1"/>
  <c r="L819" i="13"/>
  <c r="W819" i="13" s="1"/>
  <c r="L714" i="13"/>
  <c r="L665" i="13"/>
  <c r="L684" i="13"/>
  <c r="L1179" i="13"/>
  <c r="L838" i="13"/>
  <c r="W838" i="13" s="1"/>
  <c r="L801" i="13"/>
  <c r="W801" i="13" s="1"/>
  <c r="L647" i="13"/>
  <c r="L830" i="13"/>
  <c r="W830" i="13" s="1"/>
  <c r="L983" i="13"/>
  <c r="L832" i="13"/>
  <c r="W832" i="13" s="1"/>
  <c r="L418" i="13"/>
  <c r="L664" i="13"/>
  <c r="L818" i="13"/>
  <c r="W818" i="13" s="1"/>
  <c r="M586" i="13"/>
  <c r="M893" i="13"/>
  <c r="M739" i="13"/>
  <c r="M688" i="13"/>
  <c r="M842" i="13"/>
  <c r="X842" i="13" s="1"/>
  <c r="M995" i="13"/>
  <c r="M953" i="13"/>
  <c r="M646" i="13"/>
  <c r="M800" i="13"/>
  <c r="X800" i="13" s="1"/>
  <c r="M1001" i="13"/>
  <c r="M848" i="13"/>
  <c r="X848" i="13" s="1"/>
  <c r="M694" i="13"/>
  <c r="M831" i="13"/>
  <c r="X831" i="13" s="1"/>
  <c r="M677" i="13"/>
  <c r="M984" i="13"/>
  <c r="M659" i="13"/>
  <c r="M966" i="13"/>
  <c r="M813" i="13"/>
  <c r="X813" i="13" s="1"/>
  <c r="M702" i="13"/>
  <c r="M1009" i="13"/>
  <c r="M856" i="13"/>
  <c r="X856" i="13" s="1"/>
  <c r="M571" i="13"/>
  <c r="M725" i="13"/>
  <c r="X725" i="13" s="1"/>
  <c r="M878" i="13"/>
  <c r="M278" i="13"/>
  <c r="X730" i="13" s="1"/>
  <c r="M983" i="13"/>
  <c r="M676" i="13"/>
  <c r="M830" i="13"/>
  <c r="X830" i="13" s="1"/>
  <c r="M589" i="13"/>
  <c r="M742" i="13"/>
  <c r="X742" i="13" s="1"/>
  <c r="M896" i="13"/>
  <c r="M741" i="13"/>
  <c r="X741" i="13" s="1"/>
  <c r="M588" i="13"/>
  <c r="M895" i="13"/>
  <c r="M905" i="13"/>
  <c r="M598" i="13"/>
  <c r="M693" i="13"/>
  <c r="M1000" i="13"/>
  <c r="M847" i="13"/>
  <c r="X847" i="13" s="1"/>
  <c r="M797" i="13"/>
  <c r="X797" i="13" s="1"/>
  <c r="M950" i="13"/>
  <c r="M643" i="13"/>
  <c r="M865" i="13"/>
  <c r="X865" i="13" s="1"/>
  <c r="M711" i="13"/>
  <c r="M1018" i="13"/>
  <c r="M855" i="13"/>
  <c r="X855" i="13" s="1"/>
  <c r="M1008" i="13"/>
  <c r="M701" i="13"/>
  <c r="M603" i="13"/>
  <c r="M910" i="13"/>
  <c r="M933" i="13"/>
  <c r="M780" i="13"/>
  <c r="X780" i="13" s="1"/>
  <c r="M626" i="13"/>
  <c r="M964" i="13"/>
  <c r="M811" i="13"/>
  <c r="X811" i="13" s="1"/>
  <c r="M657" i="13"/>
  <c r="M935" i="13"/>
  <c r="M628" i="13"/>
  <c r="M782" i="13"/>
  <c r="X782" i="13" s="1"/>
  <c r="M573" i="13"/>
  <c r="M880" i="13"/>
  <c r="M727" i="13"/>
  <c r="X727" i="13" s="1"/>
  <c r="M729" i="13"/>
  <c r="X729" i="13" s="1"/>
  <c r="M575" i="13"/>
  <c r="M882" i="13"/>
  <c r="M928" i="13"/>
  <c r="M775" i="13"/>
  <c r="X775" i="13" s="1"/>
  <c r="M621" i="13"/>
  <c r="M418" i="13"/>
  <c r="M658" i="13"/>
  <c r="M965" i="13"/>
  <c r="M812" i="13"/>
  <c r="X812" i="13" s="1"/>
  <c r="M843" i="13"/>
  <c r="X843" i="13" s="1"/>
  <c r="M996" i="13"/>
  <c r="M689" i="13"/>
  <c r="M804" i="13"/>
  <c r="X804" i="13" s="1"/>
  <c r="M650" i="13"/>
  <c r="M957" i="13"/>
  <c r="M837" i="13"/>
  <c r="X837" i="13" s="1"/>
  <c r="M683" i="13"/>
  <c r="M990" i="13"/>
  <c r="M604" i="13"/>
  <c r="M911" i="13"/>
  <c r="M788" i="13"/>
  <c r="X788" i="13" s="1"/>
  <c r="M634" i="13"/>
  <c r="M941" i="13"/>
  <c r="M836" i="13"/>
  <c r="X836" i="13" s="1"/>
  <c r="M682" i="13"/>
  <c r="M989" i="13"/>
  <c r="M908" i="13"/>
  <c r="M601" i="13"/>
  <c r="M900" i="13"/>
  <c r="M746" i="13"/>
  <c r="X746" i="13" s="1"/>
  <c r="M593" i="13"/>
  <c r="M975" i="13"/>
  <c r="M822" i="13"/>
  <c r="X822" i="13" s="1"/>
  <c r="M668" i="13"/>
  <c r="M944" i="13"/>
  <c r="M791" i="13"/>
  <c r="X791" i="13" s="1"/>
  <c r="M637" i="13"/>
  <c r="M834" i="13"/>
  <c r="X834" i="13" s="1"/>
  <c r="M680" i="13"/>
  <c r="M987" i="13"/>
  <c r="M745" i="13"/>
  <c r="X745" i="13" s="1"/>
  <c r="M899" i="13"/>
  <c r="M592" i="13"/>
  <c r="M897" i="13"/>
  <c r="M743" i="13"/>
  <c r="X743" i="13" s="1"/>
  <c r="M590" i="13"/>
  <c r="M1020" i="13"/>
  <c r="M713" i="13"/>
  <c r="M867" i="13"/>
  <c r="X867" i="13" s="1"/>
  <c r="M807" i="13"/>
  <c r="X807" i="13" s="1"/>
  <c r="M960" i="13"/>
  <c r="M653" i="13"/>
  <c r="M684" i="13"/>
  <c r="M838" i="13"/>
  <c r="X838" i="13" s="1"/>
  <c r="M991" i="13"/>
  <c r="M574" i="13"/>
  <c r="M881" i="13"/>
  <c r="M728" i="13"/>
  <c r="X728" i="13" s="1"/>
  <c r="M976" i="13"/>
  <c r="M823" i="13"/>
  <c r="X823" i="13" s="1"/>
  <c r="M669" i="13"/>
  <c r="M979" i="13"/>
  <c r="M826" i="13"/>
  <c r="X826" i="13" s="1"/>
  <c r="M672" i="13"/>
  <c r="M815" i="13"/>
  <c r="X815" i="13" s="1"/>
  <c r="M968" i="13"/>
  <c r="M661" i="13"/>
  <c r="M862" i="13"/>
  <c r="X862" i="13" s="1"/>
  <c r="M1015" i="13"/>
  <c r="M708" i="13"/>
  <c r="M907" i="13"/>
  <c r="M600" i="13"/>
  <c r="M978" i="13"/>
  <c r="M825" i="13"/>
  <c r="X825" i="13" s="1"/>
  <c r="M671" i="13"/>
  <c r="M959" i="13"/>
  <c r="M806" i="13"/>
  <c r="X806" i="13" s="1"/>
  <c r="M652" i="13"/>
  <c r="M981" i="13"/>
  <c r="M828" i="13"/>
  <c r="X828" i="13" s="1"/>
  <c r="M674" i="13"/>
  <c r="M681" i="13"/>
  <c r="M988" i="13"/>
  <c r="M835" i="13"/>
  <c r="X835" i="13" s="1"/>
  <c r="M969" i="13"/>
  <c r="M816" i="13"/>
  <c r="X816" i="13" s="1"/>
  <c r="M662" i="13"/>
  <c r="M1012" i="13"/>
  <c r="M705" i="13"/>
  <c r="M859" i="13"/>
  <c r="X859" i="13" s="1"/>
  <c r="M631" i="13"/>
  <c r="M938" i="13"/>
  <c r="M785" i="13"/>
  <c r="X785" i="13" s="1"/>
  <c r="M1179" i="13"/>
  <c r="M821" i="13"/>
  <c r="X821" i="13" s="1"/>
  <c r="M667" i="13"/>
  <c r="M974" i="13"/>
  <c r="M1199" i="13"/>
  <c r="M787" i="13"/>
  <c r="X787" i="13" s="1"/>
  <c r="M940" i="13"/>
  <c r="M633" i="13"/>
  <c r="M670" i="13"/>
  <c r="M977" i="13"/>
  <c r="M824" i="13"/>
  <c r="X824" i="13" s="1"/>
  <c r="M726" i="13"/>
  <c r="X726" i="13" s="1"/>
  <c r="M572" i="13"/>
  <c r="M879" i="13"/>
  <c r="M786" i="13"/>
  <c r="X786" i="13" s="1"/>
  <c r="M632" i="13"/>
  <c r="M939" i="13"/>
  <c r="M692" i="13"/>
  <c r="M999" i="13"/>
  <c r="M846" i="13"/>
  <c r="X846" i="13" s="1"/>
  <c r="M734" i="13"/>
  <c r="X734" i="13" s="1"/>
  <c r="M887" i="13"/>
  <c r="M580" i="13"/>
  <c r="M832" i="13"/>
  <c r="X832" i="13" s="1"/>
  <c r="M678" i="13"/>
  <c r="M985" i="13"/>
  <c r="M945" i="13"/>
  <c r="M638" i="13"/>
  <c r="M792" i="13"/>
  <c r="X792" i="13" s="1"/>
  <c r="M1017" i="13"/>
  <c r="M710" i="13"/>
  <c r="M864" i="13"/>
  <c r="X864" i="13" s="1"/>
  <c r="M594" i="13"/>
  <c r="M901" i="13"/>
  <c r="M1014" i="13"/>
  <c r="M861" i="13"/>
  <c r="X861" i="13" s="1"/>
  <c r="M707" i="13"/>
  <c r="M1043" i="13"/>
  <c r="M885" i="13"/>
  <c r="M578" i="13"/>
  <c r="M283" i="13"/>
  <c r="X735" i="13" s="1"/>
  <c r="M732" i="13"/>
  <c r="X732" i="13" s="1"/>
  <c r="M712" i="13"/>
  <c r="M1019" i="13"/>
  <c r="M866" i="13"/>
  <c r="X866" i="13" s="1"/>
  <c r="M793" i="13"/>
  <c r="X793" i="13" s="1"/>
  <c r="M946" i="13"/>
  <c r="M639" i="13"/>
  <c r="M1006" i="13"/>
  <c r="M699" i="13"/>
  <c r="M853" i="13"/>
  <c r="X853" i="13" s="1"/>
  <c r="M740" i="13"/>
  <c r="X740" i="13" s="1"/>
  <c r="M587" i="13"/>
  <c r="M894" i="13"/>
  <c r="M952" i="13"/>
  <c r="M645" i="13"/>
  <c r="M799" i="13"/>
  <c r="X799" i="13" s="1"/>
  <c r="M818" i="13"/>
  <c r="X818" i="13" s="1"/>
  <c r="M971" i="13"/>
  <c r="M664" i="13"/>
  <c r="M844" i="13"/>
  <c r="X844" i="13" s="1"/>
  <c r="M690" i="13"/>
  <c r="M997" i="13"/>
  <c r="M963" i="13"/>
  <c r="M810" i="13"/>
  <c r="X810" i="13" s="1"/>
  <c r="M656" i="13"/>
  <c r="M644" i="13"/>
  <c r="M798" i="13"/>
  <c r="X798" i="13" s="1"/>
  <c r="M951" i="13"/>
  <c r="M805" i="13"/>
  <c r="X805" i="13" s="1"/>
  <c r="M651" i="13"/>
  <c r="M958" i="13"/>
  <c r="M579" i="13"/>
  <c r="M733" i="13"/>
  <c r="X733" i="13" s="1"/>
  <c r="M886" i="13"/>
  <c r="M795" i="13"/>
  <c r="X795" i="13" s="1"/>
  <c r="M948" i="13"/>
  <c r="M641" i="13"/>
  <c r="M909" i="13"/>
  <c r="M602" i="13"/>
  <c r="M912" i="13"/>
  <c r="M605" i="13"/>
  <c r="M599" i="13"/>
  <c r="M906" i="13"/>
  <c r="M706" i="13"/>
  <c r="M860" i="13"/>
  <c r="X860" i="13" s="1"/>
  <c r="M1013" i="13"/>
  <c r="M854" i="13"/>
  <c r="X854" i="13" s="1"/>
  <c r="M700" i="13"/>
  <c r="M1007" i="13"/>
  <c r="M993" i="13"/>
  <c r="M840" i="13"/>
  <c r="X840" i="13" s="1"/>
  <c r="M686" i="13"/>
  <c r="M936" i="13"/>
  <c r="M783" i="13"/>
  <c r="X783" i="13" s="1"/>
  <c r="M629" i="13"/>
  <c r="M649" i="13"/>
  <c r="M956" i="13"/>
  <c r="M803" i="13"/>
  <c r="X803" i="13" s="1"/>
  <c r="M970" i="13"/>
  <c r="M663" i="13"/>
  <c r="M817" i="13"/>
  <c r="X817" i="13" s="1"/>
  <c r="M777" i="13"/>
  <c r="X777" i="13" s="1"/>
  <c r="M930" i="13"/>
  <c r="M623" i="13"/>
  <c r="M704" i="13"/>
  <c r="M858" i="13"/>
  <c r="X858" i="13" s="1"/>
  <c r="M1011" i="13"/>
  <c r="M776" i="13"/>
  <c r="X776" i="13" s="1"/>
  <c r="M929" i="13"/>
  <c r="M622" i="13"/>
  <c r="M744" i="13"/>
  <c r="X744" i="13" s="1"/>
  <c r="M898" i="13"/>
  <c r="M591" i="13"/>
  <c r="M779" i="13"/>
  <c r="X779" i="13" s="1"/>
  <c r="M625" i="13"/>
  <c r="M932" i="13"/>
  <c r="M868" i="13"/>
  <c r="X868" i="13" s="1"/>
  <c r="M1021" i="13"/>
  <c r="M714" i="13"/>
  <c r="M627" i="13"/>
  <c r="M781" i="13"/>
  <c r="X781" i="13" s="1"/>
  <c r="M934" i="13"/>
  <c r="M852" i="13"/>
  <c r="X852" i="13" s="1"/>
  <c r="M1005" i="13"/>
  <c r="M698" i="13"/>
  <c r="M947" i="13"/>
  <c r="M794" i="13"/>
  <c r="X794" i="13" s="1"/>
  <c r="M640" i="13"/>
  <c r="M954" i="13"/>
  <c r="M647" i="13"/>
  <c r="M801" i="13"/>
  <c r="X801" i="13" s="1"/>
  <c r="M972" i="13"/>
  <c r="M665" i="13"/>
  <c r="M819" i="13"/>
  <c r="X819" i="13" s="1"/>
  <c r="M829" i="13"/>
  <c r="X829" i="13" s="1"/>
  <c r="M982" i="13"/>
  <c r="M675" i="13"/>
  <c r="M1003" i="13"/>
  <c r="M696" i="13"/>
  <c r="M850" i="13"/>
  <c r="X850" i="13" s="1"/>
  <c r="M655" i="13"/>
  <c r="M809" i="13"/>
  <c r="X809" i="13" s="1"/>
  <c r="M962" i="13"/>
  <c r="M849" i="13"/>
  <c r="X849" i="13" s="1"/>
  <c r="M695" i="13"/>
  <c r="M1002" i="13"/>
  <c r="M994" i="13"/>
  <c r="M841" i="13"/>
  <c r="X841" i="13" s="1"/>
  <c r="M687" i="13"/>
  <c r="M789" i="13"/>
  <c r="X789" i="13" s="1"/>
  <c r="M942" i="13"/>
  <c r="M635" i="13"/>
  <c r="K719" i="13"/>
  <c r="K1026" i="13"/>
  <c r="G8" i="18"/>
  <c r="H8" i="18"/>
  <c r="B290" i="13"/>
  <c r="B895" i="13" s="1"/>
  <c r="J1416" i="13"/>
  <c r="I1416" i="13"/>
  <c r="G52" i="18"/>
  <c r="H52" i="18"/>
  <c r="G53" i="18"/>
  <c r="H53" i="18"/>
  <c r="G57" i="18"/>
  <c r="H57" i="18"/>
  <c r="G58" i="18"/>
  <c r="H58" i="18"/>
  <c r="B1336" i="13"/>
  <c r="B1335" i="13"/>
  <c r="B1334" i="13"/>
  <c r="B1333" i="13"/>
  <c r="B1332" i="13"/>
  <c r="B1330" i="13"/>
  <c r="B1329" i="13"/>
  <c r="B1328" i="13"/>
  <c r="B1327" i="13"/>
  <c r="B1326" i="13"/>
  <c r="B1324" i="13"/>
  <c r="B1323" i="13"/>
  <c r="B1322" i="13"/>
  <c r="B1321" i="13"/>
  <c r="B1320" i="13"/>
  <c r="B1318" i="13"/>
  <c r="B1317" i="13"/>
  <c r="B1316" i="13"/>
  <c r="B1315" i="13"/>
  <c r="B1314" i="13"/>
  <c r="B1312" i="13"/>
  <c r="B1311" i="13"/>
  <c r="B1310" i="13"/>
  <c r="B1309" i="13"/>
  <c r="B1308" i="13"/>
  <c r="B1306" i="13"/>
  <c r="B1305" i="13"/>
  <c r="B1304" i="13"/>
  <c r="B1303" i="13"/>
  <c r="B1302" i="13"/>
  <c r="B1300" i="13"/>
  <c r="B1299" i="13"/>
  <c r="B1298" i="13"/>
  <c r="B1297" i="13"/>
  <c r="B1207" i="13"/>
  <c r="B1206" i="13"/>
  <c r="B1205" i="13"/>
  <c r="B1204" i="13"/>
  <c r="B1203" i="13"/>
  <c r="B1202" i="13"/>
  <c r="B1201" i="13"/>
  <c r="B1199" i="13"/>
  <c r="B1195" i="13"/>
  <c r="B1194" i="13"/>
  <c r="B1193" i="13"/>
  <c r="B1191" i="13"/>
  <c r="B1190" i="13"/>
  <c r="B1189" i="13"/>
  <c r="B1188" i="13"/>
  <c r="B1187" i="13"/>
  <c r="B1186" i="13"/>
  <c r="B1177" i="13"/>
  <c r="B1176" i="13"/>
  <c r="B1175" i="13"/>
  <c r="B1174" i="13"/>
  <c r="B1173" i="13"/>
  <c r="B1171" i="13"/>
  <c r="B1170" i="13"/>
  <c r="B1169" i="13"/>
  <c r="B1168" i="13"/>
  <c r="B1167" i="13"/>
  <c r="B1165" i="13"/>
  <c r="B1164" i="13"/>
  <c r="B1163" i="13"/>
  <c r="B1162" i="13"/>
  <c r="B1161" i="13"/>
  <c r="B1159" i="13"/>
  <c r="B1158" i="13"/>
  <c r="B1157" i="13"/>
  <c r="B1156" i="13"/>
  <c r="B1155" i="13"/>
  <c r="B1153" i="13"/>
  <c r="B1152" i="13"/>
  <c r="B1151" i="13"/>
  <c r="B1150" i="13"/>
  <c r="B1149" i="13"/>
  <c r="B1147" i="13"/>
  <c r="B1146" i="13"/>
  <c r="B1145" i="13"/>
  <c r="B1144" i="13"/>
  <c r="B1143" i="13"/>
  <c r="B1141" i="13"/>
  <c r="B1140" i="13"/>
  <c r="B1139" i="13"/>
  <c r="B1138" i="13"/>
  <c r="B1137" i="13"/>
  <c r="B1081" i="13"/>
  <c r="B1073" i="13"/>
  <c r="B1072" i="13"/>
  <c r="B1071" i="13"/>
  <c r="B1070" i="13"/>
  <c r="B1052" i="13"/>
  <c r="B1051" i="13"/>
  <c r="B1050" i="13"/>
  <c r="B1049" i="13"/>
  <c r="B1048" i="13"/>
  <c r="B1047" i="13"/>
  <c r="B1046" i="13"/>
  <c r="B1045" i="13"/>
  <c r="B1043" i="13"/>
  <c r="B1040" i="13"/>
  <c r="B1039" i="13"/>
  <c r="B1038" i="13"/>
  <c r="B1037" i="13"/>
  <c r="B1035" i="13"/>
  <c r="B1034" i="13"/>
  <c r="B1033" i="13"/>
  <c r="B1032" i="13"/>
  <c r="B1031" i="13"/>
  <c r="B1030" i="13"/>
  <c r="J1404" i="13"/>
  <c r="I1404" i="13"/>
  <c r="J1399" i="13"/>
  <c r="I1399" i="13"/>
  <c r="I1358" i="13"/>
  <c r="J1358" i="13" s="1"/>
  <c r="K1358" i="13" s="1"/>
  <c r="B524" i="13"/>
  <c r="B523" i="13"/>
  <c r="B522" i="13"/>
  <c r="B379" i="13"/>
  <c r="B677" i="13" s="1"/>
  <c r="B378" i="13"/>
  <c r="B676" i="13" s="1"/>
  <c r="B377" i="13"/>
  <c r="B675" i="13" s="1"/>
  <c r="G7" i="18"/>
  <c r="G61" i="18" s="1"/>
  <c r="H7" i="18"/>
  <c r="H61" i="18" s="1"/>
  <c r="J42" i="34"/>
  <c r="K42" i="34"/>
  <c r="I46" i="34"/>
  <c r="J46" i="34"/>
  <c r="K46" i="34"/>
  <c r="H31" i="13"/>
  <c r="H32" i="13" s="1"/>
  <c r="I31" i="13"/>
  <c r="I32" i="13" s="1"/>
  <c r="H79" i="13"/>
  <c r="I79" i="13"/>
  <c r="J79" i="13"/>
  <c r="C88" i="13"/>
  <c r="B272" i="13"/>
  <c r="B273" i="13"/>
  <c r="B274" i="13"/>
  <c r="B279" i="13"/>
  <c r="B884" i="13" s="1"/>
  <c r="B280" i="13"/>
  <c r="B885" i="13" s="1"/>
  <c r="B281" i="13"/>
  <c r="B886" i="13" s="1"/>
  <c r="B282" i="13"/>
  <c r="B887" i="13" s="1"/>
  <c r="B285" i="13"/>
  <c r="B890" i="13" s="1"/>
  <c r="B287" i="13"/>
  <c r="B892" i="13" s="1"/>
  <c r="B288" i="13"/>
  <c r="B893" i="13" s="1"/>
  <c r="B289" i="13"/>
  <c r="B894" i="13" s="1"/>
  <c r="B291" i="13"/>
  <c r="B896" i="13" s="1"/>
  <c r="B292" i="13"/>
  <c r="B897" i="13" s="1"/>
  <c r="B380" i="13"/>
  <c r="B678" i="13" s="1"/>
  <c r="B382" i="13"/>
  <c r="B680" i="13" s="1"/>
  <c r="B383" i="13"/>
  <c r="B681" i="13" s="1"/>
  <c r="B384" i="13"/>
  <c r="B682" i="13" s="1"/>
  <c r="B385" i="13"/>
  <c r="B683" i="13" s="1"/>
  <c r="B386" i="13"/>
  <c r="B684" i="13" s="1"/>
  <c r="B388" i="13"/>
  <c r="B686" i="13" s="1"/>
  <c r="B389" i="13"/>
  <c r="B687" i="13" s="1"/>
  <c r="B390" i="13"/>
  <c r="B688" i="13" s="1"/>
  <c r="B391" i="13"/>
  <c r="B689" i="13" s="1"/>
  <c r="B392" i="13"/>
  <c r="B690" i="13" s="1"/>
  <c r="B394" i="13"/>
  <c r="B395" i="13"/>
  <c r="B396" i="13"/>
  <c r="B397" i="13"/>
  <c r="B398" i="13"/>
  <c r="B400" i="13"/>
  <c r="B401" i="13"/>
  <c r="B402" i="13"/>
  <c r="B403" i="13"/>
  <c r="B404" i="13"/>
  <c r="B406" i="13"/>
  <c r="B407" i="13"/>
  <c r="B408" i="13"/>
  <c r="B409" i="13"/>
  <c r="B410" i="13"/>
  <c r="B412" i="13"/>
  <c r="B413" i="13"/>
  <c r="B414" i="13"/>
  <c r="B415" i="13"/>
  <c r="B416" i="13"/>
  <c r="B427" i="13"/>
  <c r="B428" i="13"/>
  <c r="B429" i="13"/>
  <c r="B430" i="13"/>
  <c r="B431" i="13"/>
  <c r="B432" i="13"/>
  <c r="B435" i="13"/>
  <c r="B436" i="13"/>
  <c r="B437" i="13"/>
  <c r="B438" i="13"/>
  <c r="B441" i="13"/>
  <c r="B443" i="13"/>
  <c r="B444" i="13"/>
  <c r="B445" i="13"/>
  <c r="B446" i="13"/>
  <c r="B447" i="13"/>
  <c r="B448" i="13"/>
  <c r="B449" i="13"/>
  <c r="B525" i="13"/>
  <c r="B527" i="13"/>
  <c r="B528" i="13"/>
  <c r="B529" i="13"/>
  <c r="B530" i="13"/>
  <c r="B531" i="13"/>
  <c r="B533" i="13"/>
  <c r="B534" i="13"/>
  <c r="B535" i="13"/>
  <c r="B536" i="13"/>
  <c r="B537" i="13"/>
  <c r="B539" i="13"/>
  <c r="B540" i="13"/>
  <c r="B541" i="13"/>
  <c r="B542" i="13"/>
  <c r="B543" i="13"/>
  <c r="B545" i="13"/>
  <c r="B546" i="13"/>
  <c r="B547" i="13"/>
  <c r="B548" i="13"/>
  <c r="B549" i="13"/>
  <c r="B551" i="13"/>
  <c r="B552" i="13"/>
  <c r="B553" i="13"/>
  <c r="B554" i="13"/>
  <c r="B555" i="13"/>
  <c r="B557" i="13"/>
  <c r="B558" i="13"/>
  <c r="B559" i="13"/>
  <c r="B560" i="13"/>
  <c r="B561" i="13"/>
  <c r="B570" i="13"/>
  <c r="B571" i="13"/>
  <c r="B572" i="13"/>
  <c r="B573" i="13"/>
  <c r="B574" i="13"/>
  <c r="B575" i="13"/>
  <c r="B577" i="13"/>
  <c r="B578" i="13"/>
  <c r="B579" i="13"/>
  <c r="B580" i="13"/>
  <c r="B583" i="13"/>
  <c r="B585" i="13"/>
  <c r="B692" i="13"/>
  <c r="B693" i="13"/>
  <c r="B694" i="13"/>
  <c r="B695" i="13"/>
  <c r="B696" i="13"/>
  <c r="B698" i="13"/>
  <c r="B699" i="13"/>
  <c r="B700" i="13"/>
  <c r="B701" i="13"/>
  <c r="B702" i="13"/>
  <c r="B704" i="13"/>
  <c r="B705" i="13"/>
  <c r="B706" i="13"/>
  <c r="B707" i="13"/>
  <c r="B708" i="13"/>
  <c r="B710" i="13"/>
  <c r="B711" i="13"/>
  <c r="B712" i="13"/>
  <c r="B713" i="13"/>
  <c r="B714" i="13"/>
  <c r="B724" i="13"/>
  <c r="B725" i="13"/>
  <c r="B726" i="13"/>
  <c r="B727" i="13"/>
  <c r="B728" i="13"/>
  <c r="B729" i="13"/>
  <c r="B731" i="13"/>
  <c r="B732" i="13"/>
  <c r="B733" i="13"/>
  <c r="B734" i="13"/>
  <c r="B736" i="13"/>
  <c r="B738" i="13"/>
  <c r="B772" i="13"/>
  <c r="B877" i="13"/>
  <c r="B878" i="13"/>
  <c r="B879" i="13"/>
  <c r="B880" i="13"/>
  <c r="B881" i="13"/>
  <c r="B882" i="13"/>
  <c r="H1350" i="13"/>
  <c r="I1350" i="13"/>
  <c r="J1350" i="13"/>
  <c r="H1354" i="13"/>
  <c r="I1354" i="13"/>
  <c r="J1354" i="13"/>
  <c r="H1358" i="13"/>
  <c r="H1362" i="13"/>
  <c r="I1362" i="13"/>
  <c r="J1362" i="13"/>
  <c r="H1366" i="13"/>
  <c r="I1366" i="13"/>
  <c r="J1366" i="13"/>
  <c r="I1374" i="13"/>
  <c r="J1374" i="13"/>
  <c r="I1380" i="13"/>
  <c r="J1380" i="13"/>
  <c r="I1402" i="13"/>
  <c r="J1402" i="13"/>
  <c r="I1413" i="13"/>
  <c r="J1413" i="13"/>
  <c r="I1414" i="13"/>
  <c r="J1414" i="13"/>
  <c r="I1415" i="13"/>
  <c r="J1415" i="13"/>
  <c r="I1422" i="13"/>
  <c r="I1424" i="13"/>
  <c r="J1424" i="13" s="1"/>
  <c r="K1424" i="13" s="1"/>
  <c r="M1424" i="13" s="1"/>
  <c r="M1426" i="13" s="1"/>
  <c r="H1439" i="13"/>
  <c r="I1439" i="13"/>
  <c r="J1439" i="13"/>
  <c r="C1479" i="13"/>
  <c r="C1491" i="13"/>
  <c r="C1503" i="13"/>
  <c r="C1514" i="13"/>
  <c r="C1526" i="13"/>
  <c r="C1536" i="13"/>
  <c r="C1546" i="13"/>
  <c r="C1556" i="13"/>
  <c r="C1566" i="13"/>
  <c r="I1432" i="13"/>
  <c r="J31" i="13"/>
  <c r="J32" i="13" s="1"/>
  <c r="H1433" i="13"/>
  <c r="H1432" i="13"/>
  <c r="I1433" i="13"/>
  <c r="H1376" i="13"/>
  <c r="H81" i="13"/>
  <c r="H157" i="13" s="1"/>
  <c r="H1228" i="13" s="1"/>
  <c r="H1441" i="13"/>
  <c r="I1375" i="13"/>
  <c r="H1375" i="13"/>
  <c r="H1440" i="13"/>
  <c r="H80" i="13"/>
  <c r="I1440" i="13"/>
  <c r="I80" i="13"/>
  <c r="J80" i="13"/>
  <c r="J1375" i="13"/>
  <c r="J1440" i="13"/>
  <c r="J1432" i="13"/>
  <c r="J1433" i="13"/>
  <c r="L1237" i="13" l="1"/>
  <c r="L1338" i="13" s="1"/>
  <c r="L1341" i="13" s="1"/>
  <c r="M1237" i="13"/>
  <c r="M1338" i="13" s="1"/>
  <c r="M1341" i="13" s="1"/>
  <c r="M1081" i="13"/>
  <c r="M1182" i="13" s="1"/>
  <c r="M101" i="13"/>
  <c r="K1370" i="13"/>
  <c r="X739" i="13"/>
  <c r="M748" i="13"/>
  <c r="X748" i="13" s="1"/>
  <c r="W739" i="13"/>
  <c r="L748" i="13"/>
  <c r="W748" i="13" s="1"/>
  <c r="M760" i="13"/>
  <c r="X760" i="13" s="1"/>
  <c r="X759" i="13"/>
  <c r="K873" i="13"/>
  <c r="J29" i="18"/>
  <c r="L760" i="13"/>
  <c r="W760" i="13" s="1"/>
  <c r="W751" i="13"/>
  <c r="V870" i="13"/>
  <c r="I10" i="46"/>
  <c r="I4" i="53"/>
  <c r="H10" i="46"/>
  <c r="H4" i="53"/>
  <c r="J9" i="53" s="1"/>
  <c r="K29" i="53" s="1"/>
  <c r="F20" i="18"/>
  <c r="J10" i="46"/>
  <c r="J4" i="53"/>
  <c r="L268" i="13"/>
  <c r="L101" i="13"/>
  <c r="J30" i="18"/>
  <c r="K30" i="18"/>
  <c r="B587" i="13"/>
  <c r="B740" i="13"/>
  <c r="B588" i="13"/>
  <c r="B741" i="13"/>
  <c r="B589" i="13"/>
  <c r="B742" i="13"/>
  <c r="B586" i="13"/>
  <c r="B739" i="13"/>
  <c r="B590" i="13"/>
  <c r="B743" i="13"/>
  <c r="M268" i="13"/>
  <c r="L902" i="13"/>
  <c r="L914" i="13" s="1"/>
  <c r="M902" i="13"/>
  <c r="M914" i="13" s="1"/>
  <c r="M1023" i="13"/>
  <c r="L1023" i="13"/>
  <c r="B1021" i="13"/>
  <c r="B868" i="13"/>
  <c r="B1017" i="13"/>
  <c r="B864" i="13"/>
  <c r="B1012" i="13"/>
  <c r="B859" i="13"/>
  <c r="B1007" i="13"/>
  <c r="B854" i="13"/>
  <c r="B1002" i="13"/>
  <c r="B849" i="13"/>
  <c r="B997" i="13"/>
  <c r="B844" i="13"/>
  <c r="B993" i="13"/>
  <c r="B840" i="13"/>
  <c r="B988" i="13"/>
  <c r="B835" i="13"/>
  <c r="G462" i="13"/>
  <c r="G457" i="13"/>
  <c r="G456" i="13"/>
  <c r="G450" i="13"/>
  <c r="G446" i="13"/>
  <c r="G460" i="13"/>
  <c r="G449" i="13"/>
  <c r="G451" i="13"/>
  <c r="G447" i="13"/>
  <c r="G448" i="13"/>
  <c r="G445" i="13"/>
  <c r="G459" i="13"/>
  <c r="G444" i="13"/>
  <c r="G463" i="13"/>
  <c r="G461" i="13"/>
  <c r="G452" i="13"/>
  <c r="G458" i="13"/>
  <c r="K444" i="13"/>
  <c r="K448" i="13"/>
  <c r="K445" i="13"/>
  <c r="K449" i="13"/>
  <c r="K450" i="13"/>
  <c r="K452" i="13"/>
  <c r="K446" i="13"/>
  <c r="K462" i="13"/>
  <c r="K457" i="13"/>
  <c r="K447" i="13"/>
  <c r="K463" i="13"/>
  <c r="K459" i="13"/>
  <c r="K456" i="13"/>
  <c r="K461" i="13"/>
  <c r="K460" i="13"/>
  <c r="K458" i="13"/>
  <c r="K451" i="13"/>
  <c r="M445" i="13"/>
  <c r="M462" i="13"/>
  <c r="L452" i="13"/>
  <c r="M456" i="13"/>
  <c r="M460" i="13"/>
  <c r="M451" i="13"/>
  <c r="M450" i="13"/>
  <c r="L456" i="13"/>
  <c r="L450" i="13"/>
  <c r="L461" i="13"/>
  <c r="M448" i="13"/>
  <c r="L448" i="13"/>
  <c r="L458" i="13"/>
  <c r="L445" i="13"/>
  <c r="M457" i="13"/>
  <c r="M446" i="13"/>
  <c r="L460" i="13"/>
  <c r="M459" i="13"/>
  <c r="L446" i="13"/>
  <c r="L457" i="13"/>
  <c r="L447" i="13"/>
  <c r="M463" i="13"/>
  <c r="M452" i="13"/>
  <c r="L459" i="13"/>
  <c r="L444" i="13"/>
  <c r="L451" i="13"/>
  <c r="L449" i="13"/>
  <c r="M444" i="13"/>
  <c r="L463" i="13"/>
  <c r="M461" i="13"/>
  <c r="M447" i="13"/>
  <c r="M458" i="13"/>
  <c r="L462" i="13"/>
  <c r="M449" i="13"/>
  <c r="L619" i="13"/>
  <c r="L716" i="13" s="1"/>
  <c r="B1020" i="13"/>
  <c r="B867" i="13"/>
  <c r="B1015" i="13"/>
  <c r="B862" i="13"/>
  <c r="B1011" i="13"/>
  <c r="B858" i="13"/>
  <c r="B1006" i="13"/>
  <c r="B853" i="13"/>
  <c r="B1001" i="13"/>
  <c r="B848" i="13"/>
  <c r="B843" i="13"/>
  <c r="B996" i="13"/>
  <c r="B991" i="13"/>
  <c r="B838" i="13"/>
  <c r="B987" i="13"/>
  <c r="B834" i="13"/>
  <c r="B829" i="13"/>
  <c r="B982" i="13"/>
  <c r="H163" i="13"/>
  <c r="H1234" i="13" s="1"/>
  <c r="H159" i="13"/>
  <c r="H1230" i="13" s="1"/>
  <c r="H155" i="13"/>
  <c r="H1226" i="13" s="1"/>
  <c r="H148" i="13"/>
  <c r="H144" i="13"/>
  <c r="H136" i="13"/>
  <c r="H132" i="13"/>
  <c r="H146" i="13"/>
  <c r="H134" i="13"/>
  <c r="H139" i="13"/>
  <c r="H1210" i="13" s="1"/>
  <c r="H160" i="13"/>
  <c r="H1231" i="13" s="1"/>
  <c r="H156" i="13"/>
  <c r="H1227" i="13" s="1"/>
  <c r="H149" i="13"/>
  <c r="H145" i="13"/>
  <c r="H137" i="13"/>
  <c r="H133" i="13"/>
  <c r="H161" i="13"/>
  <c r="H1232" i="13" s="1"/>
  <c r="H150" i="13"/>
  <c r="H1221" i="13" s="1"/>
  <c r="H138" i="13"/>
  <c r="H147" i="13"/>
  <c r="H131" i="13"/>
  <c r="H158" i="13"/>
  <c r="H1229" i="13" s="1"/>
  <c r="H135" i="13"/>
  <c r="H162" i="13"/>
  <c r="H143" i="13"/>
  <c r="H151" i="13"/>
  <c r="B1019" i="13"/>
  <c r="B866" i="13"/>
  <c r="B1014" i="13"/>
  <c r="B861" i="13"/>
  <c r="B1009" i="13"/>
  <c r="B856" i="13"/>
  <c r="B1005" i="13"/>
  <c r="B852" i="13"/>
  <c r="B1000" i="13"/>
  <c r="B847" i="13"/>
  <c r="B995" i="13"/>
  <c r="B842" i="13"/>
  <c r="B990" i="13"/>
  <c r="B837" i="13"/>
  <c r="B985" i="13"/>
  <c r="B832" i="13"/>
  <c r="B983" i="13"/>
  <c r="B830" i="13"/>
  <c r="M619" i="13"/>
  <c r="M716" i="13" s="1"/>
  <c r="B1018" i="13"/>
  <c r="B865" i="13"/>
  <c r="B860" i="13"/>
  <c r="B1013" i="13"/>
  <c r="B1008" i="13"/>
  <c r="B855" i="13"/>
  <c r="B1003" i="13"/>
  <c r="B850" i="13"/>
  <c r="B846" i="13"/>
  <c r="B999" i="13"/>
  <c r="B994" i="13"/>
  <c r="B841" i="13"/>
  <c r="B989" i="13"/>
  <c r="B836" i="13"/>
  <c r="B984" i="13"/>
  <c r="B831" i="13"/>
  <c r="H264" i="13"/>
  <c r="H415" i="13" s="1"/>
  <c r="H259" i="13"/>
  <c r="H255" i="13"/>
  <c r="H1326" i="13" s="1"/>
  <c r="H250" i="13"/>
  <c r="H1321" i="13" s="1"/>
  <c r="H245" i="13"/>
  <c r="H396" i="13" s="1"/>
  <c r="H240" i="13"/>
  <c r="H1152" i="13" s="1"/>
  <c r="H235" i="13"/>
  <c r="H386" i="13" s="1"/>
  <c r="H684" i="13" s="1"/>
  <c r="H231" i="13"/>
  <c r="H1302" i="13" s="1"/>
  <c r="H226" i="13"/>
  <c r="H1297" i="13" s="1"/>
  <c r="H244" i="13"/>
  <c r="H395" i="13" s="1"/>
  <c r="H1000" i="13" s="1"/>
  <c r="H265" i="13"/>
  <c r="H261" i="13"/>
  <c r="H1332" i="13" s="1"/>
  <c r="H256" i="13"/>
  <c r="H407" i="13" s="1"/>
  <c r="H251" i="13"/>
  <c r="H246" i="13"/>
  <c r="H1158" i="13" s="1"/>
  <c r="H241" i="13"/>
  <c r="H1153" i="13" s="1"/>
  <c r="H237" i="13"/>
  <c r="H232" i="13"/>
  <c r="H227" i="13"/>
  <c r="H378" i="13" s="1"/>
  <c r="H239" i="13"/>
  <c r="H1310" i="13" s="1"/>
  <c r="H262" i="13"/>
  <c r="H1174" i="13" s="1"/>
  <c r="H257" i="13"/>
  <c r="H1328" i="13" s="1"/>
  <c r="H252" i="13"/>
  <c r="H1323" i="13" s="1"/>
  <c r="H247" i="13"/>
  <c r="H1159" i="13" s="1"/>
  <c r="H243" i="13"/>
  <c r="H238" i="13"/>
  <c r="H1309" i="13" s="1"/>
  <c r="H233" i="13"/>
  <c r="H228" i="13"/>
  <c r="H263" i="13"/>
  <c r="H1334" i="13" s="1"/>
  <c r="H258" i="13"/>
  <c r="H253" i="13"/>
  <c r="H249" i="13"/>
  <c r="H234" i="13"/>
  <c r="H229" i="13"/>
  <c r="H525" i="13" s="1"/>
  <c r="H225" i="13"/>
  <c r="L1081" i="13"/>
  <c r="L1182" i="13" s="1"/>
  <c r="M595" i="13"/>
  <c r="M607" i="13" s="1"/>
  <c r="L595" i="13"/>
  <c r="L607" i="13" s="1"/>
  <c r="H20" i="18"/>
  <c r="J60" i="13"/>
  <c r="G20" i="18"/>
  <c r="I60" i="13"/>
  <c r="H60" i="13"/>
  <c r="B15" i="38" s="1"/>
  <c r="D26" i="45"/>
  <c r="D23" i="45"/>
  <c r="I30" i="45"/>
  <c r="J30" i="45"/>
  <c r="J39" i="13"/>
  <c r="J34" i="13"/>
  <c r="J41" i="13"/>
  <c r="J43" i="13" s="1"/>
  <c r="J37" i="13"/>
  <c r="B26" i="38"/>
  <c r="C26" i="38" s="1"/>
  <c r="H41" i="13"/>
  <c r="H43" i="13" s="1"/>
  <c r="H37" i="13"/>
  <c r="H39" i="13"/>
  <c r="H34" i="13"/>
  <c r="I39" i="13"/>
  <c r="I34" i="13"/>
  <c r="I41" i="13"/>
  <c r="I43" i="13" s="1"/>
  <c r="I37" i="13"/>
  <c r="K27" i="18"/>
  <c r="H1383" i="13"/>
  <c r="H1394" i="13"/>
  <c r="H1406" i="13"/>
  <c r="H1396" i="13"/>
  <c r="H1387" i="13"/>
  <c r="H1393" i="13"/>
  <c r="H1401" i="13"/>
  <c r="H1405" i="13"/>
  <c r="H1385" i="13"/>
  <c r="H1395" i="13"/>
  <c r="H1403" i="13"/>
  <c r="H1407" i="13"/>
  <c r="H1386" i="13"/>
  <c r="H1392" i="13"/>
  <c r="H1400" i="13"/>
  <c r="G478" i="13"/>
  <c r="G547" i="13"/>
  <c r="G561" i="13"/>
  <c r="G542" i="13"/>
  <c r="G516" i="13"/>
  <c r="G496" i="13"/>
  <c r="G552" i="13"/>
  <c r="G468" i="13"/>
  <c r="G524" i="13"/>
  <c r="G437" i="13"/>
  <c r="G541" i="13"/>
  <c r="G482" i="13"/>
  <c r="G511" i="13"/>
  <c r="G525" i="13"/>
  <c r="G487" i="13"/>
  <c r="G505" i="13"/>
  <c r="G531" i="13"/>
  <c r="G512" i="13"/>
  <c r="G493" i="13"/>
  <c r="G474" i="13"/>
  <c r="G546" i="13"/>
  <c r="G549" i="13"/>
  <c r="G506" i="13"/>
  <c r="G509" i="13"/>
  <c r="G553" i="13"/>
  <c r="G504" i="13"/>
  <c r="G517" i="13"/>
  <c r="G479" i="13"/>
  <c r="G491" i="13"/>
  <c r="G438" i="13"/>
  <c r="G514" i="13"/>
  <c r="G429" i="13"/>
  <c r="G540" i="13"/>
  <c r="G537" i="13"/>
  <c r="G499" i="13"/>
  <c r="G492" i="13"/>
  <c r="G533" i="13"/>
  <c r="G494" i="13"/>
  <c r="G508" i="13"/>
  <c r="G469" i="13"/>
  <c r="G519" i="13"/>
  <c r="G548" i="13"/>
  <c r="G535" i="13"/>
  <c r="G497" i="13"/>
  <c r="G515" i="13"/>
  <c r="G476" i="13"/>
  <c r="G430" i="13"/>
  <c r="G557" i="13"/>
  <c r="G436" i="13"/>
  <c r="G551" i="13"/>
  <c r="G554" i="13"/>
  <c r="G428" i="13"/>
  <c r="G470" i="13"/>
  <c r="G522" i="13"/>
  <c r="G484" i="13"/>
  <c r="G481" i="13"/>
  <c r="G529" i="13"/>
  <c r="G523" i="13"/>
  <c r="G485" i="13"/>
  <c r="G536" i="13"/>
  <c r="G498" i="13"/>
  <c r="G500" i="13"/>
  <c r="G558" i="13"/>
  <c r="G475" i="13"/>
  <c r="G527" i="13"/>
  <c r="G488" i="13"/>
  <c r="G472" i="13"/>
  <c r="G534" i="13"/>
  <c r="G486" i="13"/>
  <c r="G560" i="13"/>
  <c r="G559" i="13"/>
  <c r="G530" i="13"/>
  <c r="G555" i="13"/>
  <c r="G521" i="13"/>
  <c r="G502" i="13"/>
  <c r="G473" i="13"/>
  <c r="G545" i="13"/>
  <c r="G528" i="13"/>
  <c r="G490" i="13"/>
  <c r="G503" i="13"/>
  <c r="G539" i="13"/>
  <c r="G432" i="13"/>
  <c r="G510" i="13"/>
  <c r="G431" i="13"/>
  <c r="G543" i="13"/>
  <c r="G518" i="13"/>
  <c r="G480" i="13"/>
  <c r="I18" i="34"/>
  <c r="I52" i="34"/>
  <c r="I11" i="46"/>
  <c r="H18" i="34"/>
  <c r="H52" i="34"/>
  <c r="H11" i="46"/>
  <c r="J18" i="34"/>
  <c r="J20" i="34" s="1"/>
  <c r="J21" i="34" s="1"/>
  <c r="J52" i="34"/>
  <c r="J11" i="46"/>
  <c r="K52" i="34"/>
  <c r="K28" i="18"/>
  <c r="C52" i="18"/>
  <c r="H64" i="13"/>
  <c r="B19" i="38" s="1"/>
  <c r="C19" i="38" s="1"/>
  <c r="F11" i="18"/>
  <c r="F38" i="18" s="1"/>
  <c r="C57" i="18"/>
  <c r="C53" i="18"/>
  <c r="C58" i="18"/>
  <c r="J27" i="18"/>
  <c r="J22" i="18"/>
  <c r="L583" i="13"/>
  <c r="L890" i="13"/>
  <c r="L285" i="13"/>
  <c r="J28" i="18"/>
  <c r="L736" i="13"/>
  <c r="M285" i="13"/>
  <c r="I63" i="13"/>
  <c r="G46" i="18" s="1"/>
  <c r="I67" i="13"/>
  <c r="G50" i="18" s="1"/>
  <c r="M519" i="13"/>
  <c r="M540" i="13"/>
  <c r="M531" i="13"/>
  <c r="M528" i="13"/>
  <c r="M504" i="13"/>
  <c r="M486" i="13"/>
  <c r="M476" i="13"/>
  <c r="M512" i="13"/>
  <c r="M494" i="13"/>
  <c r="M554" i="13"/>
  <c r="M509" i="13"/>
  <c r="M525" i="13"/>
  <c r="M521" i="13"/>
  <c r="M555" i="13"/>
  <c r="M479" i="13"/>
  <c r="M480" i="13"/>
  <c r="M530" i="13"/>
  <c r="M533" i="13"/>
  <c r="M547" i="13"/>
  <c r="M478" i="13"/>
  <c r="M524" i="13"/>
  <c r="M561" i="13"/>
  <c r="M473" i="13"/>
  <c r="M503" i="13"/>
  <c r="M552" i="13"/>
  <c r="M492" i="13"/>
  <c r="M488" i="13"/>
  <c r="M559" i="13"/>
  <c r="M506" i="13"/>
  <c r="M474" i="13"/>
  <c r="M542" i="13"/>
  <c r="M539" i="13"/>
  <c r="M469" i="13"/>
  <c r="M429" i="13"/>
  <c r="M517" i="13"/>
  <c r="M500" i="13"/>
  <c r="M560" i="13"/>
  <c r="M546" i="13"/>
  <c r="M484" i="13"/>
  <c r="M515" i="13"/>
  <c r="M505" i="13"/>
  <c r="M551" i="13"/>
  <c r="M436" i="13"/>
  <c r="M527" i="13"/>
  <c r="M549" i="13"/>
  <c r="M487" i="13"/>
  <c r="M481" i="13"/>
  <c r="M535" i="13"/>
  <c r="M516" i="13"/>
  <c r="M518" i="13"/>
  <c r="M558" i="13"/>
  <c r="M431" i="13"/>
  <c r="M502" i="13"/>
  <c r="M543" i="13"/>
  <c r="M510" i="13"/>
  <c r="M496" i="13"/>
  <c r="M514" i="13"/>
  <c r="M536" i="13"/>
  <c r="M545" i="13"/>
  <c r="M529" i="13"/>
  <c r="M508" i="13"/>
  <c r="M522" i="13"/>
  <c r="M523" i="13"/>
  <c r="M491" i="13"/>
  <c r="M499" i="13"/>
  <c r="M482" i="13"/>
  <c r="M428" i="13"/>
  <c r="M475" i="13"/>
  <c r="M472" i="13"/>
  <c r="M548" i="13"/>
  <c r="M438" i="13"/>
  <c r="M490" i="13"/>
  <c r="M470" i="13"/>
  <c r="M553" i="13"/>
  <c r="M437" i="13"/>
  <c r="M498" i="13"/>
  <c r="M430" i="13"/>
  <c r="M541" i="13"/>
  <c r="M493" i="13"/>
  <c r="M557" i="13"/>
  <c r="M485" i="13"/>
  <c r="M537" i="13"/>
  <c r="M511" i="13"/>
  <c r="M534" i="13"/>
  <c r="M497" i="13"/>
  <c r="M468" i="13"/>
  <c r="M432" i="13"/>
  <c r="M583" i="13"/>
  <c r="M890" i="13"/>
  <c r="M736" i="13"/>
  <c r="X736" i="13" s="1"/>
  <c r="I65" i="13"/>
  <c r="G48" i="18" s="1"/>
  <c r="I59" i="13"/>
  <c r="I66" i="13"/>
  <c r="G49" i="18" s="1"/>
  <c r="J63" i="13"/>
  <c r="H46" i="18" s="1"/>
  <c r="J67" i="13"/>
  <c r="H50" i="18" s="1"/>
  <c r="H1430" i="13"/>
  <c r="H59" i="13"/>
  <c r="J64" i="13"/>
  <c r="H47" i="18" s="1"/>
  <c r="I64" i="13"/>
  <c r="L1424" i="13"/>
  <c r="L1426" i="13" s="1"/>
  <c r="K1426" i="13"/>
  <c r="K490" i="13"/>
  <c r="K530" i="13"/>
  <c r="K524" i="13"/>
  <c r="K430" i="13"/>
  <c r="K536" i="13"/>
  <c r="K512" i="13"/>
  <c r="K534" i="13"/>
  <c r="K484" i="13"/>
  <c r="K560" i="13"/>
  <c r="K500" i="13"/>
  <c r="K527" i="13"/>
  <c r="K561" i="13"/>
  <c r="K479" i="13"/>
  <c r="K555" i="13"/>
  <c r="K516" i="13"/>
  <c r="K437" i="13"/>
  <c r="K525" i="13"/>
  <c r="K545" i="13"/>
  <c r="K549" i="13"/>
  <c r="K506" i="13"/>
  <c r="K521" i="13"/>
  <c r="K480" i="13"/>
  <c r="K523" i="13"/>
  <c r="K542" i="13"/>
  <c r="K502" i="13"/>
  <c r="K554" i="13"/>
  <c r="K438" i="13"/>
  <c r="K476" i="13"/>
  <c r="K503" i="13"/>
  <c r="K551" i="13"/>
  <c r="K429" i="13"/>
  <c r="K515" i="13"/>
  <c r="K481" i="13"/>
  <c r="K508" i="13"/>
  <c r="K514" i="13"/>
  <c r="K510" i="13"/>
  <c r="K537" i="13"/>
  <c r="K499" i="13"/>
  <c r="K504" i="13"/>
  <c r="K482" i="13"/>
  <c r="K497" i="13"/>
  <c r="K432" i="13"/>
  <c r="K559" i="13"/>
  <c r="K518" i="13"/>
  <c r="K468" i="13"/>
  <c r="K519" i="13"/>
  <c r="K469" i="13"/>
  <c r="K546" i="13"/>
  <c r="K511" i="13"/>
  <c r="K509" i="13"/>
  <c r="K528" i="13"/>
  <c r="K478" i="13"/>
  <c r="K547" i="13"/>
  <c r="K473" i="13"/>
  <c r="K470" i="13"/>
  <c r="K552" i="13"/>
  <c r="K529" i="13"/>
  <c r="K531" i="13"/>
  <c r="K517" i="13"/>
  <c r="K436" i="13"/>
  <c r="K535" i="13"/>
  <c r="K475" i="13"/>
  <c r="K487" i="13"/>
  <c r="K557" i="13"/>
  <c r="K533" i="13"/>
  <c r="K491" i="13"/>
  <c r="K428" i="13"/>
  <c r="K540" i="13"/>
  <c r="K486" i="13"/>
  <c r="K431" i="13"/>
  <c r="K541" i="13"/>
  <c r="K493" i="13"/>
  <c r="K558" i="13"/>
  <c r="K474" i="13"/>
  <c r="K548" i="13"/>
  <c r="K498" i="13"/>
  <c r="K505" i="13"/>
  <c r="K496" i="13"/>
  <c r="K522" i="13"/>
  <c r="K543" i="13"/>
  <c r="K539" i="13"/>
  <c r="K488" i="13"/>
  <c r="K485" i="13"/>
  <c r="K492" i="13"/>
  <c r="K553" i="13"/>
  <c r="K494" i="13"/>
  <c r="K472" i="13"/>
  <c r="L488" i="13"/>
  <c r="L510" i="13"/>
  <c r="L541" i="13"/>
  <c r="L536" i="13"/>
  <c r="L502" i="13"/>
  <c r="L470" i="13"/>
  <c r="L482" i="13"/>
  <c r="L428" i="13"/>
  <c r="L480" i="13"/>
  <c r="L557" i="13"/>
  <c r="L474" i="13"/>
  <c r="L505" i="13"/>
  <c r="L431" i="13"/>
  <c r="L496" i="13"/>
  <c r="L468" i="13"/>
  <c r="L472" i="13"/>
  <c r="L503" i="13"/>
  <c r="L534" i="13"/>
  <c r="L516" i="13"/>
  <c r="L522" i="13"/>
  <c r="L546" i="13"/>
  <c r="L486" i="13"/>
  <c r="L545" i="13"/>
  <c r="L494" i="13"/>
  <c r="L561" i="13"/>
  <c r="L529" i="13"/>
  <c r="L476" i="13"/>
  <c r="L429" i="13"/>
  <c r="L479" i="13"/>
  <c r="L531" i="13"/>
  <c r="L530" i="13"/>
  <c r="L559" i="13"/>
  <c r="L542" i="13"/>
  <c r="L515" i="13"/>
  <c r="L524" i="13"/>
  <c r="L487" i="13"/>
  <c r="L430" i="13"/>
  <c r="L514" i="13"/>
  <c r="L432" i="13"/>
  <c r="L511" i="13"/>
  <c r="L558" i="13"/>
  <c r="L478" i="13"/>
  <c r="L554" i="13"/>
  <c r="L525" i="13"/>
  <c r="L475" i="13"/>
  <c r="L552" i="13"/>
  <c r="L473" i="13"/>
  <c r="L549" i="13"/>
  <c r="L481" i="13"/>
  <c r="L512" i="13"/>
  <c r="L543" i="13"/>
  <c r="L484" i="13"/>
  <c r="L555" i="13"/>
  <c r="L492" i="13"/>
  <c r="L436" i="13"/>
  <c r="L498" i="13"/>
  <c r="L500" i="13"/>
  <c r="L506" i="13"/>
  <c r="L533" i="13"/>
  <c r="L437" i="13"/>
  <c r="L518" i="13"/>
  <c r="L553" i="13"/>
  <c r="L508" i="13"/>
  <c r="L537" i="13"/>
  <c r="L535" i="13"/>
  <c r="L485" i="13"/>
  <c r="L527" i="13"/>
  <c r="L548" i="13"/>
  <c r="L504" i="13"/>
  <c r="L493" i="13"/>
  <c r="L491" i="13"/>
  <c r="L560" i="13"/>
  <c r="L517" i="13"/>
  <c r="L539" i="13"/>
  <c r="L499" i="13"/>
  <c r="L497" i="13"/>
  <c r="L523" i="13"/>
  <c r="L528" i="13"/>
  <c r="L540" i="13"/>
  <c r="L509" i="13"/>
  <c r="L519" i="13"/>
  <c r="L551" i="13"/>
  <c r="L438" i="13"/>
  <c r="L521" i="13"/>
  <c r="L490" i="13"/>
  <c r="L469" i="13"/>
  <c r="L547" i="13"/>
  <c r="L1358" i="13"/>
  <c r="K1368" i="13"/>
  <c r="J62" i="13"/>
  <c r="H45" i="18" s="1"/>
  <c r="J61" i="13"/>
  <c r="I61" i="13"/>
  <c r="G44" i="18" s="1"/>
  <c r="I62" i="13"/>
  <c r="G45" i="18" s="1"/>
  <c r="H67" i="13"/>
  <c r="B22" i="38" s="1"/>
  <c r="C22" i="38" s="1"/>
  <c r="H62" i="13"/>
  <c r="B17" i="38" s="1"/>
  <c r="C17" i="38" s="1"/>
  <c r="K1383" i="13"/>
  <c r="K1400" i="13"/>
  <c r="H63" i="13"/>
  <c r="B18" i="38" s="1"/>
  <c r="C18" i="38" s="1"/>
  <c r="J1401" i="13"/>
  <c r="J1400" i="13"/>
  <c r="I1401" i="13"/>
  <c r="I1400" i="13"/>
  <c r="H61" i="13"/>
  <c r="B16" i="38" s="1"/>
  <c r="C16" i="38" s="1"/>
  <c r="M1461" i="13"/>
  <c r="M1460" i="13"/>
  <c r="H118" i="13"/>
  <c r="H123" i="13"/>
  <c r="H117" i="13"/>
  <c r="H431" i="13" s="1"/>
  <c r="H114" i="13"/>
  <c r="H222" i="13"/>
  <c r="H213" i="13"/>
  <c r="H364" i="13" s="1"/>
  <c r="H969" i="13" s="1"/>
  <c r="H220" i="13"/>
  <c r="H516" i="13" s="1"/>
  <c r="H215" i="13"/>
  <c r="H1286" i="13" s="1"/>
  <c r="H207" i="13"/>
  <c r="H1278" i="13" s="1"/>
  <c r="H203" i="13"/>
  <c r="H1115" i="13" s="1"/>
  <c r="H195" i="13"/>
  <c r="H1266" i="13" s="1"/>
  <c r="H191" i="13"/>
  <c r="H487" i="13" s="1"/>
  <c r="H183" i="13"/>
  <c r="H179" i="13"/>
  <c r="H475" i="13" s="1"/>
  <c r="H172" i="13"/>
  <c r="H124" i="13"/>
  <c r="H115" i="13"/>
  <c r="H126" i="13"/>
  <c r="H1197" i="13" s="1"/>
  <c r="H116" i="13"/>
  <c r="H221" i="13"/>
  <c r="H1133" i="13" s="1"/>
  <c r="H216" i="13"/>
  <c r="H1287" i="13" s="1"/>
  <c r="H210" i="13"/>
  <c r="H1281" i="13" s="1"/>
  <c r="H194" i="13"/>
  <c r="H345" i="13" s="1"/>
  <c r="H184" i="13"/>
  <c r="H335" i="13" s="1"/>
  <c r="H177" i="13"/>
  <c r="H1248" i="13" s="1"/>
  <c r="H180" i="13"/>
  <c r="H476" i="13" s="1"/>
  <c r="H176" i="13"/>
  <c r="H219" i="13"/>
  <c r="H370" i="13" s="1"/>
  <c r="H822" i="13" s="1"/>
  <c r="S822" i="13" s="1"/>
  <c r="H214" i="13"/>
  <c r="H206" i="13"/>
  <c r="H196" i="13"/>
  <c r="H1108" i="13" s="1"/>
  <c r="H189" i="13"/>
  <c r="H340" i="13" s="1"/>
  <c r="H792" i="13" s="1"/>
  <c r="S792" i="13" s="1"/>
  <c r="H192" i="13"/>
  <c r="H188" i="13"/>
  <c r="H339" i="13" s="1"/>
  <c r="H185" i="13"/>
  <c r="H1256" i="13" s="1"/>
  <c r="H178" i="13"/>
  <c r="H1249" i="13" s="1"/>
  <c r="H174" i="13"/>
  <c r="H173" i="13"/>
  <c r="H212" i="13"/>
  <c r="H363" i="13" s="1"/>
  <c r="H202" i="13"/>
  <c r="H498" i="13" s="1"/>
  <c r="H201" i="13"/>
  <c r="H1272" i="13" s="1"/>
  <c r="H204" i="13"/>
  <c r="H1116" i="13" s="1"/>
  <c r="H190" i="13"/>
  <c r="H486" i="13" s="1"/>
  <c r="H125" i="13"/>
  <c r="H223" i="13"/>
  <c r="H519" i="13" s="1"/>
  <c r="H209" i="13"/>
  <c r="H360" i="13" s="1"/>
  <c r="H198" i="13"/>
  <c r="H1110" i="13" s="1"/>
  <c r="H182" i="13"/>
  <c r="H218" i="13"/>
  <c r="H514" i="13" s="1"/>
  <c r="H208" i="13"/>
  <c r="H504" i="13" s="1"/>
  <c r="H200" i="13"/>
  <c r="H351" i="13" s="1"/>
  <c r="H956" i="13" s="1"/>
  <c r="H197" i="13"/>
  <c r="H186" i="13"/>
  <c r="H337" i="13" s="1"/>
  <c r="H635" i="13" s="1"/>
  <c r="I1430" i="13"/>
  <c r="J1394" i="13"/>
  <c r="J66" i="13"/>
  <c r="H49" i="18" s="1"/>
  <c r="H66" i="13"/>
  <c r="B21" i="38" s="1"/>
  <c r="C21" i="38" s="1"/>
  <c r="H1368" i="13"/>
  <c r="B37" i="38" s="1"/>
  <c r="C37" i="38" s="1"/>
  <c r="J1395" i="13"/>
  <c r="J1387" i="13"/>
  <c r="J1396" i="13"/>
  <c r="J1392" i="13"/>
  <c r="J70" i="13"/>
  <c r="H56" i="18" s="1"/>
  <c r="J1426" i="13"/>
  <c r="H11" i="18"/>
  <c r="J1403" i="13"/>
  <c r="J1457" i="13"/>
  <c r="J1458" i="13" s="1"/>
  <c r="I1441" i="13"/>
  <c r="H65" i="13"/>
  <c r="B20" i="38" s="1"/>
  <c r="C20" i="38" s="1"/>
  <c r="I1387" i="13"/>
  <c r="I1396" i="13"/>
  <c r="I1395" i="13"/>
  <c r="I1376" i="13"/>
  <c r="I81" i="13"/>
  <c r="I1386" i="13"/>
  <c r="H1426" i="13"/>
  <c r="B41" i="38" s="1"/>
  <c r="C41" i="38" s="1"/>
  <c r="J1386" i="13"/>
  <c r="I1426" i="13"/>
  <c r="J1368" i="13"/>
  <c r="H70" i="13"/>
  <c r="B25" i="38" s="1"/>
  <c r="C25" i="38" s="1"/>
  <c r="H1431" i="13"/>
  <c r="J1406" i="13"/>
  <c r="J1430" i="13"/>
  <c r="H1457" i="13"/>
  <c r="H1458" i="13" s="1"/>
  <c r="J1407" i="13"/>
  <c r="I1581" i="13"/>
  <c r="J1581" i="13"/>
  <c r="I1392" i="13"/>
  <c r="I1407" i="13"/>
  <c r="I1431" i="13"/>
  <c r="I1405" i="13"/>
  <c r="I1394" i="13"/>
  <c r="I1406" i="13"/>
  <c r="I1385" i="13"/>
  <c r="I70" i="13"/>
  <c r="G56" i="18" s="1"/>
  <c r="I1403" i="13"/>
  <c r="I1383" i="13"/>
  <c r="I1457" i="13"/>
  <c r="I1462" i="13" s="1"/>
  <c r="I1393" i="13"/>
  <c r="G11" i="18"/>
  <c r="J1383" i="13"/>
  <c r="J1393" i="13"/>
  <c r="J65" i="13"/>
  <c r="J1431" i="13"/>
  <c r="H1581" i="13"/>
  <c r="B44" i="38" s="1"/>
  <c r="J1385" i="13"/>
  <c r="J1405" i="13"/>
  <c r="I1368" i="13"/>
  <c r="W736" i="13" l="1"/>
  <c r="M772" i="13"/>
  <c r="X772" i="13" s="1"/>
  <c r="H1075" i="13"/>
  <c r="H1233" i="13"/>
  <c r="H1235" i="13" s="1"/>
  <c r="H1066" i="13"/>
  <c r="H1222" i="13"/>
  <c r="H1058" i="13"/>
  <c r="H1214" i="13"/>
  <c r="H1059" i="13"/>
  <c r="H1215" i="13"/>
  <c r="H1062" i="13"/>
  <c r="H1218" i="13"/>
  <c r="H1061" i="13"/>
  <c r="H1217" i="13"/>
  <c r="H1063" i="13"/>
  <c r="H1219" i="13"/>
  <c r="H1064" i="13"/>
  <c r="H1220" i="13"/>
  <c r="H1065" i="13"/>
  <c r="H1060" i="13"/>
  <c r="H1216" i="13"/>
  <c r="M421" i="13"/>
  <c r="X874" i="13" s="1"/>
  <c r="X737" i="13"/>
  <c r="L421" i="13"/>
  <c r="W874" i="13" s="1"/>
  <c r="W737" i="13"/>
  <c r="V873" i="13"/>
  <c r="V875" i="13"/>
  <c r="L772" i="13"/>
  <c r="W772" i="13" s="1"/>
  <c r="B14" i="38"/>
  <c r="I5" i="53"/>
  <c r="I6" i="53" s="1"/>
  <c r="J16" i="48"/>
  <c r="J32" i="48" s="1"/>
  <c r="F13" i="41"/>
  <c r="F29" i="41" s="1"/>
  <c r="I37" i="34"/>
  <c r="L38" i="34" s="1"/>
  <c r="H5" i="53"/>
  <c r="H6" i="53" s="1"/>
  <c r="J11" i="53" s="1"/>
  <c r="J15" i="53" s="1"/>
  <c r="K15" i="53" s="1"/>
  <c r="K35" i="53" s="1"/>
  <c r="K36" i="53" s="1"/>
  <c r="K37" i="53" s="1"/>
  <c r="K38" i="53" s="1"/>
  <c r="I16" i="48"/>
  <c r="I32" i="48" s="1"/>
  <c r="E13" i="41"/>
  <c r="E29" i="41" s="1"/>
  <c r="H37" i="34"/>
  <c r="J5" i="53"/>
  <c r="J6" i="53" s="1"/>
  <c r="K16" i="48"/>
  <c r="K32" i="48" s="1"/>
  <c r="G13" i="41"/>
  <c r="G29" i="41" s="1"/>
  <c r="J37" i="34"/>
  <c r="M38" i="34" s="1"/>
  <c r="K37" i="34"/>
  <c r="H1203" i="13"/>
  <c r="H1047" i="13"/>
  <c r="H1202" i="13"/>
  <c r="H1046" i="13"/>
  <c r="H1074" i="13"/>
  <c r="H1205" i="13"/>
  <c r="H1049" i="13"/>
  <c r="H1207" i="13"/>
  <c r="H1051" i="13"/>
  <c r="H1072" i="13"/>
  <c r="H1204" i="13"/>
  <c r="H1048" i="13"/>
  <c r="H1079" i="13"/>
  <c r="H1076" i="13"/>
  <c r="H1071" i="13"/>
  <c r="H1206" i="13"/>
  <c r="H1050" i="13"/>
  <c r="H1209" i="13"/>
  <c r="H1053" i="13"/>
  <c r="H1208" i="13"/>
  <c r="H1052" i="13"/>
  <c r="H1073" i="13"/>
  <c r="H1070" i="13"/>
  <c r="M870" i="13"/>
  <c r="L870" i="13"/>
  <c r="I160" i="13"/>
  <c r="I1231" i="13" s="1"/>
  <c r="I156" i="13"/>
  <c r="I1227" i="13" s="1"/>
  <c r="I149" i="13"/>
  <c r="I145" i="13"/>
  <c r="I137" i="13"/>
  <c r="I133" i="13"/>
  <c r="I158" i="13"/>
  <c r="I1229" i="13" s="1"/>
  <c r="I147" i="13"/>
  <c r="I135" i="13"/>
  <c r="I1050" i="13" s="1"/>
  <c r="I161" i="13"/>
  <c r="I1232" i="13" s="1"/>
  <c r="I157" i="13"/>
  <c r="I1228" i="13" s="1"/>
  <c r="I150" i="13"/>
  <c r="I1221" i="13" s="1"/>
  <c r="I146" i="13"/>
  <c r="I138" i="13"/>
  <c r="I134" i="13"/>
  <c r="I139" i="13"/>
  <c r="I1210" i="13" s="1"/>
  <c r="I162" i="13"/>
  <c r="I151" i="13"/>
  <c r="I143" i="13"/>
  <c r="I131" i="13"/>
  <c r="I159" i="13"/>
  <c r="I136" i="13"/>
  <c r="I144" i="13"/>
  <c r="I148" i="13"/>
  <c r="I155" i="13"/>
  <c r="I132" i="13"/>
  <c r="I163" i="13"/>
  <c r="I1234" i="13" s="1"/>
  <c r="H308" i="13"/>
  <c r="H315" i="13"/>
  <c r="H920" i="13" s="1"/>
  <c r="H307" i="13"/>
  <c r="H758" i="13" s="1"/>
  <c r="S758" i="13" s="1"/>
  <c r="H463" i="13"/>
  <c r="H458" i="13"/>
  <c r="H302" i="13"/>
  <c r="H753" i="13" s="1"/>
  <c r="S753" i="13" s="1"/>
  <c r="H296" i="13"/>
  <c r="H452" i="13"/>
  <c r="H445" i="13"/>
  <c r="H289" i="13"/>
  <c r="H312" i="13"/>
  <c r="H763" i="13" s="1"/>
  <c r="H164" i="13"/>
  <c r="H456" i="13"/>
  <c r="H300" i="13"/>
  <c r="H751" i="13" s="1"/>
  <c r="H152" i="13"/>
  <c r="H444" i="13"/>
  <c r="H288" i="13"/>
  <c r="H140" i="13"/>
  <c r="H318" i="13"/>
  <c r="H462" i="13"/>
  <c r="H306" i="13"/>
  <c r="H757" i="13" s="1"/>
  <c r="S757" i="13" s="1"/>
  <c r="H447" i="13"/>
  <c r="H291" i="13"/>
  <c r="H449" i="13"/>
  <c r="H293" i="13"/>
  <c r="H316" i="13"/>
  <c r="H319" i="13"/>
  <c r="H460" i="13"/>
  <c r="H304" i="13"/>
  <c r="H755" i="13" s="1"/>
  <c r="S755" i="13" s="1"/>
  <c r="H446" i="13"/>
  <c r="H290" i="13"/>
  <c r="H313" i="13"/>
  <c r="H303" i="13"/>
  <c r="H754" i="13" s="1"/>
  <c r="S754" i="13" s="1"/>
  <c r="H459" i="13"/>
  <c r="H457" i="13"/>
  <c r="H301" i="13"/>
  <c r="H752" i="13" s="1"/>
  <c r="S752" i="13" s="1"/>
  <c r="H320" i="13"/>
  <c r="H771" i="13" s="1"/>
  <c r="S771" i="13" s="1"/>
  <c r="H292" i="13"/>
  <c r="H448" i="13"/>
  <c r="H295" i="13"/>
  <c r="H451" i="13"/>
  <c r="H450" i="13"/>
  <c r="H294" i="13"/>
  <c r="H317" i="13"/>
  <c r="H314" i="13"/>
  <c r="H461" i="13"/>
  <c r="H305" i="13"/>
  <c r="H756" i="13" s="1"/>
  <c r="S756" i="13" s="1"/>
  <c r="I265" i="13"/>
  <c r="I261" i="13"/>
  <c r="I1173" i="13" s="1"/>
  <c r="I256" i="13"/>
  <c r="I552" i="13" s="1"/>
  <c r="I251" i="13"/>
  <c r="I1163" i="13" s="1"/>
  <c r="I246" i="13"/>
  <c r="I542" i="13" s="1"/>
  <c r="I241" i="13"/>
  <c r="I1153" i="13" s="1"/>
  <c r="I237" i="13"/>
  <c r="I533" i="13" s="1"/>
  <c r="I232" i="13"/>
  <c r="I1144" i="13" s="1"/>
  <c r="I227" i="13"/>
  <c r="I1298" i="13" s="1"/>
  <c r="I264" i="13"/>
  <c r="I560" i="13" s="1"/>
  <c r="I235" i="13"/>
  <c r="I386" i="13" s="1"/>
  <c r="I684" i="13" s="1"/>
  <c r="I262" i="13"/>
  <c r="I257" i="13"/>
  <c r="I408" i="13" s="1"/>
  <c r="I860" i="13" s="1"/>
  <c r="T860" i="13" s="1"/>
  <c r="I252" i="13"/>
  <c r="I403" i="13" s="1"/>
  <c r="I247" i="13"/>
  <c r="I1318" i="13" s="1"/>
  <c r="I243" i="13"/>
  <c r="I1314" i="13" s="1"/>
  <c r="I238" i="13"/>
  <c r="I534" i="13" s="1"/>
  <c r="I233" i="13"/>
  <c r="I1304" i="13" s="1"/>
  <c r="I228" i="13"/>
  <c r="I1299" i="13" s="1"/>
  <c r="I259" i="13"/>
  <c r="I1330" i="13" s="1"/>
  <c r="I255" i="13"/>
  <c r="I551" i="13" s="1"/>
  <c r="I250" i="13"/>
  <c r="I401" i="13" s="1"/>
  <c r="I231" i="13"/>
  <c r="I1143" i="13" s="1"/>
  <c r="I263" i="13"/>
  <c r="I1175" i="13" s="1"/>
  <c r="I258" i="13"/>
  <c r="I409" i="13" s="1"/>
  <c r="I253" i="13"/>
  <c r="I549" i="13" s="1"/>
  <c r="I249" i="13"/>
  <c r="I1161" i="13" s="1"/>
  <c r="I244" i="13"/>
  <c r="I1156" i="13" s="1"/>
  <c r="I239" i="13"/>
  <c r="I1151" i="13" s="1"/>
  <c r="I234" i="13"/>
  <c r="I385" i="13" s="1"/>
  <c r="I229" i="13"/>
  <c r="I1300" i="13" s="1"/>
  <c r="I225" i="13"/>
  <c r="I245" i="13"/>
  <c r="I1316" i="13" s="1"/>
  <c r="I240" i="13"/>
  <c r="I391" i="13" s="1"/>
  <c r="I226" i="13"/>
  <c r="I1297" i="13" s="1"/>
  <c r="H267" i="13"/>
  <c r="K453" i="13"/>
  <c r="K465" i="13" s="1"/>
  <c r="G453" i="13"/>
  <c r="G465" i="13" s="1"/>
  <c r="L453" i="13"/>
  <c r="L465" i="13" s="1"/>
  <c r="M453" i="13"/>
  <c r="M465" i="13" s="1"/>
  <c r="H1243" i="13"/>
  <c r="H376" i="13"/>
  <c r="H981" i="13" s="1"/>
  <c r="F69" i="18"/>
  <c r="F158" i="18" s="1"/>
  <c r="C1581" i="13"/>
  <c r="I75" i="13"/>
  <c r="I1390" i="13" s="1"/>
  <c r="F54" i="18"/>
  <c r="F145" i="18" s="1"/>
  <c r="H75" i="13"/>
  <c r="G14" i="18"/>
  <c r="H14" i="18"/>
  <c r="I14" i="18"/>
  <c r="F155" i="18"/>
  <c r="F162" i="18"/>
  <c r="F159" i="18"/>
  <c r="F163" i="18"/>
  <c r="C11" i="18"/>
  <c r="F161" i="18"/>
  <c r="G162" i="18"/>
  <c r="G163" i="18"/>
  <c r="G155" i="18"/>
  <c r="G161" i="18"/>
  <c r="G159" i="18"/>
  <c r="H155" i="18"/>
  <c r="H162" i="18"/>
  <c r="H163" i="18"/>
  <c r="H161" i="18"/>
  <c r="H159" i="18"/>
  <c r="C67" i="13"/>
  <c r="C71" i="13"/>
  <c r="H1388" i="13"/>
  <c r="H1389" i="13"/>
  <c r="G563" i="13"/>
  <c r="G441" i="13"/>
  <c r="G54" i="18"/>
  <c r="G145" i="18" s="1"/>
  <c r="C70" i="13"/>
  <c r="H20" i="34"/>
  <c r="H21" i="34" s="1"/>
  <c r="H22" i="34"/>
  <c r="H40" i="34"/>
  <c r="C61" i="13"/>
  <c r="F45" i="18"/>
  <c r="F137" i="18" s="1"/>
  <c r="C62" i="13"/>
  <c r="C65" i="13"/>
  <c r="C66" i="13"/>
  <c r="F46" i="18"/>
  <c r="F138" i="18" s="1"/>
  <c r="C63" i="13"/>
  <c r="F47" i="18"/>
  <c r="F139" i="18" s="1"/>
  <c r="C64" i="13"/>
  <c r="F43" i="18"/>
  <c r="F134" i="18" s="1"/>
  <c r="C60" i="13"/>
  <c r="F42" i="18"/>
  <c r="F133" i="18" s="1"/>
  <c r="F56" i="18"/>
  <c r="F147" i="18" s="1"/>
  <c r="F149" i="18"/>
  <c r="F143" i="18"/>
  <c r="F144" i="18"/>
  <c r="F148" i="18"/>
  <c r="F146" i="18"/>
  <c r="F48" i="18"/>
  <c r="F140" i="18" s="1"/>
  <c r="F49" i="18"/>
  <c r="F141" i="18" s="1"/>
  <c r="F44" i="18"/>
  <c r="F136" i="18" s="1"/>
  <c r="F50" i="18"/>
  <c r="F135" i="18" s="1"/>
  <c r="L1026" i="13"/>
  <c r="L719" i="13"/>
  <c r="M1464" i="13"/>
  <c r="K51" i="18" s="1"/>
  <c r="K142" i="18" s="1"/>
  <c r="M719" i="13"/>
  <c r="M563" i="13"/>
  <c r="M441" i="13"/>
  <c r="L1368" i="13"/>
  <c r="M1358" i="13"/>
  <c r="M1368" i="13" s="1"/>
  <c r="M1026" i="13"/>
  <c r="G144" i="18"/>
  <c r="H149" i="18"/>
  <c r="H141" i="18"/>
  <c r="H147" i="18"/>
  <c r="G136" i="18"/>
  <c r="G138" i="18"/>
  <c r="G137" i="18"/>
  <c r="H144" i="18"/>
  <c r="G38" i="18"/>
  <c r="G146" i="18"/>
  <c r="G140" i="18"/>
  <c r="G147" i="18"/>
  <c r="H148" i="18"/>
  <c r="H143" i="18"/>
  <c r="H138" i="18"/>
  <c r="G141" i="18"/>
  <c r="H135" i="18"/>
  <c r="G149" i="18"/>
  <c r="H38" i="18"/>
  <c r="H146" i="18"/>
  <c r="G135" i="18"/>
  <c r="H137" i="18"/>
  <c r="H139" i="18"/>
  <c r="G143" i="18"/>
  <c r="G148" i="18"/>
  <c r="H430" i="13"/>
  <c r="H437" i="13"/>
  <c r="H436" i="13"/>
  <c r="H429" i="13"/>
  <c r="H282" i="13"/>
  <c r="H734" i="13" s="1"/>
  <c r="S734" i="13" s="1"/>
  <c r="H428" i="13"/>
  <c r="H432" i="13"/>
  <c r="P30" i="38"/>
  <c r="P98" i="38" s="1"/>
  <c r="L30" i="38"/>
  <c r="L98" i="38" s="1"/>
  <c r="O30" i="38"/>
  <c r="O98" i="38" s="1"/>
  <c r="M30" i="38"/>
  <c r="M98" i="38" s="1"/>
  <c r="J30" i="38"/>
  <c r="J98" i="38" s="1"/>
  <c r="I30" i="38"/>
  <c r="I98" i="38" s="1"/>
  <c r="D43" i="38"/>
  <c r="D44" i="38"/>
  <c r="C44" i="38" s="1"/>
  <c r="G47" i="18"/>
  <c r="K1459" i="13"/>
  <c r="J1462" i="13"/>
  <c r="H54" i="18"/>
  <c r="H145" i="18" s="1"/>
  <c r="K441" i="13"/>
  <c r="L563" i="13"/>
  <c r="L441" i="13"/>
  <c r="K563" i="13"/>
  <c r="L1461" i="13"/>
  <c r="K1461" i="13"/>
  <c r="K1460" i="13"/>
  <c r="L1460" i="13"/>
  <c r="J1461" i="13"/>
  <c r="H438" i="13"/>
  <c r="H1315" i="13"/>
  <c r="H497" i="13"/>
  <c r="H352" i="13"/>
  <c r="H804" i="13" s="1"/>
  <c r="S804" i="13" s="1"/>
  <c r="H1259" i="13"/>
  <c r="H128" i="13"/>
  <c r="H100" i="13" s="1"/>
  <c r="H484" i="13"/>
  <c r="H637" i="13"/>
  <c r="H944" i="13"/>
  <c r="H791" i="13"/>
  <c r="S791" i="13" s="1"/>
  <c r="H276" i="13"/>
  <c r="H1190" i="13"/>
  <c r="H1034" i="13"/>
  <c r="J22" i="34"/>
  <c r="H1100" i="13"/>
  <c r="I124" i="13"/>
  <c r="I123" i="13"/>
  <c r="I115" i="13"/>
  <c r="I126" i="13"/>
  <c r="I1197" i="13" s="1"/>
  <c r="I116" i="13"/>
  <c r="I219" i="13"/>
  <c r="I1290" i="13" s="1"/>
  <c r="I223" i="13"/>
  <c r="I519" i="13" s="1"/>
  <c r="I214" i="13"/>
  <c r="I1285" i="13" s="1"/>
  <c r="I212" i="13"/>
  <c r="I1283" i="13" s="1"/>
  <c r="I125" i="13"/>
  <c r="I282" i="13" s="1"/>
  <c r="I221" i="13"/>
  <c r="I1133" i="13" s="1"/>
  <c r="I218" i="13"/>
  <c r="I1130" i="13" s="1"/>
  <c r="I216" i="13"/>
  <c r="I512" i="13" s="1"/>
  <c r="I208" i="13"/>
  <c r="I206" i="13"/>
  <c r="I1277" i="13" s="1"/>
  <c r="I204" i="13"/>
  <c r="I500" i="13" s="1"/>
  <c r="I196" i="13"/>
  <c r="I1108" i="13" s="1"/>
  <c r="I194" i="13"/>
  <c r="I345" i="13" s="1"/>
  <c r="I192" i="13"/>
  <c r="I343" i="13" s="1"/>
  <c r="I184" i="13"/>
  <c r="I335" i="13" s="1"/>
  <c r="I182" i="13"/>
  <c r="I478" i="13" s="1"/>
  <c r="I180" i="13"/>
  <c r="I331" i="13" s="1"/>
  <c r="I174" i="13"/>
  <c r="I1086" i="13" s="1"/>
  <c r="I114" i="13"/>
  <c r="I118" i="13"/>
  <c r="I222" i="13"/>
  <c r="I1293" i="13" s="1"/>
  <c r="I209" i="13"/>
  <c r="I360" i="13" s="1"/>
  <c r="I202" i="13"/>
  <c r="I353" i="13" s="1"/>
  <c r="I195" i="13"/>
  <c r="I1266" i="13" s="1"/>
  <c r="I198" i="13"/>
  <c r="I494" i="13" s="1"/>
  <c r="I191" i="13"/>
  <c r="I342" i="13" s="1"/>
  <c r="I220" i="13"/>
  <c r="I516" i="13" s="1"/>
  <c r="I215" i="13"/>
  <c r="I1286" i="13" s="1"/>
  <c r="I210" i="13"/>
  <c r="I361" i="13" s="1"/>
  <c r="I203" i="13"/>
  <c r="I499" i="13" s="1"/>
  <c r="I177" i="13"/>
  <c r="I328" i="13" s="1"/>
  <c r="I780" i="13" s="1"/>
  <c r="T780" i="13" s="1"/>
  <c r="I176" i="13"/>
  <c r="I1088" i="13" s="1"/>
  <c r="I117" i="13"/>
  <c r="I200" i="13"/>
  <c r="I351" i="13" s="1"/>
  <c r="I649" i="13" s="1"/>
  <c r="I197" i="13"/>
  <c r="I493" i="13" s="1"/>
  <c r="I183" i="13"/>
  <c r="I186" i="13"/>
  <c r="I1098" i="13" s="1"/>
  <c r="I213" i="13"/>
  <c r="I509" i="13" s="1"/>
  <c r="I188" i="13"/>
  <c r="I1259" i="13" s="1"/>
  <c r="I185" i="13"/>
  <c r="I1097" i="13" s="1"/>
  <c r="I172" i="13"/>
  <c r="I207" i="13"/>
  <c r="I1278" i="13" s="1"/>
  <c r="I201" i="13"/>
  <c r="I1272" i="13" s="1"/>
  <c r="I190" i="13"/>
  <c r="I486" i="13" s="1"/>
  <c r="I179" i="13"/>
  <c r="I330" i="13" s="1"/>
  <c r="I189" i="13"/>
  <c r="I178" i="13"/>
  <c r="I1090" i="13" s="1"/>
  <c r="I173" i="13"/>
  <c r="I469" i="13" s="1"/>
  <c r="H1033" i="13"/>
  <c r="H1189" i="13"/>
  <c r="H275" i="13"/>
  <c r="H1107" i="13"/>
  <c r="H1032" i="13"/>
  <c r="H1188" i="13"/>
  <c r="H274" i="13"/>
  <c r="H496" i="13"/>
  <c r="H1040" i="13"/>
  <c r="H1196" i="13"/>
  <c r="H1039" i="13"/>
  <c r="H281" i="13"/>
  <c r="H1195" i="13"/>
  <c r="H273" i="13"/>
  <c r="H1031" i="13"/>
  <c r="H120" i="13"/>
  <c r="H1187" i="13"/>
  <c r="H1038" i="13"/>
  <c r="H280" i="13"/>
  <c r="H1194" i="13"/>
  <c r="H277" i="13"/>
  <c r="H1191" i="13"/>
  <c r="H1035" i="13"/>
  <c r="I1435" i="13"/>
  <c r="H1435" i="13"/>
  <c r="B42" i="38" s="1"/>
  <c r="C42" i="38" s="1"/>
  <c r="H847" i="13"/>
  <c r="S847" i="13" s="1"/>
  <c r="J40" i="34"/>
  <c r="H491" i="13"/>
  <c r="H1130" i="13"/>
  <c r="H1251" i="13"/>
  <c r="J59" i="13"/>
  <c r="C59" i="13" s="1"/>
  <c r="H500" i="13"/>
  <c r="H401" i="13"/>
  <c r="H699" i="13" s="1"/>
  <c r="H355" i="13"/>
  <c r="H960" i="13" s="1"/>
  <c r="H1261" i="13"/>
  <c r="H44" i="18"/>
  <c r="H136" i="18" s="1"/>
  <c r="J1376" i="13"/>
  <c r="H1271" i="13"/>
  <c r="H328" i="13"/>
  <c r="H933" i="13" s="1"/>
  <c r="H1092" i="13"/>
  <c r="J1435" i="13"/>
  <c r="H1164" i="13"/>
  <c r="H365" i="13"/>
  <c r="H663" i="13" s="1"/>
  <c r="H1285" i="13"/>
  <c r="H1314" i="13"/>
  <c r="H394" i="13"/>
  <c r="H692" i="13" s="1"/>
  <c r="H1127" i="13"/>
  <c r="H511" i="13"/>
  <c r="H517" i="13"/>
  <c r="H361" i="13"/>
  <c r="H813" i="13" s="1"/>
  <c r="S813" i="13" s="1"/>
  <c r="H1254" i="13"/>
  <c r="H479" i="13"/>
  <c r="H366" i="13"/>
  <c r="J1459" i="13"/>
  <c r="H649" i="13"/>
  <c r="H803" i="13"/>
  <c r="S803" i="13" s="1"/>
  <c r="H331" i="13"/>
  <c r="H936" i="13" s="1"/>
  <c r="H1275" i="13"/>
  <c r="J81" i="13"/>
  <c r="J1441" i="13"/>
  <c r="H548" i="13"/>
  <c r="H539" i="13"/>
  <c r="H1112" i="13"/>
  <c r="H1296" i="13"/>
  <c r="H403" i="13"/>
  <c r="H693" i="13"/>
  <c r="H346" i="13"/>
  <c r="H1292" i="13"/>
  <c r="H1156" i="13"/>
  <c r="H1113" i="13"/>
  <c r="H1289" i="13"/>
  <c r="H1155" i="13"/>
  <c r="H372" i="13"/>
  <c r="H824" i="13" s="1"/>
  <c r="S824" i="13" s="1"/>
  <c r="H540" i="13"/>
  <c r="H1147" i="13"/>
  <c r="H945" i="13"/>
  <c r="H1151" i="13"/>
  <c r="H535" i="13"/>
  <c r="H473" i="13"/>
  <c r="I1388" i="13"/>
  <c r="I1389" i="13"/>
  <c r="H369" i="13"/>
  <c r="H1137" i="13"/>
  <c r="H382" i="13"/>
  <c r="H987" i="13" s="1"/>
  <c r="H377" i="13"/>
  <c r="H982" i="13" s="1"/>
  <c r="H521" i="13"/>
  <c r="H1138" i="13"/>
  <c r="H527" i="13"/>
  <c r="H374" i="13"/>
  <c r="H979" i="13" s="1"/>
  <c r="H522" i="13"/>
  <c r="H1143" i="13"/>
  <c r="H1128" i="13"/>
  <c r="H397" i="13"/>
  <c r="H1126" i="13"/>
  <c r="H1114" i="13"/>
  <c r="H816" i="13"/>
  <c r="S816" i="13" s="1"/>
  <c r="H1267" i="13"/>
  <c r="H1102" i="13"/>
  <c r="H492" i="13"/>
  <c r="H485" i="13"/>
  <c r="H510" i="13"/>
  <c r="H1169" i="13"/>
  <c r="H390" i="13"/>
  <c r="H995" i="13" s="1"/>
  <c r="H1290" i="13"/>
  <c r="H1168" i="13"/>
  <c r="H347" i="13"/>
  <c r="H645" i="13" s="1"/>
  <c r="H341" i="13"/>
  <c r="H559" i="13"/>
  <c r="H508" i="13"/>
  <c r="H541" i="13"/>
  <c r="H499" i="13"/>
  <c r="H1098" i="13"/>
  <c r="H380" i="13"/>
  <c r="H832" i="13" s="1"/>
  <c r="S832" i="13" s="1"/>
  <c r="H342" i="13"/>
  <c r="H358" i="13"/>
  <c r="H398" i="13"/>
  <c r="H696" i="13" s="1"/>
  <c r="H1284" i="13"/>
  <c r="H1089" i="13"/>
  <c r="H1316" i="13"/>
  <c r="H1274" i="13"/>
  <c r="H349" i="13"/>
  <c r="H954" i="13" s="1"/>
  <c r="H1327" i="13"/>
  <c r="H1125" i="13"/>
  <c r="H1257" i="13"/>
  <c r="H482" i="13"/>
  <c r="H1124" i="13"/>
  <c r="H557" i="13"/>
  <c r="H509" i="13"/>
  <c r="H662" i="13"/>
  <c r="H1157" i="13"/>
  <c r="H354" i="13"/>
  <c r="H552" i="13"/>
  <c r="H480" i="13"/>
  <c r="H1283" i="13"/>
  <c r="H412" i="13"/>
  <c r="H1017" i="13" s="1"/>
  <c r="H530" i="13"/>
  <c r="H1305" i="13"/>
  <c r="H1306" i="13"/>
  <c r="H325" i="13"/>
  <c r="H930" i="13" s="1"/>
  <c r="H1245" i="13"/>
  <c r="H549" i="13"/>
  <c r="H1324" i="13"/>
  <c r="H1165" i="13"/>
  <c r="H531" i="13"/>
  <c r="H468" i="13"/>
  <c r="H1322" i="13"/>
  <c r="H547" i="13"/>
  <c r="H1299" i="13"/>
  <c r="H524" i="13"/>
  <c r="H348" i="13"/>
  <c r="H1109" i="13"/>
  <c r="H385" i="13"/>
  <c r="H1146" i="13"/>
  <c r="H392" i="13"/>
  <c r="H997" i="13" s="1"/>
  <c r="H408" i="13"/>
  <c r="H706" i="13" s="1"/>
  <c r="H490" i="13"/>
  <c r="H1294" i="13"/>
  <c r="H1173" i="13"/>
  <c r="H1104" i="13"/>
  <c r="H343" i="13"/>
  <c r="H948" i="13" s="1"/>
  <c r="H1177" i="13"/>
  <c r="H416" i="13"/>
  <c r="H714" i="13" s="1"/>
  <c r="H555" i="13"/>
  <c r="H1171" i="13"/>
  <c r="H1170" i="13"/>
  <c r="H1329" i="13"/>
  <c r="H409" i="13"/>
  <c r="H1132" i="13"/>
  <c r="H1291" i="13"/>
  <c r="H327" i="13"/>
  <c r="S778" i="13" s="1"/>
  <c r="H1247" i="13"/>
  <c r="H1097" i="13"/>
  <c r="H481" i="13"/>
  <c r="H1330" i="13"/>
  <c r="H523" i="13"/>
  <c r="H323" i="13"/>
  <c r="H371" i="13"/>
  <c r="H976" i="13" s="1"/>
  <c r="H404" i="13"/>
  <c r="H702" i="13" s="1"/>
  <c r="H488" i="13"/>
  <c r="H536" i="13"/>
  <c r="H1311" i="13"/>
  <c r="H561" i="13"/>
  <c r="H1162" i="13"/>
  <c r="H560" i="13"/>
  <c r="H410" i="13"/>
  <c r="H862" i="13" s="1"/>
  <c r="S862" i="13" s="1"/>
  <c r="H1139" i="13"/>
  <c r="H1084" i="13"/>
  <c r="H359" i="13"/>
  <c r="H964" i="13" s="1"/>
  <c r="H472" i="13"/>
  <c r="H1141" i="13"/>
  <c r="H1300" i="13"/>
  <c r="H1103" i="13"/>
  <c r="H1262" i="13"/>
  <c r="H379" i="13"/>
  <c r="H1318" i="13"/>
  <c r="H546" i="13"/>
  <c r="H554" i="13"/>
  <c r="H391" i="13"/>
  <c r="H1298" i="13"/>
  <c r="H336" i="13"/>
  <c r="H1095" i="13"/>
  <c r="H334" i="13"/>
  <c r="H632" i="13" s="1"/>
  <c r="H1317" i="13"/>
  <c r="H542" i="13"/>
  <c r="H506" i="13"/>
  <c r="H1122" i="13"/>
  <c r="H1012" i="13"/>
  <c r="H859" i="13"/>
  <c r="S859" i="13" s="1"/>
  <c r="H1273" i="13"/>
  <c r="H353" i="13"/>
  <c r="H805" i="13" s="1"/>
  <c r="S805" i="13" s="1"/>
  <c r="H494" i="13"/>
  <c r="H1269" i="13"/>
  <c r="H1088" i="13"/>
  <c r="H469" i="13"/>
  <c r="H324" i="13"/>
  <c r="H553" i="13"/>
  <c r="H1140" i="13"/>
  <c r="H493" i="13"/>
  <c r="H1120" i="13"/>
  <c r="H1085" i="13"/>
  <c r="H1255" i="13"/>
  <c r="H503" i="13"/>
  <c r="H1106" i="13"/>
  <c r="H1268" i="13"/>
  <c r="H558" i="13"/>
  <c r="H1279" i="13"/>
  <c r="H1096" i="13"/>
  <c r="H1263" i="13"/>
  <c r="H1175" i="13"/>
  <c r="H534" i="13"/>
  <c r="H1280" i="13"/>
  <c r="H543" i="13"/>
  <c r="H1119" i="13"/>
  <c r="H1244" i="13"/>
  <c r="H414" i="13"/>
  <c r="S866" i="13" s="1"/>
  <c r="H1277" i="13"/>
  <c r="H502" i="13"/>
  <c r="H357" i="13"/>
  <c r="H1118" i="13"/>
  <c r="H1091" i="13"/>
  <c r="H330" i="13"/>
  <c r="H1250" i="13"/>
  <c r="H529" i="13"/>
  <c r="H384" i="13"/>
  <c r="H682" i="13" s="1"/>
  <c r="H373" i="13"/>
  <c r="H518" i="13"/>
  <c r="H1293" i="13"/>
  <c r="H1134" i="13"/>
  <c r="H1320" i="13"/>
  <c r="H400" i="13"/>
  <c r="H1161" i="13"/>
  <c r="H545" i="13"/>
  <c r="H1131" i="13"/>
  <c r="H515" i="13"/>
  <c r="H474" i="13"/>
  <c r="H1090" i="13"/>
  <c r="H413" i="13"/>
  <c r="H1018" i="13" s="1"/>
  <c r="H1265" i="13"/>
  <c r="H512" i="13"/>
  <c r="H1333" i="13"/>
  <c r="H1101" i="13"/>
  <c r="H1145" i="13"/>
  <c r="H1304" i="13"/>
  <c r="H329" i="13"/>
  <c r="H781" i="13" s="1"/>
  <c r="S781" i="13" s="1"/>
  <c r="H1260" i="13"/>
  <c r="H367" i="13"/>
  <c r="H819" i="13" s="1"/>
  <c r="S819" i="13" s="1"/>
  <c r="H1135" i="13"/>
  <c r="H658" i="13"/>
  <c r="H965" i="13"/>
  <c r="H1163" i="13"/>
  <c r="H402" i="13"/>
  <c r="H854" i="13" s="1"/>
  <c r="S854" i="13" s="1"/>
  <c r="H1167" i="13"/>
  <c r="H551" i="13"/>
  <c r="H406" i="13"/>
  <c r="H1144" i="13"/>
  <c r="H528" i="13"/>
  <c r="H1303" i="13"/>
  <c r="H383" i="13"/>
  <c r="H988" i="13" s="1"/>
  <c r="H1335" i="13"/>
  <c r="H1176" i="13"/>
  <c r="H533" i="13"/>
  <c r="H388" i="13"/>
  <c r="H1308" i="13"/>
  <c r="H1149" i="13"/>
  <c r="H505" i="13"/>
  <c r="H1121" i="13"/>
  <c r="H389" i="13"/>
  <c r="H687" i="13" s="1"/>
  <c r="H1150" i="13"/>
  <c r="H1336" i="13"/>
  <c r="H942" i="13"/>
  <c r="H789" i="13"/>
  <c r="S789" i="13" s="1"/>
  <c r="H1253" i="13"/>
  <c r="H478" i="13"/>
  <c r="H333" i="13"/>
  <c r="H1094" i="13"/>
  <c r="H1086" i="13"/>
  <c r="H470" i="13"/>
  <c r="H537" i="13"/>
  <c r="H1312" i="13"/>
  <c r="H991" i="13"/>
  <c r="H975" i="13"/>
  <c r="H838" i="13"/>
  <c r="S838" i="13" s="1"/>
  <c r="H812" i="13"/>
  <c r="S812" i="13" s="1"/>
  <c r="H638" i="13"/>
  <c r="H940" i="13"/>
  <c r="H787" i="13"/>
  <c r="S787" i="13" s="1"/>
  <c r="H633" i="13"/>
  <c r="H705" i="13"/>
  <c r="H1020" i="13"/>
  <c r="H867" i="13"/>
  <c r="S867" i="13" s="1"/>
  <c r="H713" i="13"/>
  <c r="H694" i="13"/>
  <c r="H1001" i="13"/>
  <c r="H848" i="13"/>
  <c r="S848" i="13" s="1"/>
  <c r="H676" i="13"/>
  <c r="H983" i="13"/>
  <c r="H830" i="13"/>
  <c r="S830" i="13" s="1"/>
  <c r="H668" i="13"/>
  <c r="H1462" i="13"/>
  <c r="H1461" i="13"/>
  <c r="H1459" i="13"/>
  <c r="I22" i="34"/>
  <c r="I20" i="34"/>
  <c r="I21" i="34" s="1"/>
  <c r="I40" i="34"/>
  <c r="K20" i="34"/>
  <c r="K21" i="34" s="1"/>
  <c r="K40" i="34"/>
  <c r="K22" i="34"/>
  <c r="H815" i="13"/>
  <c r="S815" i="13" s="1"/>
  <c r="H661" i="13"/>
  <c r="H968" i="13"/>
  <c r="I1459" i="13"/>
  <c r="I1461" i="13"/>
  <c r="I1460" i="13"/>
  <c r="H69" i="18"/>
  <c r="H158" i="18" s="1"/>
  <c r="G69" i="18"/>
  <c r="G158" i="18" s="1"/>
  <c r="H48" i="18"/>
  <c r="H140" i="18" s="1"/>
  <c r="G42" i="18"/>
  <c r="G133" i="18" s="1"/>
  <c r="H1460" i="13"/>
  <c r="J1460" i="13"/>
  <c r="H950" i="13"/>
  <c r="H797" i="13"/>
  <c r="S797" i="13" s="1"/>
  <c r="H643" i="13"/>
  <c r="H76" i="13" l="1"/>
  <c r="H1390" i="13"/>
  <c r="H1211" i="13"/>
  <c r="H1223" i="13"/>
  <c r="H1237" i="13" s="1"/>
  <c r="L1370" i="13"/>
  <c r="H1077" i="13"/>
  <c r="H1067" i="13"/>
  <c r="I1066" i="13"/>
  <c r="I1222" i="13"/>
  <c r="I312" i="13"/>
  <c r="I763" i="13" s="1"/>
  <c r="T763" i="13" s="1"/>
  <c r="I1226" i="13"/>
  <c r="I1072" i="13"/>
  <c r="I1230" i="13"/>
  <c r="I1075" i="13"/>
  <c r="I1233" i="13"/>
  <c r="I1063" i="13"/>
  <c r="I1219" i="13"/>
  <c r="I1065" i="13"/>
  <c r="I1062" i="13"/>
  <c r="I1218" i="13"/>
  <c r="I1060" i="13"/>
  <c r="I1216" i="13"/>
  <c r="I1059" i="13"/>
  <c r="I1215" i="13"/>
  <c r="I1058" i="13"/>
  <c r="I1214" i="13"/>
  <c r="I1064" i="13"/>
  <c r="I1220" i="13"/>
  <c r="I1061" i="13"/>
  <c r="I1217" i="13"/>
  <c r="H924" i="13"/>
  <c r="H770" i="13"/>
  <c r="S770" i="13" s="1"/>
  <c r="H922" i="13"/>
  <c r="H768" i="13"/>
  <c r="S768" i="13" s="1"/>
  <c r="H921" i="13"/>
  <c r="H767" i="13"/>
  <c r="S767" i="13" s="1"/>
  <c r="H923" i="13"/>
  <c r="H769" i="13"/>
  <c r="S769" i="13" s="1"/>
  <c r="H775" i="13"/>
  <c r="S775" i="13" s="1"/>
  <c r="S774" i="13"/>
  <c r="M1370" i="13"/>
  <c r="X871" i="13"/>
  <c r="X872" i="13" s="1"/>
  <c r="X870" i="13"/>
  <c r="M873" i="13"/>
  <c r="W871" i="13"/>
  <c r="W872" i="13" s="1"/>
  <c r="L873" i="13"/>
  <c r="G14" i="45"/>
  <c r="I76" i="13"/>
  <c r="H925" i="13"/>
  <c r="H765" i="13"/>
  <c r="S765" i="13" s="1"/>
  <c r="H919" i="13"/>
  <c r="H628" i="13"/>
  <c r="H849" i="13"/>
  <c r="S849" i="13" s="1"/>
  <c r="H855" i="13"/>
  <c r="S855" i="13" s="1"/>
  <c r="H818" i="13"/>
  <c r="S818" i="13" s="1"/>
  <c r="H634" i="13"/>
  <c r="H683" i="13"/>
  <c r="H913" i="13"/>
  <c r="H759" i="13"/>
  <c r="S759" i="13" s="1"/>
  <c r="W870" i="13"/>
  <c r="H622" i="13"/>
  <c r="H1014" i="13"/>
  <c r="H806" i="13"/>
  <c r="S806" i="13" s="1"/>
  <c r="H918" i="13"/>
  <c r="H764" i="13"/>
  <c r="S764" i="13" s="1"/>
  <c r="S763" i="13"/>
  <c r="H996" i="13"/>
  <c r="H800" i="13"/>
  <c r="S800" i="13" s="1"/>
  <c r="H640" i="13"/>
  <c r="S751" i="13"/>
  <c r="H760" i="13"/>
  <c r="H766" i="13"/>
  <c r="S766" i="13" s="1"/>
  <c r="M1397" i="13"/>
  <c r="K1397" i="13"/>
  <c r="L1397" i="13"/>
  <c r="H1397" i="13"/>
  <c r="J1397" i="13"/>
  <c r="I1397" i="13"/>
  <c r="F21" i="18"/>
  <c r="F22" i="18" s="1"/>
  <c r="H99" i="13"/>
  <c r="F17" i="18"/>
  <c r="H102" i="13"/>
  <c r="K38" i="34"/>
  <c r="H39" i="34"/>
  <c r="I39" i="34" s="1"/>
  <c r="J39" i="34" s="1"/>
  <c r="I1079" i="13"/>
  <c r="I1076" i="13"/>
  <c r="I1205" i="13"/>
  <c r="I1049" i="13"/>
  <c r="I1070" i="13"/>
  <c r="I1071" i="13"/>
  <c r="I1202" i="13"/>
  <c r="I1046" i="13"/>
  <c r="I1203" i="13"/>
  <c r="I1047" i="13"/>
  <c r="I1207" i="13"/>
  <c r="I1051" i="13"/>
  <c r="I1209" i="13"/>
  <c r="I1053" i="13"/>
  <c r="I1074" i="13"/>
  <c r="I1204" i="13"/>
  <c r="I1048" i="13"/>
  <c r="I1208" i="13"/>
  <c r="I1052" i="13"/>
  <c r="I1073" i="13"/>
  <c r="H602" i="13"/>
  <c r="I313" i="13"/>
  <c r="M1465" i="13"/>
  <c r="M1593" i="13"/>
  <c r="I1206" i="13"/>
  <c r="H594" i="13"/>
  <c r="H747" i="13"/>
  <c r="S747" i="13" s="1"/>
  <c r="I164" i="13"/>
  <c r="H917" i="13"/>
  <c r="H599" i="13"/>
  <c r="H611" i="13"/>
  <c r="F15" i="18"/>
  <c r="H166" i="13"/>
  <c r="I461" i="13"/>
  <c r="I305" i="13"/>
  <c r="I756" i="13" s="1"/>
  <c r="T756" i="13" s="1"/>
  <c r="I444" i="13"/>
  <c r="I288" i="13"/>
  <c r="I452" i="13"/>
  <c r="I296" i="13"/>
  <c r="I463" i="13"/>
  <c r="I307" i="13"/>
  <c r="I758" i="13" s="1"/>
  <c r="T758" i="13" s="1"/>
  <c r="I304" i="13"/>
  <c r="I755" i="13" s="1"/>
  <c r="T755" i="13" s="1"/>
  <c r="I460" i="13"/>
  <c r="I458" i="13"/>
  <c r="I302" i="13"/>
  <c r="I753" i="13" s="1"/>
  <c r="T753" i="13" s="1"/>
  <c r="F16" i="18"/>
  <c r="H613" i="13"/>
  <c r="I320" i="13"/>
  <c r="I771" i="13" s="1"/>
  <c r="T771" i="13" s="1"/>
  <c r="I457" i="13"/>
  <c r="I301" i="13"/>
  <c r="I300" i="13"/>
  <c r="I456" i="13"/>
  <c r="I447" i="13"/>
  <c r="I291" i="13"/>
  <c r="I314" i="13"/>
  <c r="I315" i="13"/>
  <c r="I920" i="13" s="1"/>
  <c r="I462" i="13"/>
  <c r="I306" i="13"/>
  <c r="I757" i="13" s="1"/>
  <c r="T757" i="13" s="1"/>
  <c r="J161" i="13"/>
  <c r="J157" i="13"/>
  <c r="J150" i="13"/>
  <c r="J1221" i="13" s="1"/>
  <c r="J146" i="13"/>
  <c r="J138" i="13"/>
  <c r="J1053" i="13" s="1"/>
  <c r="J134" i="13"/>
  <c r="J162" i="13"/>
  <c r="J158" i="13"/>
  <c r="J1229" i="13" s="1"/>
  <c r="J151" i="13"/>
  <c r="J147" i="13"/>
  <c r="J143" i="13"/>
  <c r="J135" i="13"/>
  <c r="J1050" i="13" s="1"/>
  <c r="J131" i="13"/>
  <c r="J1046" i="13" s="1"/>
  <c r="J163" i="13"/>
  <c r="J1234" i="13" s="1"/>
  <c r="J159" i="13"/>
  <c r="J1230" i="13" s="1"/>
  <c r="J155" i="13"/>
  <c r="J148" i="13"/>
  <c r="J144" i="13"/>
  <c r="J136" i="13"/>
  <c r="J132" i="13"/>
  <c r="J149" i="13"/>
  <c r="J133" i="13"/>
  <c r="J1048" i="13" s="1"/>
  <c r="J139" i="13"/>
  <c r="J1210" i="13" s="1"/>
  <c r="J145" i="13"/>
  <c r="J156" i="13"/>
  <c r="J1227" i="13" s="1"/>
  <c r="J160" i="13"/>
  <c r="J1231" i="13" s="1"/>
  <c r="J137" i="13"/>
  <c r="J1052" i="13" s="1"/>
  <c r="I140" i="13"/>
  <c r="G15" i="18" s="1"/>
  <c r="H615" i="13"/>
  <c r="H616" i="13"/>
  <c r="H610" i="13"/>
  <c r="I445" i="13"/>
  <c r="I289" i="13"/>
  <c r="I293" i="13"/>
  <c r="I449" i="13"/>
  <c r="I308" i="13"/>
  <c r="I451" i="13"/>
  <c r="I295" i="13"/>
  <c r="I318" i="13"/>
  <c r="I446" i="13"/>
  <c r="I290" i="13"/>
  <c r="I152" i="13"/>
  <c r="H617" i="13"/>
  <c r="H614" i="13"/>
  <c r="I316" i="13"/>
  <c r="I319" i="13"/>
  <c r="I459" i="13"/>
  <c r="I303" i="13"/>
  <c r="I754" i="13" s="1"/>
  <c r="T754" i="13" s="1"/>
  <c r="I448" i="13"/>
  <c r="I292" i="13"/>
  <c r="I450" i="13"/>
  <c r="I294" i="13"/>
  <c r="I317" i="13"/>
  <c r="J262" i="13"/>
  <c r="J257" i="13"/>
  <c r="J252" i="13"/>
  <c r="J247" i="13"/>
  <c r="J243" i="13"/>
  <c r="J238" i="13"/>
  <c r="J233" i="13"/>
  <c r="J228" i="13"/>
  <c r="J261" i="13"/>
  <c r="J256" i="13"/>
  <c r="J241" i="13"/>
  <c r="J232" i="13"/>
  <c r="J263" i="13"/>
  <c r="J258" i="13"/>
  <c r="J253" i="13"/>
  <c r="J249" i="13"/>
  <c r="J244" i="13"/>
  <c r="J239" i="13"/>
  <c r="J234" i="13"/>
  <c r="J229" i="13"/>
  <c r="J225" i="13"/>
  <c r="J226" i="13"/>
  <c r="J265" i="13"/>
  <c r="J237" i="13"/>
  <c r="J264" i="13"/>
  <c r="J259" i="13"/>
  <c r="J255" i="13"/>
  <c r="J250" i="13"/>
  <c r="J245" i="13"/>
  <c r="J240" i="13"/>
  <c r="J235" i="13"/>
  <c r="J231" i="13"/>
  <c r="J251" i="13"/>
  <c r="J246" i="13"/>
  <c r="J227" i="13"/>
  <c r="H321" i="13"/>
  <c r="H926" i="13" s="1"/>
  <c r="I267" i="13"/>
  <c r="H674" i="13"/>
  <c r="H828" i="13"/>
  <c r="S828" i="13" s="1"/>
  <c r="H309" i="13"/>
  <c r="H297" i="13"/>
  <c r="H453" i="13"/>
  <c r="H465" i="13" s="1"/>
  <c r="D60" i="13"/>
  <c r="F14" i="45"/>
  <c r="B30" i="38"/>
  <c r="I376" i="13"/>
  <c r="I981" i="13" s="1"/>
  <c r="I1084" i="13"/>
  <c r="C1368" i="13"/>
  <c r="C69" i="18"/>
  <c r="H278" i="13"/>
  <c r="S730" i="13" s="1"/>
  <c r="J75" i="13"/>
  <c r="J1390" i="13" s="1"/>
  <c r="C163" i="18"/>
  <c r="C158" i="18"/>
  <c r="C38" i="18"/>
  <c r="C162" i="18"/>
  <c r="C161" i="18"/>
  <c r="C159" i="18"/>
  <c r="C155" i="18"/>
  <c r="M95" i="38"/>
  <c r="M97" i="38"/>
  <c r="M99" i="38"/>
  <c r="M96" i="38"/>
  <c r="J96" i="38"/>
  <c r="J95" i="38"/>
  <c r="J97" i="38"/>
  <c r="J99" i="38"/>
  <c r="O96" i="38"/>
  <c r="O95" i="38"/>
  <c r="O97" i="38"/>
  <c r="O99" i="38"/>
  <c r="I95" i="38"/>
  <c r="I97" i="38"/>
  <c r="I99" i="38"/>
  <c r="I96" i="38"/>
  <c r="L96" i="38"/>
  <c r="L97" i="38"/>
  <c r="L99" i="38"/>
  <c r="L95" i="38"/>
  <c r="P95" i="38"/>
  <c r="P96" i="38"/>
  <c r="P97" i="38"/>
  <c r="P99" i="38"/>
  <c r="P94" i="38"/>
  <c r="M94" i="38"/>
  <c r="O94" i="38"/>
  <c r="J94" i="38"/>
  <c r="I94" i="38"/>
  <c r="L94" i="38"/>
  <c r="G566" i="13"/>
  <c r="C45" i="18"/>
  <c r="H887" i="13"/>
  <c r="C46" i="18"/>
  <c r="C56" i="18"/>
  <c r="C147" i="18"/>
  <c r="C144" i="18"/>
  <c r="C50" i="18"/>
  <c r="C49" i="18"/>
  <c r="C141" i="18"/>
  <c r="C145" i="18"/>
  <c r="C138" i="18"/>
  <c r="C148" i="18"/>
  <c r="C135" i="18"/>
  <c r="G139" i="18"/>
  <c r="C139" i="18" s="1"/>
  <c r="C47" i="18"/>
  <c r="C136" i="18"/>
  <c r="C54" i="18"/>
  <c r="C149" i="18"/>
  <c r="C140" i="18"/>
  <c r="C143" i="18"/>
  <c r="C146" i="18"/>
  <c r="C137" i="18"/>
  <c r="C44" i="18"/>
  <c r="C48" i="18"/>
  <c r="F24" i="18"/>
  <c r="H605" i="13"/>
  <c r="H912" i="13"/>
  <c r="H283" i="13"/>
  <c r="S735" i="13" s="1"/>
  <c r="M566" i="13"/>
  <c r="I1464" i="13"/>
  <c r="G51" i="18" s="1"/>
  <c r="G142" i="18" s="1"/>
  <c r="H580" i="13"/>
  <c r="H441" i="13"/>
  <c r="O93" i="38"/>
  <c r="O92" i="38"/>
  <c r="O91" i="38"/>
  <c r="O90" i="38"/>
  <c r="O89" i="38"/>
  <c r="O88" i="38"/>
  <c r="O87" i="38"/>
  <c r="O86" i="38"/>
  <c r="O85" i="38"/>
  <c r="O84" i="38"/>
  <c r="I93" i="38"/>
  <c r="I92" i="38"/>
  <c r="I91" i="38"/>
  <c r="I90" i="38"/>
  <c r="I89" i="38"/>
  <c r="I87" i="38"/>
  <c r="I84" i="38"/>
  <c r="I88" i="38"/>
  <c r="I86" i="38"/>
  <c r="I85" i="38"/>
  <c r="L93" i="38"/>
  <c r="L92" i="38"/>
  <c r="L91" i="38"/>
  <c r="L90" i="38"/>
  <c r="L89" i="38"/>
  <c r="L88" i="38"/>
  <c r="L87" i="38"/>
  <c r="L86" i="38"/>
  <c r="L85" i="38"/>
  <c r="L84" i="38"/>
  <c r="J93" i="38"/>
  <c r="J92" i="38"/>
  <c r="J91" i="38"/>
  <c r="J90" i="38"/>
  <c r="J89" i="38"/>
  <c r="J88" i="38"/>
  <c r="J87" i="38"/>
  <c r="J86" i="38"/>
  <c r="J85" i="38"/>
  <c r="J84" i="38"/>
  <c r="P93" i="38"/>
  <c r="P92" i="38"/>
  <c r="P91" i="38"/>
  <c r="P90" i="38"/>
  <c r="P89" i="38"/>
  <c r="P88" i="38"/>
  <c r="P87" i="38"/>
  <c r="P86" i="38"/>
  <c r="P85" i="38"/>
  <c r="P84" i="38"/>
  <c r="M93" i="38"/>
  <c r="M92" i="38"/>
  <c r="M91" i="38"/>
  <c r="M90" i="38"/>
  <c r="M89" i="38"/>
  <c r="M88" i="38"/>
  <c r="M86" i="38"/>
  <c r="M87" i="38"/>
  <c r="M85" i="38"/>
  <c r="M84" i="38"/>
  <c r="G30" i="38"/>
  <c r="G98" i="38" s="1"/>
  <c r="D46" i="38"/>
  <c r="C46" i="38" s="1"/>
  <c r="L566" i="13"/>
  <c r="L1464" i="13"/>
  <c r="K1464" i="13"/>
  <c r="I51" i="18" s="1"/>
  <c r="I1273" i="13"/>
  <c r="I1158" i="13"/>
  <c r="K566" i="13"/>
  <c r="G43" i="18"/>
  <c r="H999" i="13"/>
  <c r="I1140" i="13"/>
  <c r="I1335" i="13"/>
  <c r="I390" i="13"/>
  <c r="I688" i="13" s="1"/>
  <c r="I1262" i="13"/>
  <c r="I1131" i="13"/>
  <c r="I414" i="13"/>
  <c r="I1019" i="13" s="1"/>
  <c r="I1164" i="13"/>
  <c r="I382" i="13"/>
  <c r="I987" i="13" s="1"/>
  <c r="I354" i="13"/>
  <c r="I546" i="13"/>
  <c r="I1244" i="13"/>
  <c r="H650" i="13"/>
  <c r="I1321" i="13"/>
  <c r="I358" i="13"/>
  <c r="I963" i="13" s="1"/>
  <c r="H957" i="13"/>
  <c r="I1284" i="13"/>
  <c r="I548" i="13"/>
  <c r="I404" i="13"/>
  <c r="I702" i="13" s="1"/>
  <c r="I397" i="13"/>
  <c r="I527" i="13"/>
  <c r="I339" i="13"/>
  <c r="I637" i="13" s="1"/>
  <c r="I490" i="13"/>
  <c r="I1155" i="13"/>
  <c r="I1334" i="13"/>
  <c r="I1302" i="13"/>
  <c r="I1327" i="13"/>
  <c r="I394" i="13"/>
  <c r="I692" i="13" s="1"/>
  <c r="I323" i="13"/>
  <c r="I324" i="13"/>
  <c r="I1085" i="13"/>
  <c r="I523" i="13"/>
  <c r="I559" i="13"/>
  <c r="I1100" i="13"/>
  <c r="I539" i="13"/>
  <c r="I1323" i="13"/>
  <c r="I1162" i="13"/>
  <c r="I1165" i="13"/>
  <c r="I530" i="13"/>
  <c r="I535" i="13"/>
  <c r="I470" i="13"/>
  <c r="I1119" i="13"/>
  <c r="H664" i="13"/>
  <c r="H653" i="13"/>
  <c r="H971" i="13"/>
  <c r="I1294" i="13"/>
  <c r="I1168" i="13"/>
  <c r="I468" i="13"/>
  <c r="I1317" i="13"/>
  <c r="I327" i="13"/>
  <c r="I1196" i="13"/>
  <c r="I407" i="13"/>
  <c r="I705" i="13" s="1"/>
  <c r="I379" i="13"/>
  <c r="I1243" i="13"/>
  <c r="I336" i="13"/>
  <c r="I438" i="13"/>
  <c r="I396" i="13"/>
  <c r="I1001" i="13" s="1"/>
  <c r="I484" i="13"/>
  <c r="I1274" i="13"/>
  <c r="I1324" i="13"/>
  <c r="I1157" i="13"/>
  <c r="J1389" i="13"/>
  <c r="H593" i="13"/>
  <c r="H746" i="13"/>
  <c r="S746" i="13" s="1"/>
  <c r="H900" i="13"/>
  <c r="H592" i="13"/>
  <c r="H899" i="13"/>
  <c r="H745" i="13"/>
  <c r="S745" i="13" s="1"/>
  <c r="I1040" i="13"/>
  <c r="I1310" i="13"/>
  <c r="I541" i="13"/>
  <c r="I503" i="13"/>
  <c r="I524" i="13"/>
  <c r="I1107" i="13"/>
  <c r="H732" i="13"/>
  <c r="S732" i="13" s="1"/>
  <c r="H578" i="13"/>
  <c r="H885" i="13"/>
  <c r="H1043" i="13"/>
  <c r="H726" i="13"/>
  <c r="S726" i="13" s="1"/>
  <c r="H572" i="13"/>
  <c r="H879" i="13"/>
  <c r="H741" i="13"/>
  <c r="S741" i="13" s="1"/>
  <c r="H588" i="13"/>
  <c r="H895" i="13"/>
  <c r="H744" i="13"/>
  <c r="S744" i="13" s="1"/>
  <c r="H591" i="13"/>
  <c r="H898" i="13"/>
  <c r="I1035" i="13"/>
  <c r="I1191" i="13"/>
  <c r="I432" i="13"/>
  <c r="I277" i="13"/>
  <c r="I1188" i="13"/>
  <c r="I1032" i="13"/>
  <c r="I274" i="13"/>
  <c r="I429" i="13"/>
  <c r="J125" i="13"/>
  <c r="J116" i="13"/>
  <c r="J114" i="13"/>
  <c r="J220" i="13"/>
  <c r="J215" i="13"/>
  <c r="J207" i="13"/>
  <c r="J124" i="13"/>
  <c r="J126" i="13"/>
  <c r="J1197" i="13" s="1"/>
  <c r="J115" i="13"/>
  <c r="J117" i="13"/>
  <c r="J118" i="13"/>
  <c r="J222" i="13"/>
  <c r="J213" i="13"/>
  <c r="J209" i="13"/>
  <c r="J201" i="13"/>
  <c r="J197" i="13"/>
  <c r="J189" i="13"/>
  <c r="J185" i="13"/>
  <c r="J177" i="13"/>
  <c r="J172" i="13"/>
  <c r="J223" i="13"/>
  <c r="J212" i="13"/>
  <c r="J200" i="13"/>
  <c r="J190" i="13"/>
  <c r="J183" i="13"/>
  <c r="J186" i="13"/>
  <c r="J182" i="13"/>
  <c r="J179" i="13"/>
  <c r="J123" i="13"/>
  <c r="J221" i="13"/>
  <c r="J216" i="13"/>
  <c r="J202" i="13"/>
  <c r="J195" i="13"/>
  <c r="J198" i="13"/>
  <c r="J194" i="13"/>
  <c r="J191" i="13"/>
  <c r="J184" i="13"/>
  <c r="J180" i="13"/>
  <c r="J219" i="13"/>
  <c r="J218" i="13"/>
  <c r="J208" i="13"/>
  <c r="J178" i="13"/>
  <c r="J173" i="13"/>
  <c r="J210" i="13"/>
  <c r="J196" i="13"/>
  <c r="J174" i="13"/>
  <c r="J204" i="13"/>
  <c r="J188" i="13"/>
  <c r="J214" i="13"/>
  <c r="J206" i="13"/>
  <c r="J203" i="13"/>
  <c r="J192" i="13"/>
  <c r="J176" i="13"/>
  <c r="H571" i="13"/>
  <c r="H725" i="13"/>
  <c r="S725" i="13" s="1"/>
  <c r="H878" i="13"/>
  <c r="H893" i="13"/>
  <c r="H586" i="13"/>
  <c r="H739" i="13"/>
  <c r="H587" i="13"/>
  <c r="H740" i="13"/>
  <c r="S740" i="13" s="1"/>
  <c r="H894" i="13"/>
  <c r="H590" i="13"/>
  <c r="H743" i="13"/>
  <c r="S743" i="13" s="1"/>
  <c r="H897" i="13"/>
  <c r="H742" i="13"/>
  <c r="S742" i="13" s="1"/>
  <c r="H896" i="13"/>
  <c r="H589" i="13"/>
  <c r="I1190" i="13"/>
  <c r="I1034" i="13"/>
  <c r="I276" i="13"/>
  <c r="I431" i="13"/>
  <c r="I120" i="13"/>
  <c r="I99" i="13" s="1"/>
  <c r="I1187" i="13"/>
  <c r="I1031" i="13"/>
  <c r="I273" i="13"/>
  <c r="I428" i="13"/>
  <c r="I1189" i="13"/>
  <c r="I1033" i="13"/>
  <c r="I275" i="13"/>
  <c r="I430" i="13"/>
  <c r="I1038" i="13"/>
  <c r="I1194" i="13"/>
  <c r="I436" i="13"/>
  <c r="I280" i="13"/>
  <c r="H574" i="13"/>
  <c r="H728" i="13"/>
  <c r="S728" i="13" s="1"/>
  <c r="H881" i="13"/>
  <c r="I1280" i="13"/>
  <c r="I128" i="13"/>
  <c r="I100" i="13" s="1"/>
  <c r="H729" i="13"/>
  <c r="S729" i="13" s="1"/>
  <c r="H575" i="13"/>
  <c r="H882" i="13"/>
  <c r="H1199" i="13"/>
  <c r="H579" i="13"/>
  <c r="H886" i="13"/>
  <c r="H733" i="13"/>
  <c r="S733" i="13" s="1"/>
  <c r="H880" i="13"/>
  <c r="H727" i="13"/>
  <c r="S727" i="13" s="1"/>
  <c r="H573" i="13"/>
  <c r="I1195" i="13"/>
  <c r="I1039" i="13"/>
  <c r="I437" i="13"/>
  <c r="I281" i="13"/>
  <c r="H853" i="13"/>
  <c r="S853" i="13" s="1"/>
  <c r="H659" i="13"/>
  <c r="I506" i="13"/>
  <c r="I337" i="13"/>
  <c r="I635" i="13" s="1"/>
  <c r="H672" i="13"/>
  <c r="I1091" i="13"/>
  <c r="H1006" i="13"/>
  <c r="H1008" i="13"/>
  <c r="I1281" i="13"/>
  <c r="I1118" i="13"/>
  <c r="I502" i="13"/>
  <c r="I1109" i="13"/>
  <c r="I1114" i="13"/>
  <c r="I1287" i="13"/>
  <c r="J1388" i="13"/>
  <c r="I1141" i="13"/>
  <c r="I1145" i="13"/>
  <c r="I1257" i="13"/>
  <c r="I498" i="13"/>
  <c r="I1292" i="13"/>
  <c r="H629" i="13"/>
  <c r="I357" i="13"/>
  <c r="I809" i="13" s="1"/>
  <c r="T809" i="13" s="1"/>
  <c r="H780" i="13"/>
  <c r="S780" i="13" s="1"/>
  <c r="H807" i="13"/>
  <c r="S807" i="13" s="1"/>
  <c r="I1269" i="13"/>
  <c r="H42" i="18"/>
  <c r="H133" i="18" s="1"/>
  <c r="C133" i="18" s="1"/>
  <c r="I384" i="13"/>
  <c r="I989" i="13" s="1"/>
  <c r="I1103" i="13"/>
  <c r="I348" i="13"/>
  <c r="I1128" i="13"/>
  <c r="H626" i="13"/>
  <c r="H680" i="13"/>
  <c r="I349" i="13"/>
  <c r="I954" i="13" s="1"/>
  <c r="I803" i="13"/>
  <c r="T803" i="13" s="1"/>
  <c r="I333" i="13"/>
  <c r="I938" i="13" s="1"/>
  <c r="I383" i="13"/>
  <c r="I681" i="13" s="1"/>
  <c r="I529" i="13"/>
  <c r="I482" i="13"/>
  <c r="I518" i="13"/>
  <c r="I1137" i="13"/>
  <c r="I1152" i="13"/>
  <c r="I626" i="13"/>
  <c r="I1268" i="13"/>
  <c r="I492" i="13"/>
  <c r="I367" i="13"/>
  <c r="I972" i="13" s="1"/>
  <c r="H970" i="13"/>
  <c r="H817" i="13"/>
  <c r="S817" i="13" s="1"/>
  <c r="I956" i="13"/>
  <c r="I472" i="13"/>
  <c r="I1110" i="13"/>
  <c r="I475" i="13"/>
  <c r="I1126" i="13"/>
  <c r="I1116" i="13"/>
  <c r="H966" i="13"/>
  <c r="I496" i="13"/>
  <c r="I1112" i="13"/>
  <c r="I1271" i="13"/>
  <c r="H598" i="13"/>
  <c r="I557" i="13"/>
  <c r="H670" i="13"/>
  <c r="I1332" i="13"/>
  <c r="H695" i="13"/>
  <c r="H963" i="13"/>
  <c r="H810" i="13"/>
  <c r="S810" i="13" s="1"/>
  <c r="I1315" i="13"/>
  <c r="I540" i="13"/>
  <c r="I514" i="13"/>
  <c r="I369" i="13"/>
  <c r="I974" i="13" s="1"/>
  <c r="I1306" i="13"/>
  <c r="I531" i="13"/>
  <c r="I543" i="13"/>
  <c r="I398" i="13"/>
  <c r="I696" i="13" s="1"/>
  <c r="I388" i="13"/>
  <c r="I686" i="13" s="1"/>
  <c r="I1149" i="13"/>
  <c r="I1138" i="13"/>
  <c r="I377" i="13"/>
  <c r="I982" i="13" s="1"/>
  <c r="I491" i="13"/>
  <c r="I346" i="13"/>
  <c r="I951" i="13" s="1"/>
  <c r="I525" i="13"/>
  <c r="I1139" i="13"/>
  <c r="I522" i="13"/>
  <c r="I1263" i="13"/>
  <c r="I1308" i="13"/>
  <c r="I1326" i="13"/>
  <c r="H831" i="13"/>
  <c r="S831" i="13" s="1"/>
  <c r="H984" i="13"/>
  <c r="I1113" i="13"/>
  <c r="I352" i="13"/>
  <c r="I957" i="13" s="1"/>
  <c r="I325" i="13"/>
  <c r="I623" i="13" s="1"/>
  <c r="I1245" i="13"/>
  <c r="I1249" i="13"/>
  <c r="I329" i="13"/>
  <c r="I627" i="13" s="1"/>
  <c r="I1312" i="13"/>
  <c r="I537" i="13"/>
  <c r="I1336" i="13"/>
  <c r="I1177" i="13"/>
  <c r="I561" i="13"/>
  <c r="I416" i="13"/>
  <c r="I1021" i="13" s="1"/>
  <c r="I1135" i="13"/>
  <c r="I380" i="13"/>
  <c r="I678" i="13" s="1"/>
  <c r="I370" i="13"/>
  <c r="I975" i="13" s="1"/>
  <c r="J1464" i="13"/>
  <c r="H51" i="18" s="1"/>
  <c r="H142" i="18" s="1"/>
  <c r="I497" i="13"/>
  <c r="I488" i="13"/>
  <c r="I1267" i="13"/>
  <c r="I1167" i="13"/>
  <c r="H783" i="13"/>
  <c r="S783" i="13" s="1"/>
  <c r="H641" i="13"/>
  <c r="H788" i="13"/>
  <c r="S788" i="13" s="1"/>
  <c r="I481" i="13"/>
  <c r="H710" i="13"/>
  <c r="I1291" i="13"/>
  <c r="I1255" i="13"/>
  <c r="I480" i="13"/>
  <c r="I1265" i="13"/>
  <c r="I1106" i="13"/>
  <c r="I517" i="13"/>
  <c r="I372" i="13"/>
  <c r="I824" i="13" s="1"/>
  <c r="T824" i="13" s="1"/>
  <c r="I511" i="13"/>
  <c r="I366" i="13"/>
  <c r="I341" i="13"/>
  <c r="I1102" i="13"/>
  <c r="H911" i="13"/>
  <c r="I374" i="13"/>
  <c r="I979" i="13" s="1"/>
  <c r="I378" i="13"/>
  <c r="I830" i="13" s="1"/>
  <c r="T830" i="13" s="1"/>
  <c r="I1289" i="13"/>
  <c r="I515" i="13"/>
  <c r="H1464" i="13"/>
  <c r="F51" i="18" s="1"/>
  <c r="F59" i="18" s="1"/>
  <c r="F34" i="18" s="1"/>
  <c r="I1250" i="13"/>
  <c r="I1127" i="13"/>
  <c r="H846" i="13"/>
  <c r="S846" i="13" s="1"/>
  <c r="I487" i="13"/>
  <c r="I1159" i="13"/>
  <c r="I392" i="13"/>
  <c r="I690" i="13" s="1"/>
  <c r="I1104" i="13"/>
  <c r="I474" i="13"/>
  <c r="I347" i="13"/>
  <c r="I799" i="13" s="1"/>
  <c r="T799" i="13" s="1"/>
  <c r="I406" i="13"/>
  <c r="I704" i="13" s="1"/>
  <c r="I395" i="13"/>
  <c r="I693" i="13" s="1"/>
  <c r="I1261" i="13"/>
  <c r="I1247" i="13"/>
  <c r="I1096" i="13"/>
  <c r="I1256" i="13"/>
  <c r="I1132" i="13"/>
  <c r="I1122" i="13"/>
  <c r="I473" i="13"/>
  <c r="I1146" i="13"/>
  <c r="I1176" i="13"/>
  <c r="I364" i="13"/>
  <c r="H977" i="13"/>
  <c r="I412" i="13"/>
  <c r="I864" i="13" s="1"/>
  <c r="T864" i="13" s="1"/>
  <c r="H667" i="13"/>
  <c r="H821" i="13"/>
  <c r="S821" i="13" s="1"/>
  <c r="H793" i="13"/>
  <c r="S793" i="13" s="1"/>
  <c r="H639" i="13"/>
  <c r="I504" i="13"/>
  <c r="I1279" i="13"/>
  <c r="I334" i="13"/>
  <c r="I939" i="13" s="1"/>
  <c r="I1095" i="13"/>
  <c r="I1254" i="13"/>
  <c r="I1150" i="13"/>
  <c r="I389" i="13"/>
  <c r="I841" i="13" s="1"/>
  <c r="T841" i="13" s="1"/>
  <c r="I1309" i="13"/>
  <c r="I373" i="13"/>
  <c r="I1134" i="13"/>
  <c r="I363" i="13"/>
  <c r="I1124" i="13"/>
  <c r="I508" i="13"/>
  <c r="H951" i="13"/>
  <c r="H798" i="13"/>
  <c r="S798" i="13" s="1"/>
  <c r="H644" i="13"/>
  <c r="I1253" i="13"/>
  <c r="I1094" i="13"/>
  <c r="I554" i="13"/>
  <c r="I1329" i="13"/>
  <c r="I1170" i="13"/>
  <c r="I1303" i="13"/>
  <c r="I528" i="13"/>
  <c r="I1328" i="13"/>
  <c r="I553" i="13"/>
  <c r="I1169" i="13"/>
  <c r="I1311" i="13"/>
  <c r="I536" i="13"/>
  <c r="I1322" i="13"/>
  <c r="I547" i="13"/>
  <c r="I555" i="13"/>
  <c r="I1171" i="13"/>
  <c r="I1092" i="13"/>
  <c r="I1251" i="13"/>
  <c r="I476" i="13"/>
  <c r="I402" i="13"/>
  <c r="I700" i="13" s="1"/>
  <c r="I410" i="13"/>
  <c r="I1015" i="13" s="1"/>
  <c r="I479" i="13"/>
  <c r="I1248" i="13"/>
  <c r="I1089" i="13"/>
  <c r="H701" i="13"/>
  <c r="H604" i="13"/>
  <c r="I1147" i="13"/>
  <c r="I371" i="13"/>
  <c r="I976" i="13" s="1"/>
  <c r="I365" i="13"/>
  <c r="I663" i="13" s="1"/>
  <c r="I1121" i="13"/>
  <c r="I1333" i="13"/>
  <c r="I1174" i="13"/>
  <c r="I413" i="13"/>
  <c r="I558" i="13"/>
  <c r="I1115" i="13"/>
  <c r="I510" i="13"/>
  <c r="I1305" i="13"/>
  <c r="I355" i="13"/>
  <c r="I653" i="13" s="1"/>
  <c r="I521" i="13"/>
  <c r="I415" i="13"/>
  <c r="I1125" i="13"/>
  <c r="I505" i="13"/>
  <c r="I359" i="13"/>
  <c r="I1120" i="13"/>
  <c r="I485" i="13"/>
  <c r="I1101" i="13"/>
  <c r="I340" i="13"/>
  <c r="I1260" i="13"/>
  <c r="I400" i="13"/>
  <c r="I545" i="13"/>
  <c r="I1275" i="13"/>
  <c r="I1296" i="13"/>
  <c r="H656" i="13"/>
  <c r="H905" i="13"/>
  <c r="H823" i="13"/>
  <c r="S823" i="13" s="1"/>
  <c r="I1320" i="13"/>
  <c r="H834" i="13"/>
  <c r="S834" i="13" s="1"/>
  <c r="I933" i="13"/>
  <c r="H860" i="13"/>
  <c r="S860" i="13" s="1"/>
  <c r="H826" i="13"/>
  <c r="S826" i="13" s="1"/>
  <c r="H974" i="13"/>
  <c r="H868" i="13"/>
  <c r="S868" i="13" s="1"/>
  <c r="H829" i="13"/>
  <c r="S829" i="13" s="1"/>
  <c r="H994" i="13"/>
  <c r="H959" i="13"/>
  <c r="H777" i="13"/>
  <c r="S777" i="13" s="1"/>
  <c r="H675" i="13"/>
  <c r="H906" i="13"/>
  <c r="H688" i="13"/>
  <c r="H947" i="13"/>
  <c r="H837" i="13"/>
  <c r="S837" i="13" s="1"/>
  <c r="H651" i="13"/>
  <c r="H689" i="13"/>
  <c r="H856" i="13"/>
  <c r="S856" i="13" s="1"/>
  <c r="H842" i="13"/>
  <c r="S842" i="13" s="1"/>
  <c r="H946" i="13"/>
  <c r="H901" i="13"/>
  <c r="I706" i="13"/>
  <c r="H985" i="13"/>
  <c r="H678" i="13"/>
  <c r="H707" i="13"/>
  <c r="H1002" i="13"/>
  <c r="H952" i="13"/>
  <c r="H799" i="13"/>
  <c r="S799" i="13" s="1"/>
  <c r="H850" i="13"/>
  <c r="S850" i="13" s="1"/>
  <c r="I991" i="13"/>
  <c r="H972" i="13"/>
  <c r="H652" i="13"/>
  <c r="H1009" i="13"/>
  <c r="H677" i="13"/>
  <c r="H1015" i="13"/>
  <c r="H990" i="13"/>
  <c r="H1003" i="13"/>
  <c r="H623" i="13"/>
  <c r="H861" i="13"/>
  <c r="S861" i="13" s="1"/>
  <c r="H939" i="13"/>
  <c r="H776" i="13"/>
  <c r="S776" i="13" s="1"/>
  <c r="H929" i="13"/>
  <c r="H786" i="13"/>
  <c r="S786" i="13" s="1"/>
  <c r="H690" i="13"/>
  <c r="H844" i="13"/>
  <c r="S844" i="13" s="1"/>
  <c r="I1013" i="13"/>
  <c r="H794" i="13"/>
  <c r="S794" i="13" s="1"/>
  <c r="I838" i="13"/>
  <c r="T838" i="13" s="1"/>
  <c r="H909" i="13"/>
  <c r="H801" i="13"/>
  <c r="S801" i="13" s="1"/>
  <c r="H712" i="13"/>
  <c r="H657" i="13"/>
  <c r="H647" i="13"/>
  <c r="H941" i="13"/>
  <c r="H953" i="13"/>
  <c r="H646" i="13"/>
  <c r="H864" i="13"/>
  <c r="S864" i="13" s="1"/>
  <c r="H1013" i="13"/>
  <c r="H708" i="13"/>
  <c r="H1019" i="13"/>
  <c r="H601" i="13"/>
  <c r="H958" i="13"/>
  <c r="H811" i="13"/>
  <c r="S811" i="13" s="1"/>
  <c r="H910" i="13"/>
  <c r="H908" i="13"/>
  <c r="H665" i="13"/>
  <c r="H1021" i="13"/>
  <c r="H795" i="13"/>
  <c r="S795" i="13" s="1"/>
  <c r="H418" i="13"/>
  <c r="H711" i="13"/>
  <c r="H843" i="13"/>
  <c r="S843" i="13" s="1"/>
  <c r="H621" i="13"/>
  <c r="H907" i="13"/>
  <c r="H600" i="13"/>
  <c r="I813" i="13"/>
  <c r="T813" i="13" s="1"/>
  <c r="I659" i="13"/>
  <c r="I966" i="13"/>
  <c r="H779" i="13"/>
  <c r="S779" i="13" s="1"/>
  <c r="H625" i="13"/>
  <c r="H932" i="13"/>
  <c r="H627" i="13"/>
  <c r="H865" i="13"/>
  <c r="S865" i="13" s="1"/>
  <c r="H700" i="13"/>
  <c r="H669" i="13"/>
  <c r="H782" i="13"/>
  <c r="S782" i="13" s="1"/>
  <c r="H928" i="13"/>
  <c r="H934" i="13"/>
  <c r="H1007" i="13"/>
  <c r="H841" i="13"/>
  <c r="S841" i="13" s="1"/>
  <c r="H1179" i="13"/>
  <c r="H563" i="13"/>
  <c r="H935" i="13"/>
  <c r="H686" i="13"/>
  <c r="H993" i="13"/>
  <c r="H840" i="13"/>
  <c r="S840" i="13" s="1"/>
  <c r="H1011" i="13"/>
  <c r="H858" i="13"/>
  <c r="S858" i="13" s="1"/>
  <c r="H704" i="13"/>
  <c r="H655" i="13"/>
  <c r="H962" i="13"/>
  <c r="H809" i="13"/>
  <c r="S809" i="13" s="1"/>
  <c r="H835" i="13"/>
  <c r="S835" i="13" s="1"/>
  <c r="H603" i="13"/>
  <c r="I940" i="13"/>
  <c r="I787" i="13"/>
  <c r="T787" i="13" s="1"/>
  <c r="I633" i="13"/>
  <c r="H836" i="13"/>
  <c r="S836" i="13" s="1"/>
  <c r="H989" i="13"/>
  <c r="H681" i="13"/>
  <c r="H1005" i="13"/>
  <c r="H698" i="13"/>
  <c r="H852" i="13"/>
  <c r="S852" i="13" s="1"/>
  <c r="H785" i="13"/>
  <c r="S785" i="13" s="1"/>
  <c r="H631" i="13"/>
  <c r="H938" i="13"/>
  <c r="H671" i="13"/>
  <c r="H825" i="13"/>
  <c r="S825" i="13" s="1"/>
  <c r="H978" i="13"/>
  <c r="I782" i="13"/>
  <c r="T782" i="13" s="1"/>
  <c r="I935" i="13"/>
  <c r="I628" i="13"/>
  <c r="I996" i="13"/>
  <c r="I843" i="13"/>
  <c r="T843" i="13" s="1"/>
  <c r="I689" i="13"/>
  <c r="I853" i="13"/>
  <c r="T853" i="13" s="1"/>
  <c r="I699" i="13"/>
  <c r="I1006" i="13"/>
  <c r="I643" i="13"/>
  <c r="I950" i="13"/>
  <c r="I797" i="13"/>
  <c r="T797" i="13" s="1"/>
  <c r="I701" i="13"/>
  <c r="I855" i="13"/>
  <c r="T855" i="13" s="1"/>
  <c r="I1008" i="13"/>
  <c r="I837" i="13"/>
  <c r="T837" i="13" s="1"/>
  <c r="I990" i="13"/>
  <c r="I683" i="13"/>
  <c r="I861" i="13"/>
  <c r="T861" i="13" s="1"/>
  <c r="I1014" i="13"/>
  <c r="I707" i="13"/>
  <c r="I641" i="13"/>
  <c r="I948" i="13"/>
  <c r="I795" i="13"/>
  <c r="T795" i="13" s="1"/>
  <c r="I805" i="13"/>
  <c r="T805" i="13" s="1"/>
  <c r="I958" i="13"/>
  <c r="I651" i="13"/>
  <c r="I629" i="13"/>
  <c r="I783" i="13"/>
  <c r="T783" i="13" s="1"/>
  <c r="I936" i="13"/>
  <c r="I658" i="13"/>
  <c r="I812" i="13"/>
  <c r="T812" i="13" s="1"/>
  <c r="I965" i="13"/>
  <c r="I580" i="13"/>
  <c r="I734" i="13"/>
  <c r="T734" i="13" s="1"/>
  <c r="I887" i="13"/>
  <c r="I947" i="13"/>
  <c r="I794" i="13"/>
  <c r="T794" i="13" s="1"/>
  <c r="I640" i="13"/>
  <c r="H1338" i="13" l="1"/>
  <c r="H1341" i="13" s="1"/>
  <c r="I1211" i="13"/>
  <c r="I1235" i="13"/>
  <c r="I1223" i="13"/>
  <c r="I610" i="13"/>
  <c r="I917" i="13"/>
  <c r="I1077" i="13"/>
  <c r="J1075" i="13"/>
  <c r="J1233" i="13"/>
  <c r="J1066" i="13"/>
  <c r="J1222" i="13"/>
  <c r="J1074" i="13"/>
  <c r="J1232" i="13"/>
  <c r="I1067" i="13"/>
  <c r="J1070" i="13"/>
  <c r="J1228" i="13"/>
  <c r="J312" i="13"/>
  <c r="C312" i="13" s="1"/>
  <c r="J1226" i="13"/>
  <c r="J1060" i="13"/>
  <c r="J1216" i="13"/>
  <c r="J1058" i="13"/>
  <c r="J1214" i="13"/>
  <c r="J1065" i="13"/>
  <c r="J1064" i="13"/>
  <c r="J1220" i="13"/>
  <c r="J1063" i="13"/>
  <c r="J1219" i="13"/>
  <c r="J1061" i="13"/>
  <c r="J1217" i="13"/>
  <c r="J1059" i="13"/>
  <c r="J1215" i="13"/>
  <c r="J1062" i="13"/>
  <c r="J1218" i="13"/>
  <c r="I922" i="13"/>
  <c r="I768" i="13"/>
  <c r="T768" i="13" s="1"/>
  <c r="I924" i="13"/>
  <c r="I770" i="13"/>
  <c r="T770" i="13" s="1"/>
  <c r="I921" i="13"/>
  <c r="I767" i="13"/>
  <c r="T767" i="13" s="1"/>
  <c r="I923" i="13"/>
  <c r="I769" i="13"/>
  <c r="T769" i="13" s="1"/>
  <c r="I928" i="13"/>
  <c r="T774" i="13"/>
  <c r="I932" i="13"/>
  <c r="T778" i="13"/>
  <c r="S739" i="13"/>
  <c r="H748" i="13"/>
  <c r="S748" i="13" s="1"/>
  <c r="X873" i="13"/>
  <c r="X875" i="13"/>
  <c r="W873" i="13"/>
  <c r="W875" i="13"/>
  <c r="H14" i="45"/>
  <c r="D14" i="45" s="1"/>
  <c r="J76" i="13"/>
  <c r="I765" i="13"/>
  <c r="T765" i="13" s="1"/>
  <c r="I919" i="13"/>
  <c r="I925" i="13"/>
  <c r="I646" i="13"/>
  <c r="I984" i="13"/>
  <c r="I918" i="13"/>
  <c r="I764" i="13"/>
  <c r="I766" i="13"/>
  <c r="T766" i="13" s="1"/>
  <c r="I849" i="13"/>
  <c r="T849" i="13" s="1"/>
  <c r="I671" i="13"/>
  <c r="I664" i="13"/>
  <c r="I634" i="13"/>
  <c r="S760" i="13"/>
  <c r="I1020" i="13"/>
  <c r="I622" i="13"/>
  <c r="I806" i="13"/>
  <c r="T806" i="13" s="1"/>
  <c r="I913" i="13"/>
  <c r="I759" i="13"/>
  <c r="T759" i="13" s="1"/>
  <c r="J763" i="13"/>
  <c r="U763" i="13" s="1"/>
  <c r="H772" i="13"/>
  <c r="S772" i="13" s="1"/>
  <c r="F31" i="18"/>
  <c r="F27" i="18"/>
  <c r="I142" i="18"/>
  <c r="I150" i="18" s="1"/>
  <c r="I59" i="18"/>
  <c r="I103" i="18" s="1"/>
  <c r="L1593" i="13"/>
  <c r="J51" i="18"/>
  <c r="C51" i="18" s="1"/>
  <c r="F142" i="18"/>
  <c r="G17" i="18"/>
  <c r="I102" i="13"/>
  <c r="K39" i="34"/>
  <c r="L39" i="34" s="1"/>
  <c r="M39" i="34" s="1"/>
  <c r="H268" i="13"/>
  <c r="H101" i="13"/>
  <c r="F29" i="18"/>
  <c r="M1343" i="13"/>
  <c r="M1344" i="13" s="1"/>
  <c r="F30" i="18"/>
  <c r="J1207" i="13"/>
  <c r="J1051" i="13"/>
  <c r="J1072" i="13"/>
  <c r="J1073" i="13"/>
  <c r="J1079" i="13"/>
  <c r="J1076" i="13"/>
  <c r="J1205" i="13"/>
  <c r="J1049" i="13"/>
  <c r="J1203" i="13"/>
  <c r="J1047" i="13"/>
  <c r="J1071" i="13"/>
  <c r="J1465" i="13"/>
  <c r="J1593" i="13"/>
  <c r="K1465" i="13"/>
  <c r="K1593" i="13"/>
  <c r="I1465" i="13"/>
  <c r="I1593" i="13"/>
  <c r="I611" i="13"/>
  <c r="J313" i="13"/>
  <c r="J1202" i="13"/>
  <c r="J1209" i="13"/>
  <c r="J1206" i="13"/>
  <c r="J1204" i="13"/>
  <c r="J1208" i="13"/>
  <c r="H1081" i="13"/>
  <c r="H1182" i="13" s="1"/>
  <c r="H902" i="13"/>
  <c r="H914" i="13" s="1"/>
  <c r="J917" i="13"/>
  <c r="I594" i="13"/>
  <c r="I747" i="13"/>
  <c r="T747" i="13" s="1"/>
  <c r="L1343" i="13"/>
  <c r="L1344" i="13" s="1"/>
  <c r="I602" i="13"/>
  <c r="I601" i="13"/>
  <c r="I600" i="13"/>
  <c r="I906" i="13"/>
  <c r="I752" i="13"/>
  <c r="T752" i="13" s="1"/>
  <c r="H1023" i="13"/>
  <c r="I905" i="13"/>
  <c r="I751" i="13"/>
  <c r="I901" i="13"/>
  <c r="B43" i="38"/>
  <c r="C43" i="38" s="1"/>
  <c r="H1593" i="13"/>
  <c r="I166" i="13"/>
  <c r="J164" i="13"/>
  <c r="J140" i="13"/>
  <c r="H15" i="18" s="1"/>
  <c r="J152" i="13"/>
  <c r="G16" i="18"/>
  <c r="J458" i="13"/>
  <c r="J302" i="13"/>
  <c r="J753" i="13" s="1"/>
  <c r="U753" i="13" s="1"/>
  <c r="J289" i="13"/>
  <c r="C289" i="13" s="1"/>
  <c r="J445" i="13"/>
  <c r="J610" i="13"/>
  <c r="J448" i="13"/>
  <c r="J292" i="13"/>
  <c r="C292" i="13" s="1"/>
  <c r="J315" i="13"/>
  <c r="J920" i="13" s="1"/>
  <c r="J459" i="13"/>
  <c r="J303" i="13"/>
  <c r="J754" i="13" s="1"/>
  <c r="U754" i="13" s="1"/>
  <c r="I615" i="13"/>
  <c r="I614" i="13"/>
  <c r="J294" i="13"/>
  <c r="C294" i="13" s="1"/>
  <c r="J450" i="13"/>
  <c r="J452" i="13"/>
  <c r="J296" i="13"/>
  <c r="J747" i="13" s="1"/>
  <c r="U747" i="13" s="1"/>
  <c r="J449" i="13"/>
  <c r="J293" i="13"/>
  <c r="C293" i="13" s="1"/>
  <c r="J316" i="13"/>
  <c r="J300" i="13"/>
  <c r="J751" i="13" s="1"/>
  <c r="J456" i="13"/>
  <c r="J319" i="13"/>
  <c r="J463" i="13"/>
  <c r="J307" i="13"/>
  <c r="J758" i="13" s="1"/>
  <c r="U758" i="13" s="1"/>
  <c r="J317" i="13"/>
  <c r="J446" i="13"/>
  <c r="J290" i="13"/>
  <c r="C290" i="13" s="1"/>
  <c r="J301" i="13"/>
  <c r="J457" i="13"/>
  <c r="J320" i="13"/>
  <c r="J460" i="13"/>
  <c r="J304" i="13"/>
  <c r="J755" i="13" s="1"/>
  <c r="U755" i="13" s="1"/>
  <c r="J447" i="13"/>
  <c r="J291" i="13"/>
  <c r="C291" i="13" s="1"/>
  <c r="J314" i="13"/>
  <c r="J919" i="13" s="1"/>
  <c r="H619" i="13"/>
  <c r="H716" i="13" s="1"/>
  <c r="I617" i="13"/>
  <c r="I616" i="13"/>
  <c r="J462" i="13"/>
  <c r="J306" i="13"/>
  <c r="J757" i="13" s="1"/>
  <c r="U757" i="13" s="1"/>
  <c r="J305" i="13"/>
  <c r="J756" i="13" s="1"/>
  <c r="U756" i="13" s="1"/>
  <c r="J461" i="13"/>
  <c r="J444" i="13"/>
  <c r="J288" i="13"/>
  <c r="J308" i="13"/>
  <c r="J451" i="13"/>
  <c r="J295" i="13"/>
  <c r="C295" i="13" s="1"/>
  <c r="J318" i="13"/>
  <c r="I613" i="13"/>
  <c r="I828" i="13"/>
  <c r="T828" i="13" s="1"/>
  <c r="I604" i="13"/>
  <c r="I911" i="13"/>
  <c r="I908" i="13"/>
  <c r="J267" i="13"/>
  <c r="H595" i="13"/>
  <c r="H607" i="13" s="1"/>
  <c r="I321" i="13"/>
  <c r="I926" i="13" s="1"/>
  <c r="I309" i="13"/>
  <c r="I598" i="13"/>
  <c r="I297" i="13"/>
  <c r="G29" i="18" s="1"/>
  <c r="I453" i="13"/>
  <c r="I465" i="13" s="1"/>
  <c r="K164" i="13"/>
  <c r="F30" i="45"/>
  <c r="K152" i="13"/>
  <c r="I674" i="13"/>
  <c r="K140" i="13"/>
  <c r="I15" i="18" s="1"/>
  <c r="I29" i="18" s="1"/>
  <c r="C75" i="13"/>
  <c r="G30" i="45"/>
  <c r="L103" i="13"/>
  <c r="D25" i="45"/>
  <c r="G103" i="13"/>
  <c r="C1464" i="13"/>
  <c r="G95" i="38"/>
  <c r="G97" i="38"/>
  <c r="G99" i="38"/>
  <c r="G96" i="38"/>
  <c r="O100" i="38"/>
  <c r="M100" i="38"/>
  <c r="I100" i="38"/>
  <c r="L100" i="38"/>
  <c r="P100" i="38"/>
  <c r="G94" i="38"/>
  <c r="J100" i="38"/>
  <c r="F94" i="18"/>
  <c r="F124" i="18"/>
  <c r="F123" i="18"/>
  <c r="F122" i="18"/>
  <c r="F116" i="18"/>
  <c r="F120" i="18"/>
  <c r="F119" i="18"/>
  <c r="I968" i="13"/>
  <c r="I793" i="13"/>
  <c r="T793" i="13" s="1"/>
  <c r="I816" i="13"/>
  <c r="T816" i="13" s="1"/>
  <c r="F109" i="18"/>
  <c r="F95" i="18"/>
  <c r="F97" i="18"/>
  <c r="F96" i="18"/>
  <c r="F108" i="18"/>
  <c r="F103" i="18"/>
  <c r="F102" i="18"/>
  <c r="F104" i="18"/>
  <c r="F106" i="18"/>
  <c r="F99" i="18"/>
  <c r="F105" i="18"/>
  <c r="F101" i="18"/>
  <c r="F111" i="18"/>
  <c r="F100" i="18"/>
  <c r="F110" i="18"/>
  <c r="F98" i="18"/>
  <c r="F107" i="18"/>
  <c r="H1465" i="13"/>
  <c r="F68" i="18"/>
  <c r="G134" i="18"/>
  <c r="G150" i="18" s="1"/>
  <c r="C42" i="18"/>
  <c r="H285" i="13"/>
  <c r="F28" i="18"/>
  <c r="F25" i="18"/>
  <c r="I866" i="13"/>
  <c r="T866" i="13" s="1"/>
  <c r="I712" i="13"/>
  <c r="I278" i="13"/>
  <c r="T730" i="13" s="1"/>
  <c r="I959" i="13"/>
  <c r="I283" i="13"/>
  <c r="T735" i="13" s="1"/>
  <c r="G24" i="18"/>
  <c r="G21" i="18"/>
  <c r="G93" i="38"/>
  <c r="G92" i="38"/>
  <c r="G91" i="38"/>
  <c r="G90" i="38"/>
  <c r="G89" i="38"/>
  <c r="G88" i="38"/>
  <c r="G87" i="38"/>
  <c r="G86" i="38"/>
  <c r="G85" i="38"/>
  <c r="G84" i="38"/>
  <c r="G59" i="18"/>
  <c r="G34" i="18" s="1"/>
  <c r="D14" i="38"/>
  <c r="C14" i="38" s="1"/>
  <c r="H30" i="38"/>
  <c r="H98" i="38" s="1"/>
  <c r="N30" i="38"/>
  <c r="N98" i="38" s="1"/>
  <c r="K30" i="38"/>
  <c r="K98" i="38" s="1"/>
  <c r="G68" i="18"/>
  <c r="J68" i="18"/>
  <c r="J157" i="18" s="1"/>
  <c r="L1465" i="13"/>
  <c r="I68" i="18"/>
  <c r="I995" i="13"/>
  <c r="I941" i="13"/>
  <c r="H43" i="18"/>
  <c r="H134" i="18" s="1"/>
  <c r="I776" i="13"/>
  <c r="T776" i="13" s="1"/>
  <c r="I652" i="13"/>
  <c r="I929" i="13"/>
  <c r="I999" i="13"/>
  <c r="I842" i="13"/>
  <c r="T842" i="13" s="1"/>
  <c r="I846" i="13"/>
  <c r="T846" i="13" s="1"/>
  <c r="I856" i="13"/>
  <c r="T856" i="13" s="1"/>
  <c r="I656" i="13"/>
  <c r="I834" i="13"/>
  <c r="T834" i="13" s="1"/>
  <c r="I680" i="13"/>
  <c r="I621" i="13"/>
  <c r="I1012" i="13"/>
  <c r="I791" i="13"/>
  <c r="T791" i="13" s="1"/>
  <c r="I775" i="13"/>
  <c r="T775" i="13" s="1"/>
  <c r="I859" i="13"/>
  <c r="T859" i="13" s="1"/>
  <c r="I1009" i="13"/>
  <c r="I810" i="13"/>
  <c r="T810" i="13" s="1"/>
  <c r="I997" i="13"/>
  <c r="I631" i="13"/>
  <c r="I907" i="13"/>
  <c r="I944" i="13"/>
  <c r="I1002" i="13"/>
  <c r="I695" i="13"/>
  <c r="I788" i="13"/>
  <c r="T788" i="13" s="1"/>
  <c r="I625" i="13"/>
  <c r="I677" i="13"/>
  <c r="I694" i="13"/>
  <c r="I909" i="13"/>
  <c r="I985" i="13"/>
  <c r="J128" i="13"/>
  <c r="J100" i="13" s="1"/>
  <c r="I441" i="13"/>
  <c r="H890" i="13"/>
  <c r="H736" i="13"/>
  <c r="S736" i="13" s="1"/>
  <c r="I848" i="13"/>
  <c r="T848" i="13" s="1"/>
  <c r="I831" i="13"/>
  <c r="T831" i="13" s="1"/>
  <c r="I942" i="13"/>
  <c r="I779" i="13"/>
  <c r="T779" i="13" s="1"/>
  <c r="H583" i="13"/>
  <c r="I789" i="13"/>
  <c r="T789" i="13" s="1"/>
  <c r="I665" i="13"/>
  <c r="I1199" i="13"/>
  <c r="J1035" i="13"/>
  <c r="J1191" i="13"/>
  <c r="J277" i="13"/>
  <c r="C277" i="13" s="1"/>
  <c r="J432" i="13"/>
  <c r="J1195" i="13"/>
  <c r="J1039" i="13"/>
  <c r="J281" i="13"/>
  <c r="C281" i="13" s="1"/>
  <c r="J437" i="13"/>
  <c r="J1187" i="13"/>
  <c r="J1031" i="13"/>
  <c r="J120" i="13"/>
  <c r="J99" i="13" s="1"/>
  <c r="J428" i="13"/>
  <c r="J273" i="13"/>
  <c r="I1043" i="13"/>
  <c r="I733" i="13"/>
  <c r="T733" i="13" s="1"/>
  <c r="I886" i="13"/>
  <c r="I579" i="13"/>
  <c r="I741" i="13"/>
  <c r="T741" i="13" s="1"/>
  <c r="I588" i="13"/>
  <c r="I895" i="13"/>
  <c r="I578" i="13"/>
  <c r="I885" i="13"/>
  <c r="I732" i="13"/>
  <c r="T732" i="13" s="1"/>
  <c r="J1249" i="13"/>
  <c r="J1090" i="13"/>
  <c r="J329" i="13"/>
  <c r="C329" i="13" s="1"/>
  <c r="J474" i="13"/>
  <c r="J1243" i="13"/>
  <c r="J1084" i="13"/>
  <c r="J468" i="13"/>
  <c r="J323" i="13"/>
  <c r="J1190" i="13"/>
  <c r="J1034" i="13"/>
  <c r="J276" i="13"/>
  <c r="C276" i="13" s="1"/>
  <c r="J431" i="13"/>
  <c r="J1189" i="13"/>
  <c r="J1033" i="13"/>
  <c r="J275" i="13"/>
  <c r="J430" i="13"/>
  <c r="I894" i="13"/>
  <c r="I587" i="13"/>
  <c r="I740" i="13"/>
  <c r="T740" i="13" s="1"/>
  <c r="I729" i="13"/>
  <c r="T729" i="13" s="1"/>
  <c r="I882" i="13"/>
  <c r="I575" i="13"/>
  <c r="I739" i="13"/>
  <c r="I893" i="13"/>
  <c r="I586" i="13"/>
  <c r="I573" i="13"/>
  <c r="I880" i="13"/>
  <c r="I727" i="13"/>
  <c r="T727" i="13" s="1"/>
  <c r="I725" i="13"/>
  <c r="T725" i="13" s="1"/>
  <c r="I878" i="13"/>
  <c r="I571" i="13"/>
  <c r="J1038" i="13"/>
  <c r="J1194" i="13"/>
  <c r="J280" i="13"/>
  <c r="J436" i="13"/>
  <c r="J1032" i="13"/>
  <c r="J1188" i="13"/>
  <c r="J429" i="13"/>
  <c r="J274" i="13"/>
  <c r="J1040" i="13"/>
  <c r="J1196" i="13"/>
  <c r="J282" i="13"/>
  <c r="C282" i="13" s="1"/>
  <c r="J438" i="13"/>
  <c r="I746" i="13"/>
  <c r="T746" i="13" s="1"/>
  <c r="I900" i="13"/>
  <c r="I593" i="13"/>
  <c r="I896" i="13"/>
  <c r="I742" i="13"/>
  <c r="T742" i="13" s="1"/>
  <c r="I589" i="13"/>
  <c r="I572" i="13"/>
  <c r="I879" i="13"/>
  <c r="I726" i="13"/>
  <c r="T726" i="13" s="1"/>
  <c r="I897" i="13"/>
  <c r="I743" i="13"/>
  <c r="T743" i="13" s="1"/>
  <c r="I590" i="13"/>
  <c r="I591" i="13"/>
  <c r="I898" i="13"/>
  <c r="I744" i="13"/>
  <c r="T744" i="13" s="1"/>
  <c r="I781" i="13"/>
  <c r="T781" i="13" s="1"/>
  <c r="I899" i="13"/>
  <c r="I745" i="13"/>
  <c r="T745" i="13" s="1"/>
  <c r="I592" i="13"/>
  <c r="I728" i="13"/>
  <c r="T728" i="13" s="1"/>
  <c r="I881" i="13"/>
  <c r="I574" i="13"/>
  <c r="I988" i="13"/>
  <c r="I713" i="13"/>
  <c r="I993" i="13"/>
  <c r="I835" i="13"/>
  <c r="T835" i="13" s="1"/>
  <c r="I826" i="13"/>
  <c r="T826" i="13" s="1"/>
  <c r="I815" i="13"/>
  <c r="T815" i="13" s="1"/>
  <c r="I647" i="13"/>
  <c r="I639" i="13"/>
  <c r="I930" i="13"/>
  <c r="I599" i="13"/>
  <c r="I836" i="13"/>
  <c r="T836" i="13" s="1"/>
  <c r="I953" i="13"/>
  <c r="I655" i="13"/>
  <c r="I644" i="13"/>
  <c r="I800" i="13"/>
  <c r="T800" i="13" s="1"/>
  <c r="I682" i="13"/>
  <c r="I962" i="13"/>
  <c r="I676" i="13"/>
  <c r="I952" i="13"/>
  <c r="I801" i="13"/>
  <c r="T801" i="13" s="1"/>
  <c r="I850" i="13"/>
  <c r="T850" i="13" s="1"/>
  <c r="I804" i="13"/>
  <c r="T804" i="13" s="1"/>
  <c r="I822" i="13"/>
  <c r="T822" i="13" s="1"/>
  <c r="I670" i="13"/>
  <c r="I661" i="13"/>
  <c r="I785" i="13"/>
  <c r="T785" i="13" s="1"/>
  <c r="I934" i="13"/>
  <c r="I603" i="13"/>
  <c r="I983" i="13"/>
  <c r="I819" i="13"/>
  <c r="T819" i="13" s="1"/>
  <c r="I786" i="13"/>
  <c r="T786" i="13" s="1"/>
  <c r="I971" i="13"/>
  <c r="I994" i="13"/>
  <c r="I668" i="13"/>
  <c r="I1017" i="13"/>
  <c r="I798" i="13"/>
  <c r="T798" i="13" s="1"/>
  <c r="I823" i="13"/>
  <c r="T823" i="13" s="1"/>
  <c r="I672" i="13"/>
  <c r="I946" i="13"/>
  <c r="I844" i="13"/>
  <c r="T844" i="13" s="1"/>
  <c r="I867" i="13"/>
  <c r="T867" i="13" s="1"/>
  <c r="I840" i="13"/>
  <c r="T840" i="13" s="1"/>
  <c r="I669" i="13"/>
  <c r="I818" i="13"/>
  <c r="T818" i="13" s="1"/>
  <c r="I1000" i="13"/>
  <c r="I858" i="13"/>
  <c r="T858" i="13" s="1"/>
  <c r="I821" i="13"/>
  <c r="T821" i="13" s="1"/>
  <c r="I847" i="13"/>
  <c r="T847" i="13" s="1"/>
  <c r="I687" i="13"/>
  <c r="I708" i="13"/>
  <c r="I662" i="13"/>
  <c r="J361" i="13"/>
  <c r="C361" i="13" s="1"/>
  <c r="J1281" i="13"/>
  <c r="J506" i="13"/>
  <c r="J1122" i="13"/>
  <c r="J560" i="13"/>
  <c r="J415" i="13"/>
  <c r="J1176" i="13"/>
  <c r="J1335" i="13"/>
  <c r="J1277" i="13"/>
  <c r="J502" i="13"/>
  <c r="J1118" i="13"/>
  <c r="J357" i="13"/>
  <c r="C357" i="13" s="1"/>
  <c r="J1121" i="13"/>
  <c r="J505" i="13"/>
  <c r="J360" i="13"/>
  <c r="J1280" i="13"/>
  <c r="J1274" i="13"/>
  <c r="J499" i="13"/>
  <c r="J354" i="13"/>
  <c r="J1115" i="13"/>
  <c r="J475" i="13"/>
  <c r="J1091" i="13"/>
  <c r="J330" i="13"/>
  <c r="J1250" i="13"/>
  <c r="J524" i="13"/>
  <c r="J1140" i="13"/>
  <c r="J1299" i="13"/>
  <c r="J379" i="13"/>
  <c r="J346" i="13"/>
  <c r="C346" i="13" s="1"/>
  <c r="J491" i="13"/>
  <c r="J1266" i="13"/>
  <c r="J1107" i="13"/>
  <c r="J1169" i="13"/>
  <c r="J553" i="13"/>
  <c r="J1328" i="13"/>
  <c r="J408" i="13"/>
  <c r="C408" i="13" s="1"/>
  <c r="J358" i="13"/>
  <c r="C358" i="13" s="1"/>
  <c r="J1119" i="13"/>
  <c r="J1278" i="13"/>
  <c r="J503" i="13"/>
  <c r="J339" i="13"/>
  <c r="C339" i="13" s="1"/>
  <c r="J1259" i="13"/>
  <c r="J1100" i="13"/>
  <c r="J484" i="13"/>
  <c r="J412" i="13"/>
  <c r="C412" i="13" s="1"/>
  <c r="J1173" i="13"/>
  <c r="J557" i="13"/>
  <c r="J1332" i="13"/>
  <c r="J1151" i="13"/>
  <c r="J390" i="13"/>
  <c r="C390" i="13" s="1"/>
  <c r="J535" i="13"/>
  <c r="J1310" i="13"/>
  <c r="J518" i="13"/>
  <c r="J1134" i="13"/>
  <c r="J1293" i="13"/>
  <c r="J373" i="13"/>
  <c r="J530" i="13"/>
  <c r="J385" i="13"/>
  <c r="J1146" i="13"/>
  <c r="J1305" i="13"/>
  <c r="J333" i="13"/>
  <c r="C333" i="13" s="1"/>
  <c r="J1094" i="13"/>
  <c r="J478" i="13"/>
  <c r="J1253" i="13"/>
  <c r="J509" i="13"/>
  <c r="J364" i="13"/>
  <c r="C364" i="13" s="1"/>
  <c r="J1284" i="13"/>
  <c r="J1125" i="13"/>
  <c r="J497" i="13"/>
  <c r="J352" i="13"/>
  <c r="C352" i="13" s="1"/>
  <c r="J1272" i="13"/>
  <c r="J1113" i="13"/>
  <c r="J1330" i="13"/>
  <c r="J410" i="13"/>
  <c r="C410" i="13" s="1"/>
  <c r="J555" i="13"/>
  <c r="J1171" i="13"/>
  <c r="I1003" i="13"/>
  <c r="I829" i="13"/>
  <c r="T829" i="13" s="1"/>
  <c r="I832" i="13"/>
  <c r="T832" i="13" s="1"/>
  <c r="I854" i="13"/>
  <c r="T854" i="13" s="1"/>
  <c r="I969" i="13"/>
  <c r="I960" i="13"/>
  <c r="H68" i="18"/>
  <c r="H157" i="18" s="1"/>
  <c r="I563" i="13"/>
  <c r="J1174" i="13"/>
  <c r="J558" i="13"/>
  <c r="J1333" i="13"/>
  <c r="J413" i="13"/>
  <c r="C413" i="13" s="1"/>
  <c r="J1165" i="13"/>
  <c r="J549" i="13"/>
  <c r="J404" i="13"/>
  <c r="C404" i="13" s="1"/>
  <c r="J1324" i="13"/>
  <c r="J548" i="13"/>
  <c r="J1323" i="13"/>
  <c r="J1164" i="13"/>
  <c r="J403" i="13"/>
  <c r="J383" i="13"/>
  <c r="C383" i="13" s="1"/>
  <c r="J1303" i="13"/>
  <c r="J528" i="13"/>
  <c r="J1144" i="13"/>
  <c r="J1321" i="13"/>
  <c r="J546" i="13"/>
  <c r="J401" i="13"/>
  <c r="C401" i="13" s="1"/>
  <c r="J1162" i="13"/>
  <c r="J1124" i="13"/>
  <c r="J508" i="13"/>
  <c r="J363" i="13"/>
  <c r="C363" i="13" s="1"/>
  <c r="J1283" i="13"/>
  <c r="J370" i="13"/>
  <c r="C370" i="13" s="1"/>
  <c r="J1290" i="13"/>
  <c r="J515" i="13"/>
  <c r="J1131" i="13"/>
  <c r="J487" i="13"/>
  <c r="J1103" i="13"/>
  <c r="J342" i="13"/>
  <c r="J1262" i="13"/>
  <c r="J1104" i="13"/>
  <c r="J1263" i="13"/>
  <c r="J488" i="13"/>
  <c r="J343" i="13"/>
  <c r="C343" i="13" s="1"/>
  <c r="J340" i="13"/>
  <c r="C340" i="13" s="1"/>
  <c r="J1101" i="13"/>
  <c r="J1260" i="13"/>
  <c r="J485" i="13"/>
  <c r="J391" i="13"/>
  <c r="J1311" i="13"/>
  <c r="J536" i="13"/>
  <c r="J1152" i="13"/>
  <c r="J347" i="13"/>
  <c r="C347" i="13" s="1"/>
  <c r="J1267" i="13"/>
  <c r="J1108" i="13"/>
  <c r="J492" i="13"/>
  <c r="J552" i="13"/>
  <c r="J1327" i="13"/>
  <c r="J407" i="13"/>
  <c r="C407" i="13" s="1"/>
  <c r="J1168" i="13"/>
  <c r="J382" i="13"/>
  <c r="C382" i="13" s="1"/>
  <c r="J1143" i="13"/>
  <c r="J527" i="13"/>
  <c r="J1302" i="13"/>
  <c r="J335" i="13"/>
  <c r="C335" i="13" s="1"/>
  <c r="J480" i="13"/>
  <c r="J1096" i="13"/>
  <c r="J1255" i="13"/>
  <c r="J1092" i="13"/>
  <c r="J331" i="13"/>
  <c r="C331" i="13" s="1"/>
  <c r="J1251" i="13"/>
  <c r="J476" i="13"/>
  <c r="J369" i="13"/>
  <c r="C369" i="13" s="1"/>
  <c r="J514" i="13"/>
  <c r="J1130" i="13"/>
  <c r="J1289" i="13"/>
  <c r="J1098" i="13"/>
  <c r="J337" i="13"/>
  <c r="C337" i="13" s="1"/>
  <c r="J1257" i="13"/>
  <c r="J482" i="13"/>
  <c r="I977" i="13"/>
  <c r="I1011" i="13"/>
  <c r="I675" i="13"/>
  <c r="I817" i="13"/>
  <c r="T817" i="13" s="1"/>
  <c r="I910" i="13"/>
  <c r="I777" i="13"/>
  <c r="T777" i="13" s="1"/>
  <c r="I667" i="13"/>
  <c r="I1007" i="13"/>
  <c r="I645" i="13"/>
  <c r="I650" i="13"/>
  <c r="I978" i="13"/>
  <c r="J1314" i="13"/>
  <c r="J539" i="13"/>
  <c r="J1155" i="13"/>
  <c r="J394" i="13"/>
  <c r="C394" i="13" s="1"/>
  <c r="J398" i="13"/>
  <c r="C398" i="13" s="1"/>
  <c r="J1159" i="13"/>
  <c r="J1318" i="13"/>
  <c r="J543" i="13"/>
  <c r="J1254" i="13"/>
  <c r="J1095" i="13"/>
  <c r="J334" i="13"/>
  <c r="C334" i="13" s="1"/>
  <c r="J479" i="13"/>
  <c r="J351" i="13"/>
  <c r="C351" i="13" s="1"/>
  <c r="J496" i="13"/>
  <c r="J1112" i="13"/>
  <c r="J1271" i="13"/>
  <c r="J537" i="13"/>
  <c r="J1312" i="13"/>
  <c r="J392" i="13"/>
  <c r="C392" i="13" s="1"/>
  <c r="J1153" i="13"/>
  <c r="J1133" i="13"/>
  <c r="J1292" i="13"/>
  <c r="J517" i="13"/>
  <c r="J372" i="13"/>
  <c r="C372" i="13" s="1"/>
  <c r="J359" i="13"/>
  <c r="C359" i="13" s="1"/>
  <c r="J1279" i="13"/>
  <c r="J504" i="13"/>
  <c r="J1120" i="13"/>
  <c r="J355" i="13"/>
  <c r="C355" i="13" s="1"/>
  <c r="J1275" i="13"/>
  <c r="J1116" i="13"/>
  <c r="J500" i="13"/>
  <c r="J1286" i="13"/>
  <c r="J1127" i="13"/>
  <c r="J366" i="13"/>
  <c r="J511" i="13"/>
  <c r="J377" i="13"/>
  <c r="C377" i="13" s="1"/>
  <c r="J1297" i="13"/>
  <c r="J1138" i="13"/>
  <c r="J522" i="13"/>
  <c r="J1309" i="13"/>
  <c r="J534" i="13"/>
  <c r="J1150" i="13"/>
  <c r="J389" i="13"/>
  <c r="C389" i="13" s="1"/>
  <c r="J1161" i="13"/>
  <c r="J545" i="13"/>
  <c r="J400" i="13"/>
  <c r="C400" i="13" s="1"/>
  <c r="J1320" i="13"/>
  <c r="J378" i="13"/>
  <c r="C378" i="13" s="1"/>
  <c r="J1298" i="13"/>
  <c r="J1139" i="13"/>
  <c r="J523" i="13"/>
  <c r="J327" i="13"/>
  <c r="J1088" i="13"/>
  <c r="J1247" i="13"/>
  <c r="J472" i="13"/>
  <c r="J1268" i="13"/>
  <c r="J493" i="13"/>
  <c r="J1109" i="13"/>
  <c r="J348" i="13"/>
  <c r="J1128" i="13"/>
  <c r="J512" i="13"/>
  <c r="J367" i="13"/>
  <c r="C367" i="13" s="1"/>
  <c r="J1287" i="13"/>
  <c r="J388" i="13"/>
  <c r="C388" i="13" s="1"/>
  <c r="J533" i="13"/>
  <c r="J1149" i="13"/>
  <c r="J1308" i="13"/>
  <c r="J345" i="13"/>
  <c r="C345" i="13" s="1"/>
  <c r="J490" i="13"/>
  <c r="J1265" i="13"/>
  <c r="J1106" i="13"/>
  <c r="J416" i="13"/>
  <c r="C416" i="13" s="1"/>
  <c r="J561" i="13"/>
  <c r="J1177" i="13"/>
  <c r="J1336" i="13"/>
  <c r="J395" i="13"/>
  <c r="C395" i="13" s="1"/>
  <c r="J1156" i="13"/>
  <c r="J1315" i="13"/>
  <c r="J540" i="13"/>
  <c r="I825" i="13"/>
  <c r="T825" i="13" s="1"/>
  <c r="I710" i="13"/>
  <c r="I714" i="13"/>
  <c r="I868" i="13"/>
  <c r="T868" i="13" s="1"/>
  <c r="J1317" i="13"/>
  <c r="J542" i="13"/>
  <c r="J1158" i="13"/>
  <c r="J397" i="13"/>
  <c r="J376" i="13"/>
  <c r="C376" i="13" s="1"/>
  <c r="J1296" i="13"/>
  <c r="J521" i="13"/>
  <c r="J1137" i="13"/>
  <c r="J341" i="13"/>
  <c r="C341" i="13" s="1"/>
  <c r="J486" i="13"/>
  <c r="J1261" i="13"/>
  <c r="J1102" i="13"/>
  <c r="J481" i="13"/>
  <c r="J1097" i="13"/>
  <c r="J336" i="13"/>
  <c r="J1256" i="13"/>
  <c r="J470" i="13"/>
  <c r="J325" i="13"/>
  <c r="C325" i="13" s="1"/>
  <c r="J1245" i="13"/>
  <c r="J1086" i="13"/>
  <c r="J516" i="13"/>
  <c r="J1291" i="13"/>
  <c r="J1132" i="13"/>
  <c r="J371" i="13"/>
  <c r="C371" i="13" s="1"/>
  <c r="J406" i="13"/>
  <c r="C406" i="13" s="1"/>
  <c r="J1326" i="13"/>
  <c r="J1167" i="13"/>
  <c r="J551" i="13"/>
  <c r="J1175" i="13"/>
  <c r="J414" i="13"/>
  <c r="C414" i="13" s="1"/>
  <c r="J1334" i="13"/>
  <c r="J559" i="13"/>
  <c r="J1248" i="13"/>
  <c r="J473" i="13"/>
  <c r="J328" i="13"/>
  <c r="C328" i="13" s="1"/>
  <c r="J1089" i="13"/>
  <c r="J1306" i="13"/>
  <c r="J531" i="13"/>
  <c r="J386" i="13"/>
  <c r="C386" i="13" s="1"/>
  <c r="J1147" i="13"/>
  <c r="J1163" i="13"/>
  <c r="J1322" i="13"/>
  <c r="J547" i="13"/>
  <c r="J402" i="13"/>
  <c r="C402" i="13" s="1"/>
  <c r="J554" i="13"/>
  <c r="J1329" i="13"/>
  <c r="J409" i="13"/>
  <c r="J1170" i="13"/>
  <c r="J1273" i="13"/>
  <c r="J353" i="13"/>
  <c r="C353" i="13" s="1"/>
  <c r="J498" i="13"/>
  <c r="J1114" i="13"/>
  <c r="J525" i="13"/>
  <c r="J1300" i="13"/>
  <c r="J380" i="13"/>
  <c r="C380" i="13" s="1"/>
  <c r="J1141" i="13"/>
  <c r="J469" i="13"/>
  <c r="J324" i="13"/>
  <c r="J1085" i="13"/>
  <c r="J1244" i="13"/>
  <c r="J1304" i="13"/>
  <c r="J1145" i="13"/>
  <c r="J529" i="13"/>
  <c r="J384" i="13"/>
  <c r="C384" i="13" s="1"/>
  <c r="J1135" i="13"/>
  <c r="J374" i="13"/>
  <c r="C374" i="13" s="1"/>
  <c r="J1294" i="13"/>
  <c r="J519" i="13"/>
  <c r="J1157" i="13"/>
  <c r="J541" i="13"/>
  <c r="J396" i="13"/>
  <c r="C396" i="13" s="1"/>
  <c r="J1316" i="13"/>
  <c r="J510" i="13"/>
  <c r="J365" i="13"/>
  <c r="C365" i="13" s="1"/>
  <c r="J1126" i="13"/>
  <c r="J1285" i="13"/>
  <c r="J349" i="13"/>
  <c r="C349" i="13" s="1"/>
  <c r="J494" i="13"/>
  <c r="J1269" i="13"/>
  <c r="J1110" i="13"/>
  <c r="I632" i="13"/>
  <c r="I862" i="13"/>
  <c r="T862" i="13" s="1"/>
  <c r="I970" i="13"/>
  <c r="I1179" i="13"/>
  <c r="I638" i="13"/>
  <c r="I792" i="13"/>
  <c r="T792" i="13" s="1"/>
  <c r="I945" i="13"/>
  <c r="I811" i="13"/>
  <c r="T811" i="13" s="1"/>
  <c r="I964" i="13"/>
  <c r="I657" i="13"/>
  <c r="I807" i="13"/>
  <c r="T807" i="13" s="1"/>
  <c r="I1005" i="13"/>
  <c r="I852" i="13"/>
  <c r="T852" i="13" s="1"/>
  <c r="I698" i="13"/>
  <c r="I418" i="13"/>
  <c r="I865" i="13"/>
  <c r="T865" i="13" s="1"/>
  <c r="I711" i="13"/>
  <c r="I1018" i="13"/>
  <c r="H566" i="13"/>
  <c r="J1211" i="13" l="1"/>
  <c r="I1237" i="13"/>
  <c r="J1223" i="13"/>
  <c r="J1235" i="13"/>
  <c r="I101" i="13"/>
  <c r="I1338" i="13"/>
  <c r="I1341" i="13" s="1"/>
  <c r="K1077" i="13"/>
  <c r="J1077" i="13"/>
  <c r="K1067" i="13"/>
  <c r="J923" i="13"/>
  <c r="J769" i="13"/>
  <c r="U769" i="13" s="1"/>
  <c r="J925" i="13"/>
  <c r="J771" i="13"/>
  <c r="U771" i="13" s="1"/>
  <c r="J922" i="13"/>
  <c r="J768" i="13"/>
  <c r="U768" i="13" s="1"/>
  <c r="J924" i="13"/>
  <c r="J770" i="13"/>
  <c r="U770" i="13" s="1"/>
  <c r="J921" i="13"/>
  <c r="J767" i="13"/>
  <c r="U767" i="13" s="1"/>
  <c r="C323" i="13"/>
  <c r="U774" i="13"/>
  <c r="C327" i="13"/>
  <c r="U778" i="13"/>
  <c r="C280" i="13"/>
  <c r="F280" i="13"/>
  <c r="C273" i="13"/>
  <c r="F273" i="13"/>
  <c r="C274" i="13"/>
  <c r="F274" i="13"/>
  <c r="C275" i="13"/>
  <c r="F275" i="13"/>
  <c r="H421" i="13"/>
  <c r="S874" i="13" s="1"/>
  <c r="S737" i="13"/>
  <c r="T739" i="13"/>
  <c r="I748" i="13"/>
  <c r="T748" i="13" s="1"/>
  <c r="C403" i="13"/>
  <c r="C324" i="13"/>
  <c r="C391" i="13"/>
  <c r="T751" i="13"/>
  <c r="I760" i="13"/>
  <c r="T760" i="13" s="1"/>
  <c r="J913" i="13"/>
  <c r="J759" i="13"/>
  <c r="U759" i="13" s="1"/>
  <c r="C320" i="13"/>
  <c r="U751" i="13"/>
  <c r="C379" i="13"/>
  <c r="C397" i="13"/>
  <c r="C348" i="13"/>
  <c r="C342" i="13"/>
  <c r="C330" i="13"/>
  <c r="C354" i="13"/>
  <c r="C360" i="13"/>
  <c r="J766" i="13"/>
  <c r="U766" i="13" s="1"/>
  <c r="J918" i="13"/>
  <c r="J764" i="13"/>
  <c r="U764" i="13" s="1"/>
  <c r="T764" i="13"/>
  <c r="C373" i="13"/>
  <c r="C409" i="13"/>
  <c r="C336" i="13"/>
  <c r="C366" i="13"/>
  <c r="C385" i="13"/>
  <c r="C415" i="13"/>
  <c r="C314" i="13"/>
  <c r="J765" i="13"/>
  <c r="U765" i="13" s="1"/>
  <c r="H1398" i="13"/>
  <c r="C313" i="13"/>
  <c r="M1398" i="13"/>
  <c r="L1398" i="13"/>
  <c r="J611" i="13"/>
  <c r="I1398" i="13"/>
  <c r="F150" i="18"/>
  <c r="I107" i="18"/>
  <c r="I34" i="18"/>
  <c r="I106" i="18"/>
  <c r="I120" i="18"/>
  <c r="I96" i="18"/>
  <c r="I95" i="18"/>
  <c r="I111" i="18"/>
  <c r="I98" i="18"/>
  <c r="I94" i="18"/>
  <c r="I108" i="18"/>
  <c r="I110" i="18"/>
  <c r="I102" i="18"/>
  <c r="I119" i="18"/>
  <c r="I116" i="18"/>
  <c r="I109" i="18"/>
  <c r="I124" i="18"/>
  <c r="I99" i="18"/>
  <c r="I105" i="18"/>
  <c r="I122" i="18"/>
  <c r="I104" i="18"/>
  <c r="I97" i="18"/>
  <c r="I101" i="18"/>
  <c r="I123" i="18"/>
  <c r="I100" i="18"/>
  <c r="J142" i="18"/>
  <c r="J150" i="18" s="1"/>
  <c r="K150" i="18" s="1"/>
  <c r="J59" i="18"/>
  <c r="J103" i="18" s="1"/>
  <c r="H17" i="18"/>
  <c r="J102" i="13"/>
  <c r="L1409" i="13"/>
  <c r="L1408" i="13"/>
  <c r="L50" i="34"/>
  <c r="G30" i="18"/>
  <c r="K1081" i="13"/>
  <c r="K1182" i="13" s="1"/>
  <c r="H16" i="18"/>
  <c r="J1067" i="13"/>
  <c r="E12" i="18"/>
  <c r="G1372" i="13"/>
  <c r="J12" i="18"/>
  <c r="L1372" i="13"/>
  <c r="C302" i="13"/>
  <c r="I268" i="13"/>
  <c r="I31" i="18"/>
  <c r="C308" i="13"/>
  <c r="C307" i="13"/>
  <c r="C296" i="13"/>
  <c r="I902" i="13"/>
  <c r="C306" i="13"/>
  <c r="C305" i="13"/>
  <c r="C304" i="13"/>
  <c r="C303" i="13"/>
  <c r="C301" i="13"/>
  <c r="J752" i="13"/>
  <c r="U752" i="13" s="1"/>
  <c r="I1023" i="13"/>
  <c r="H870" i="13"/>
  <c r="J166" i="13"/>
  <c r="C319" i="13"/>
  <c r="I1081" i="13"/>
  <c r="I1182" i="13" s="1"/>
  <c r="J614" i="13"/>
  <c r="C316" i="13"/>
  <c r="J613" i="13"/>
  <c r="C315" i="13"/>
  <c r="J616" i="13"/>
  <c r="C318" i="13"/>
  <c r="J615" i="13"/>
  <c r="C317" i="13"/>
  <c r="I619" i="13"/>
  <c r="J617" i="13"/>
  <c r="I16" i="18"/>
  <c r="M103" i="13"/>
  <c r="J321" i="13"/>
  <c r="J926" i="13" s="1"/>
  <c r="I595" i="13"/>
  <c r="J309" i="13"/>
  <c r="J453" i="13"/>
  <c r="J465" i="13" s="1"/>
  <c r="G18" i="18"/>
  <c r="G23" i="18" s="1"/>
  <c r="C288" i="13"/>
  <c r="J297" i="13"/>
  <c r="H29" i="18" s="1"/>
  <c r="C300" i="13"/>
  <c r="K166" i="13"/>
  <c r="I912" i="13"/>
  <c r="I605" i="13"/>
  <c r="J18" i="18"/>
  <c r="J31" i="18"/>
  <c r="L32" i="34"/>
  <c r="H30" i="45"/>
  <c r="D30" i="45" s="1"/>
  <c r="D22" i="45"/>
  <c r="I118" i="18"/>
  <c r="I157" i="18"/>
  <c r="G118" i="18"/>
  <c r="G157" i="18"/>
  <c r="F118" i="18"/>
  <c r="F157" i="18"/>
  <c r="N97" i="38"/>
  <c r="N95" i="38"/>
  <c r="N99" i="38"/>
  <c r="N96" i="38"/>
  <c r="K95" i="38"/>
  <c r="K97" i="38"/>
  <c r="K99" i="38"/>
  <c r="K96" i="38"/>
  <c r="H97" i="38"/>
  <c r="H95" i="38"/>
  <c r="H96" i="38"/>
  <c r="H99" i="38"/>
  <c r="H94" i="38"/>
  <c r="G100" i="38"/>
  <c r="K94" i="38"/>
  <c r="N94" i="38"/>
  <c r="G123" i="18"/>
  <c r="G122" i="18"/>
  <c r="G124" i="18"/>
  <c r="G116" i="18"/>
  <c r="G120" i="18"/>
  <c r="G119" i="18"/>
  <c r="C43" i="18"/>
  <c r="C134" i="18"/>
  <c r="J283" i="13"/>
  <c r="J278" i="13"/>
  <c r="I285" i="13"/>
  <c r="G22" i="18"/>
  <c r="G27" i="18"/>
  <c r="G25" i="18"/>
  <c r="G28" i="18"/>
  <c r="G31" i="18"/>
  <c r="H21" i="18"/>
  <c r="C21" i="18" s="1"/>
  <c r="H24" i="18"/>
  <c r="C24" i="18" s="1"/>
  <c r="G95" i="18"/>
  <c r="H150" i="18"/>
  <c r="H59" i="18"/>
  <c r="K68" i="18"/>
  <c r="K157" i="18" s="1"/>
  <c r="G111" i="18"/>
  <c r="G103" i="18"/>
  <c r="G107" i="18"/>
  <c r="G105" i="18"/>
  <c r="G104" i="18"/>
  <c r="G110" i="18"/>
  <c r="G109" i="18"/>
  <c r="G106" i="18"/>
  <c r="G102" i="18"/>
  <c r="G108" i="18"/>
  <c r="G98" i="18"/>
  <c r="G97" i="18"/>
  <c r="G96" i="18"/>
  <c r="G101" i="18"/>
  <c r="G99" i="18"/>
  <c r="G94" i="18"/>
  <c r="G100" i="18"/>
  <c r="H93" i="38"/>
  <c r="H92" i="38"/>
  <c r="H91" i="38"/>
  <c r="H90" i="38"/>
  <c r="H89" i="38"/>
  <c r="H88" i="38"/>
  <c r="H87" i="38"/>
  <c r="H86" i="38"/>
  <c r="H85" i="38"/>
  <c r="H84" i="38"/>
  <c r="K93" i="38"/>
  <c r="K92" i="38"/>
  <c r="K91" i="38"/>
  <c r="K90" i="38"/>
  <c r="K89" i="38"/>
  <c r="K88" i="38"/>
  <c r="K87" i="38"/>
  <c r="K86" i="38"/>
  <c r="K85" i="38"/>
  <c r="K84" i="38"/>
  <c r="N93" i="38"/>
  <c r="N92" i="38"/>
  <c r="N91" i="38"/>
  <c r="N90" i="38"/>
  <c r="N89" i="38"/>
  <c r="N88" i="38"/>
  <c r="N87" i="38"/>
  <c r="N86" i="38"/>
  <c r="N85" i="38"/>
  <c r="N84" i="38"/>
  <c r="D15" i="38"/>
  <c r="E30" i="38"/>
  <c r="E98" i="38" s="1"/>
  <c r="I736" i="13"/>
  <c r="I583" i="13"/>
  <c r="I890" i="13"/>
  <c r="J1199" i="13"/>
  <c r="J733" i="13"/>
  <c r="U733" i="13" s="1"/>
  <c r="J579" i="13"/>
  <c r="J886" i="13"/>
  <c r="J575" i="13"/>
  <c r="J729" i="13"/>
  <c r="U729" i="13" s="1"/>
  <c r="J882" i="13"/>
  <c r="J898" i="13"/>
  <c r="J591" i="13"/>
  <c r="J744" i="13"/>
  <c r="U744" i="13" s="1"/>
  <c r="J726" i="13"/>
  <c r="U726" i="13" s="1"/>
  <c r="J879" i="13"/>
  <c r="J572" i="13"/>
  <c r="J1043" i="13"/>
  <c r="J590" i="13"/>
  <c r="J897" i="13"/>
  <c r="J743" i="13"/>
  <c r="U743" i="13" s="1"/>
  <c r="J734" i="13"/>
  <c r="U734" i="13" s="1"/>
  <c r="J580" i="13"/>
  <c r="J887" i="13"/>
  <c r="J739" i="13"/>
  <c r="J586" i="13"/>
  <c r="J893" i="13"/>
  <c r="J732" i="13"/>
  <c r="U732" i="13" s="1"/>
  <c r="J885" i="13"/>
  <c r="J578" i="13"/>
  <c r="J740" i="13"/>
  <c r="U740" i="13" s="1"/>
  <c r="J587" i="13"/>
  <c r="J894" i="13"/>
  <c r="J899" i="13"/>
  <c r="J745" i="13"/>
  <c r="U745" i="13" s="1"/>
  <c r="J592" i="13"/>
  <c r="J775" i="13"/>
  <c r="U775" i="13" s="1"/>
  <c r="J928" i="13"/>
  <c r="J621" i="13"/>
  <c r="J725" i="13"/>
  <c r="U725" i="13" s="1"/>
  <c r="J878" i="13"/>
  <c r="J571" i="13"/>
  <c r="J589" i="13"/>
  <c r="J742" i="13"/>
  <c r="U742" i="13" s="1"/>
  <c r="J896" i="13"/>
  <c r="J727" i="13"/>
  <c r="U727" i="13" s="1"/>
  <c r="J880" i="13"/>
  <c r="J573" i="13"/>
  <c r="J728" i="13"/>
  <c r="U728" i="13" s="1"/>
  <c r="J574" i="13"/>
  <c r="J881" i="13"/>
  <c r="J781" i="13"/>
  <c r="U781" i="13" s="1"/>
  <c r="J934" i="13"/>
  <c r="J627" i="13"/>
  <c r="J746" i="13"/>
  <c r="U746" i="13" s="1"/>
  <c r="J593" i="13"/>
  <c r="J900" i="13"/>
  <c r="J441" i="13"/>
  <c r="J588" i="13"/>
  <c r="J741" i="13"/>
  <c r="U741" i="13" s="1"/>
  <c r="J895" i="13"/>
  <c r="I566" i="13"/>
  <c r="J682" i="13"/>
  <c r="J836" i="13"/>
  <c r="U836" i="13" s="1"/>
  <c r="J989" i="13"/>
  <c r="J563" i="13"/>
  <c r="J858" i="13"/>
  <c r="U858" i="13" s="1"/>
  <c r="J1011" i="13"/>
  <c r="J704" i="13"/>
  <c r="J946" i="13"/>
  <c r="J639" i="13"/>
  <c r="J793" i="13"/>
  <c r="U793" i="13" s="1"/>
  <c r="J828" i="13"/>
  <c r="U828" i="13" s="1"/>
  <c r="J981" i="13"/>
  <c r="J674" i="13"/>
  <c r="J693" i="13"/>
  <c r="J847" i="13"/>
  <c r="U847" i="13" s="1"/>
  <c r="J1000" i="13"/>
  <c r="J868" i="13"/>
  <c r="U868" i="13" s="1"/>
  <c r="J1021" i="13"/>
  <c r="J714" i="13"/>
  <c r="J643" i="13"/>
  <c r="J797" i="13"/>
  <c r="U797" i="13" s="1"/>
  <c r="J950" i="13"/>
  <c r="J840" i="13"/>
  <c r="U840" i="13" s="1"/>
  <c r="J993" i="13"/>
  <c r="J686" i="13"/>
  <c r="J779" i="13"/>
  <c r="U779" i="13" s="1"/>
  <c r="J932" i="13"/>
  <c r="J625" i="13"/>
  <c r="J830" i="13"/>
  <c r="U830" i="13" s="1"/>
  <c r="J983" i="13"/>
  <c r="J676" i="13"/>
  <c r="J829" i="13"/>
  <c r="U829" i="13" s="1"/>
  <c r="J982" i="13"/>
  <c r="J675" i="13"/>
  <c r="J960" i="13"/>
  <c r="J653" i="13"/>
  <c r="J807" i="13"/>
  <c r="U807" i="13" s="1"/>
  <c r="J964" i="13"/>
  <c r="J811" i="13"/>
  <c r="U811" i="13" s="1"/>
  <c r="J657" i="13"/>
  <c r="J803" i="13"/>
  <c r="U803" i="13" s="1"/>
  <c r="J649" i="13"/>
  <c r="J956" i="13"/>
  <c r="J850" i="13"/>
  <c r="U850" i="13" s="1"/>
  <c r="J1003" i="13"/>
  <c r="J696" i="13"/>
  <c r="J603" i="13"/>
  <c r="J910" i="13"/>
  <c r="J942" i="13"/>
  <c r="J789" i="13"/>
  <c r="U789" i="13" s="1"/>
  <c r="J635" i="13"/>
  <c r="J936" i="13"/>
  <c r="J783" i="13"/>
  <c r="U783" i="13" s="1"/>
  <c r="J629" i="13"/>
  <c r="J911" i="13"/>
  <c r="J604" i="13"/>
  <c r="J785" i="13"/>
  <c r="U785" i="13" s="1"/>
  <c r="J631" i="13"/>
  <c r="J938" i="13"/>
  <c r="J688" i="13"/>
  <c r="J842" i="13"/>
  <c r="U842" i="13" s="1"/>
  <c r="J995" i="13"/>
  <c r="J867" i="13"/>
  <c r="U867" i="13" s="1"/>
  <c r="J713" i="13"/>
  <c r="J1020" i="13"/>
  <c r="J694" i="13"/>
  <c r="J848" i="13"/>
  <c r="U848" i="13" s="1"/>
  <c r="J1001" i="13"/>
  <c r="J1007" i="13"/>
  <c r="J854" i="13"/>
  <c r="U854" i="13" s="1"/>
  <c r="J700" i="13"/>
  <c r="J669" i="13"/>
  <c r="J976" i="13"/>
  <c r="J823" i="13"/>
  <c r="U823" i="13" s="1"/>
  <c r="J849" i="13"/>
  <c r="U849" i="13" s="1"/>
  <c r="J1002" i="13"/>
  <c r="J695" i="13"/>
  <c r="J906" i="13"/>
  <c r="J599" i="13"/>
  <c r="J646" i="13"/>
  <c r="J953" i="13"/>
  <c r="J800" i="13"/>
  <c r="U800" i="13" s="1"/>
  <c r="J994" i="13"/>
  <c r="J687" i="13"/>
  <c r="J841" i="13"/>
  <c r="U841" i="13" s="1"/>
  <c r="J824" i="13"/>
  <c r="U824" i="13" s="1"/>
  <c r="J670" i="13"/>
  <c r="J977" i="13"/>
  <c r="J692" i="13"/>
  <c r="J999" i="13"/>
  <c r="J846" i="13"/>
  <c r="U846" i="13" s="1"/>
  <c r="J667" i="13"/>
  <c r="J974" i="13"/>
  <c r="J821" i="13"/>
  <c r="U821" i="13" s="1"/>
  <c r="J633" i="13"/>
  <c r="J940" i="13"/>
  <c r="J787" i="13"/>
  <c r="U787" i="13" s="1"/>
  <c r="J905" i="13"/>
  <c r="J598" i="13"/>
  <c r="J987" i="13"/>
  <c r="J834" i="13"/>
  <c r="U834" i="13" s="1"/>
  <c r="J680" i="13"/>
  <c r="J645" i="13"/>
  <c r="J799" i="13"/>
  <c r="U799" i="13" s="1"/>
  <c r="J952" i="13"/>
  <c r="J689" i="13"/>
  <c r="J843" i="13"/>
  <c r="U843" i="13" s="1"/>
  <c r="J996" i="13"/>
  <c r="J792" i="13"/>
  <c r="U792" i="13" s="1"/>
  <c r="J638" i="13"/>
  <c r="J945" i="13"/>
  <c r="J975" i="13"/>
  <c r="J822" i="13"/>
  <c r="U822" i="13" s="1"/>
  <c r="J668" i="13"/>
  <c r="J681" i="13"/>
  <c r="J988" i="13"/>
  <c r="J835" i="13"/>
  <c r="U835" i="13" s="1"/>
  <c r="J671" i="13"/>
  <c r="J978" i="13"/>
  <c r="J825" i="13"/>
  <c r="U825" i="13" s="1"/>
  <c r="J901" i="13"/>
  <c r="J594" i="13"/>
  <c r="J710" i="13"/>
  <c r="J1017" i="13"/>
  <c r="J864" i="13"/>
  <c r="U864" i="13" s="1"/>
  <c r="J944" i="13"/>
  <c r="J791" i="13"/>
  <c r="U791" i="13" s="1"/>
  <c r="J637" i="13"/>
  <c r="J810" i="13"/>
  <c r="U810" i="13" s="1"/>
  <c r="J656" i="13"/>
  <c r="J963" i="13"/>
  <c r="J798" i="13"/>
  <c r="U798" i="13" s="1"/>
  <c r="J951" i="13"/>
  <c r="J644" i="13"/>
  <c r="J966" i="13"/>
  <c r="J659" i="13"/>
  <c r="J813" i="13"/>
  <c r="U813" i="13" s="1"/>
  <c r="J912" i="13"/>
  <c r="J605" i="13"/>
  <c r="J970" i="13"/>
  <c r="J817" i="13"/>
  <c r="U817" i="13" s="1"/>
  <c r="J663" i="13"/>
  <c r="J826" i="13"/>
  <c r="U826" i="13" s="1"/>
  <c r="J979" i="13"/>
  <c r="J672" i="13"/>
  <c r="J1179" i="13"/>
  <c r="J985" i="13"/>
  <c r="J678" i="13"/>
  <c r="J832" i="13"/>
  <c r="U832" i="13" s="1"/>
  <c r="J861" i="13"/>
  <c r="U861" i="13" s="1"/>
  <c r="J707" i="13"/>
  <c r="J1014" i="13"/>
  <c r="J684" i="13"/>
  <c r="J838" i="13"/>
  <c r="U838" i="13" s="1"/>
  <c r="J991" i="13"/>
  <c r="J780" i="13"/>
  <c r="U780" i="13" s="1"/>
  <c r="J933" i="13"/>
  <c r="J626" i="13"/>
  <c r="J941" i="13"/>
  <c r="J788" i="13"/>
  <c r="U788" i="13" s="1"/>
  <c r="J634" i="13"/>
  <c r="J972" i="13"/>
  <c r="J665" i="13"/>
  <c r="J819" i="13"/>
  <c r="U819" i="13" s="1"/>
  <c r="J852" i="13"/>
  <c r="U852" i="13" s="1"/>
  <c r="J1005" i="13"/>
  <c r="J698" i="13"/>
  <c r="J818" i="13"/>
  <c r="U818" i="13" s="1"/>
  <c r="J664" i="13"/>
  <c r="J971" i="13"/>
  <c r="J997" i="13"/>
  <c r="J690" i="13"/>
  <c r="J844" i="13"/>
  <c r="U844" i="13" s="1"/>
  <c r="J786" i="13"/>
  <c r="U786" i="13" s="1"/>
  <c r="J939" i="13"/>
  <c r="J632" i="13"/>
  <c r="J948" i="13"/>
  <c r="J795" i="13"/>
  <c r="U795" i="13" s="1"/>
  <c r="J641" i="13"/>
  <c r="J855" i="13"/>
  <c r="U855" i="13" s="1"/>
  <c r="J1008" i="13"/>
  <c r="J701" i="13"/>
  <c r="J865" i="13"/>
  <c r="U865" i="13" s="1"/>
  <c r="J1018" i="13"/>
  <c r="J711" i="13"/>
  <c r="J1013" i="13"/>
  <c r="J706" i="13"/>
  <c r="J860" i="13"/>
  <c r="U860" i="13" s="1"/>
  <c r="J831" i="13"/>
  <c r="U831" i="13" s="1"/>
  <c r="J984" i="13"/>
  <c r="J677" i="13"/>
  <c r="J962" i="13"/>
  <c r="J655" i="13"/>
  <c r="J809" i="13"/>
  <c r="U809" i="13" s="1"/>
  <c r="J647" i="13"/>
  <c r="J801" i="13"/>
  <c r="U801" i="13" s="1"/>
  <c r="J954" i="13"/>
  <c r="J776" i="13"/>
  <c r="U776" i="13" s="1"/>
  <c r="J622" i="13"/>
  <c r="J929" i="13"/>
  <c r="J418" i="13"/>
  <c r="J958" i="13"/>
  <c r="J805" i="13"/>
  <c r="U805" i="13" s="1"/>
  <c r="J651" i="13"/>
  <c r="J1019" i="13"/>
  <c r="J712" i="13"/>
  <c r="J866" i="13"/>
  <c r="U866" i="13" s="1"/>
  <c r="J930" i="13"/>
  <c r="J777" i="13"/>
  <c r="U777" i="13" s="1"/>
  <c r="J623" i="13"/>
  <c r="J600" i="13"/>
  <c r="J907" i="13"/>
  <c r="J602" i="13"/>
  <c r="J909" i="13"/>
  <c r="J859" i="13"/>
  <c r="U859" i="13" s="1"/>
  <c r="J1012" i="13"/>
  <c r="J705" i="13"/>
  <c r="J601" i="13"/>
  <c r="J908" i="13"/>
  <c r="J947" i="13"/>
  <c r="J794" i="13"/>
  <c r="U794" i="13" s="1"/>
  <c r="J640" i="13"/>
  <c r="J661" i="13"/>
  <c r="J968" i="13"/>
  <c r="J815" i="13"/>
  <c r="U815" i="13" s="1"/>
  <c r="J699" i="13"/>
  <c r="J853" i="13"/>
  <c r="U853" i="13" s="1"/>
  <c r="J1006" i="13"/>
  <c r="J702" i="13"/>
  <c r="J856" i="13"/>
  <c r="U856" i="13" s="1"/>
  <c r="J1009" i="13"/>
  <c r="J708" i="13"/>
  <c r="J1015" i="13"/>
  <c r="J862" i="13"/>
  <c r="U862" i="13" s="1"/>
  <c r="J957" i="13"/>
  <c r="J650" i="13"/>
  <c r="J804" i="13"/>
  <c r="U804" i="13" s="1"/>
  <c r="J662" i="13"/>
  <c r="J969" i="13"/>
  <c r="J816" i="13"/>
  <c r="U816" i="13" s="1"/>
  <c r="J990" i="13"/>
  <c r="J683" i="13"/>
  <c r="J837" i="13"/>
  <c r="U837" i="13" s="1"/>
  <c r="J935" i="13"/>
  <c r="J628" i="13"/>
  <c r="J782" i="13"/>
  <c r="U782" i="13" s="1"/>
  <c r="J652" i="13"/>
  <c r="J806" i="13"/>
  <c r="U806" i="13" s="1"/>
  <c r="J959" i="13"/>
  <c r="J965" i="13"/>
  <c r="J658" i="13"/>
  <c r="J812" i="13"/>
  <c r="U812" i="13" s="1"/>
  <c r="H1026" i="13"/>
  <c r="H719" i="13"/>
  <c r="J1237" i="13" l="1"/>
  <c r="K1338" i="13"/>
  <c r="J101" i="13"/>
  <c r="J103" i="13" s="1"/>
  <c r="J1338" i="13"/>
  <c r="J1341" i="13" s="1"/>
  <c r="I914" i="13"/>
  <c r="I1026" i="13" s="1"/>
  <c r="B35" i="38"/>
  <c r="C283" i="13"/>
  <c r="U735" i="13"/>
  <c r="T736" i="13"/>
  <c r="I421" i="13"/>
  <c r="T874" i="13" s="1"/>
  <c r="T737" i="13"/>
  <c r="C278" i="13"/>
  <c r="F278" i="13"/>
  <c r="J279" i="13"/>
  <c r="U731" i="13" s="1"/>
  <c r="U730" i="13"/>
  <c r="S870" i="13"/>
  <c r="S871" i="13"/>
  <c r="S872" i="13" s="1"/>
  <c r="U739" i="13"/>
  <c r="J748" i="13"/>
  <c r="J118" i="18"/>
  <c r="H873" i="13"/>
  <c r="S875" i="13" s="1"/>
  <c r="I772" i="13"/>
  <c r="T772" i="13" s="1"/>
  <c r="J760" i="13"/>
  <c r="H30" i="18"/>
  <c r="J124" i="18"/>
  <c r="J104" i="18"/>
  <c r="J119" i="18"/>
  <c r="J101" i="18"/>
  <c r="J106" i="18"/>
  <c r="J99" i="18"/>
  <c r="J120" i="18"/>
  <c r="J102" i="18"/>
  <c r="J95" i="18"/>
  <c r="K59" i="18"/>
  <c r="K118" i="18" s="1"/>
  <c r="J109" i="18"/>
  <c r="J108" i="18"/>
  <c r="J105" i="18"/>
  <c r="J96" i="18"/>
  <c r="J98" i="18"/>
  <c r="J123" i="18"/>
  <c r="J97" i="18"/>
  <c r="J122" i="18"/>
  <c r="J100" i="18"/>
  <c r="J94" i="18"/>
  <c r="J116" i="18"/>
  <c r="J111" i="18"/>
  <c r="J107" i="18"/>
  <c r="J110" i="18"/>
  <c r="J34" i="18"/>
  <c r="C142" i="18"/>
  <c r="C150" i="18" s="1"/>
  <c r="K268" i="13"/>
  <c r="K101" i="13"/>
  <c r="K1398" i="13" s="1"/>
  <c r="M1409" i="13"/>
  <c r="M1408" i="13"/>
  <c r="M1411" i="13"/>
  <c r="M50" i="34"/>
  <c r="M29" i="34"/>
  <c r="M23" i="34"/>
  <c r="M47" i="34"/>
  <c r="C16" i="18"/>
  <c r="I30" i="18"/>
  <c r="K12" i="18"/>
  <c r="M1372" i="13"/>
  <c r="J268" i="13"/>
  <c r="C297" i="13"/>
  <c r="J1023" i="13"/>
  <c r="I870" i="13"/>
  <c r="I716" i="13"/>
  <c r="C321" i="13"/>
  <c r="J619" i="13"/>
  <c r="J716" i="13" s="1"/>
  <c r="C309" i="13"/>
  <c r="J1081" i="13"/>
  <c r="J1182" i="13" s="1"/>
  <c r="I18" i="18"/>
  <c r="I32" i="18" s="1"/>
  <c r="I607" i="13"/>
  <c r="C15" i="18"/>
  <c r="J595" i="13"/>
  <c r="J607" i="13" s="1"/>
  <c r="J902" i="13"/>
  <c r="J914" i="13" s="1"/>
  <c r="H1370" i="13"/>
  <c r="B38" i="38" s="1"/>
  <c r="C38" i="38" s="1"/>
  <c r="C418" i="13"/>
  <c r="D30" i="38"/>
  <c r="D94" i="38" s="1"/>
  <c r="C15" i="38"/>
  <c r="K31" i="18"/>
  <c r="K18" i="18"/>
  <c r="M32" i="34"/>
  <c r="J13" i="18"/>
  <c r="J39" i="18" s="1"/>
  <c r="J32" i="18"/>
  <c r="J19" i="18"/>
  <c r="J23" i="18"/>
  <c r="J26" i="18"/>
  <c r="C17" i="18"/>
  <c r="I103" i="13"/>
  <c r="F18" i="18"/>
  <c r="C68" i="18"/>
  <c r="C157" i="18"/>
  <c r="E95" i="38"/>
  <c r="E99" i="38"/>
  <c r="E96" i="38"/>
  <c r="E97" i="38"/>
  <c r="N100" i="38"/>
  <c r="E94" i="38"/>
  <c r="H100" i="38"/>
  <c r="K100" i="38"/>
  <c r="H123" i="18"/>
  <c r="H124" i="18"/>
  <c r="H122" i="18"/>
  <c r="H116" i="18"/>
  <c r="H120" i="18"/>
  <c r="H119" i="18"/>
  <c r="H118" i="18"/>
  <c r="H31" i="18"/>
  <c r="J285" i="13"/>
  <c r="J421" i="13" s="1"/>
  <c r="U874" i="13" s="1"/>
  <c r="G26" i="18"/>
  <c r="G32" i="18"/>
  <c r="G19" i="18"/>
  <c r="H22" i="18"/>
  <c r="C22" i="18" s="1"/>
  <c r="H27" i="18"/>
  <c r="C27" i="18" s="1"/>
  <c r="H25" i="18"/>
  <c r="C25" i="18" s="1"/>
  <c r="H28" i="18"/>
  <c r="C28" i="18" s="1"/>
  <c r="H18" i="18"/>
  <c r="H32" i="18" s="1"/>
  <c r="H95" i="18"/>
  <c r="H34" i="18"/>
  <c r="C59" i="18"/>
  <c r="D73" i="18" s="1"/>
  <c r="H111" i="18"/>
  <c r="H103" i="18"/>
  <c r="H107" i="18"/>
  <c r="H105" i="18"/>
  <c r="H109" i="18"/>
  <c r="H110" i="18"/>
  <c r="H104" i="18"/>
  <c r="H102" i="18"/>
  <c r="H98" i="18"/>
  <c r="H96" i="18"/>
  <c r="H100" i="18"/>
  <c r="H108" i="18"/>
  <c r="H99" i="18"/>
  <c r="H106" i="18"/>
  <c r="H97" i="18"/>
  <c r="H101" i="18"/>
  <c r="H94" i="18"/>
  <c r="E31" i="38"/>
  <c r="F31" i="38" s="1"/>
  <c r="G31" i="38" s="1"/>
  <c r="H31" i="38" s="1"/>
  <c r="I31" i="38" s="1"/>
  <c r="J31" i="38" s="1"/>
  <c r="K31" i="38" s="1"/>
  <c r="L31" i="38" s="1"/>
  <c r="M31" i="38" s="1"/>
  <c r="N31" i="38" s="1"/>
  <c r="O31" i="38" s="1"/>
  <c r="P31" i="38" s="1"/>
  <c r="E93" i="38"/>
  <c r="E92" i="38"/>
  <c r="E91" i="38"/>
  <c r="E90" i="38"/>
  <c r="E89" i="38"/>
  <c r="E88" i="38"/>
  <c r="E86" i="38"/>
  <c r="E85" i="38"/>
  <c r="E87" i="38"/>
  <c r="E84" i="38"/>
  <c r="D35" i="38"/>
  <c r="J583" i="13"/>
  <c r="J736" i="13"/>
  <c r="J890" i="13"/>
  <c r="D47" i="38"/>
  <c r="C47" i="38" s="1"/>
  <c r="J566" i="13"/>
  <c r="C35" i="38" l="1"/>
  <c r="J1398" i="13"/>
  <c r="K1341" i="13"/>
  <c r="K1343" i="13" s="1"/>
  <c r="K1344" i="13" s="1"/>
  <c r="I1370" i="13"/>
  <c r="T871" i="13"/>
  <c r="T872" i="13" s="1"/>
  <c r="I873" i="13"/>
  <c r="U748" i="13"/>
  <c r="J737" i="13"/>
  <c r="U737" i="13" s="1"/>
  <c r="U736" i="13"/>
  <c r="C30" i="18"/>
  <c r="T870" i="13"/>
  <c r="J772" i="13"/>
  <c r="U772" i="13" s="1"/>
  <c r="U760" i="13"/>
  <c r="H1343" i="13"/>
  <c r="H1344" i="13" s="1"/>
  <c r="S873" i="13"/>
  <c r="K103" i="13"/>
  <c r="K1408" i="13" s="1"/>
  <c r="K102" i="18"/>
  <c r="K119" i="18"/>
  <c r="K124" i="18"/>
  <c r="K104" i="18"/>
  <c r="K96" i="18"/>
  <c r="K100" i="18"/>
  <c r="K120" i="18"/>
  <c r="K105" i="18"/>
  <c r="K106" i="18"/>
  <c r="K34" i="18"/>
  <c r="C34" i="18" s="1"/>
  <c r="K94" i="18"/>
  <c r="K97" i="18"/>
  <c r="K111" i="18"/>
  <c r="K101" i="18"/>
  <c r="K110" i="18"/>
  <c r="K122" i="18"/>
  <c r="K107" i="18"/>
  <c r="K99" i="18"/>
  <c r="K116" i="18"/>
  <c r="K123" i="18"/>
  <c r="K109" i="18"/>
  <c r="K108" i="18"/>
  <c r="K98" i="18"/>
  <c r="K95" i="18"/>
  <c r="K103" i="18"/>
  <c r="I1372" i="13"/>
  <c r="I1409" i="13"/>
  <c r="I1408" i="13"/>
  <c r="I50" i="34"/>
  <c r="J1409" i="13"/>
  <c r="J1408" i="13"/>
  <c r="J1411" i="13"/>
  <c r="J47" i="34"/>
  <c r="M48" i="34" s="1"/>
  <c r="J23" i="34"/>
  <c r="J50" i="34"/>
  <c r="J29" i="34"/>
  <c r="M30" i="34" s="1"/>
  <c r="I719" i="13"/>
  <c r="H12" i="18"/>
  <c r="H13" i="18" s="1"/>
  <c r="H39" i="18" s="1"/>
  <c r="J1372" i="13"/>
  <c r="D87" i="38"/>
  <c r="D95" i="38"/>
  <c r="J870" i="13"/>
  <c r="U871" i="13" s="1"/>
  <c r="U872" i="13" s="1"/>
  <c r="J32" i="34"/>
  <c r="C29" i="18"/>
  <c r="I26" i="18"/>
  <c r="I23" i="18"/>
  <c r="I19" i="18"/>
  <c r="G12" i="18"/>
  <c r="P139" i="38" s="1"/>
  <c r="D99" i="38"/>
  <c r="D92" i="38"/>
  <c r="D91" i="38"/>
  <c r="D93" i="38"/>
  <c r="P32" i="38"/>
  <c r="D86" i="38"/>
  <c r="D90" i="38"/>
  <c r="C30" i="38"/>
  <c r="C31" i="38" s="1"/>
  <c r="D98" i="38"/>
  <c r="D88" i="38"/>
  <c r="D84" i="38"/>
  <c r="D97" i="38"/>
  <c r="D89" i="38"/>
  <c r="D85" i="38"/>
  <c r="D96" i="38"/>
  <c r="L1588" i="13"/>
  <c r="J62" i="18" s="1"/>
  <c r="K13" i="18"/>
  <c r="K39" i="18" s="1"/>
  <c r="M1588" i="13"/>
  <c r="K62" i="18" s="1"/>
  <c r="K26" i="18"/>
  <c r="K19" i="18"/>
  <c r="K32" i="18"/>
  <c r="K23" i="18"/>
  <c r="C31" i="18"/>
  <c r="F32" i="18"/>
  <c r="F23" i="18"/>
  <c r="F26" i="18"/>
  <c r="F19" i="18"/>
  <c r="I32" i="34"/>
  <c r="D70" i="18"/>
  <c r="D67" i="18"/>
  <c r="C18" i="18"/>
  <c r="K101" i="38"/>
  <c r="H101" i="38"/>
  <c r="G101" i="38"/>
  <c r="F101" i="38"/>
  <c r="E100" i="38"/>
  <c r="I101" i="38"/>
  <c r="M101" i="38"/>
  <c r="E101" i="38"/>
  <c r="L101" i="38"/>
  <c r="J101" i="38"/>
  <c r="P101" i="38"/>
  <c r="O101" i="38"/>
  <c r="N101" i="38"/>
  <c r="C124" i="18"/>
  <c r="C123" i="18"/>
  <c r="C122" i="18"/>
  <c r="C116" i="18"/>
  <c r="C119" i="18"/>
  <c r="C118" i="18"/>
  <c r="C120" i="18"/>
  <c r="C285" i="13"/>
  <c r="G32" i="38"/>
  <c r="L32" i="38"/>
  <c r="F32" i="38"/>
  <c r="H23" i="18"/>
  <c r="H26" i="18"/>
  <c r="H19" i="18"/>
  <c r="C95" i="18"/>
  <c r="D95" i="18" s="1"/>
  <c r="J32" i="38"/>
  <c r="K32" i="38"/>
  <c r="I32" i="38"/>
  <c r="N32" i="38"/>
  <c r="O32" i="38"/>
  <c r="M32" i="38"/>
  <c r="E32" i="38"/>
  <c r="H32" i="38"/>
  <c r="D66" i="18"/>
  <c r="C111" i="18"/>
  <c r="D111" i="18" s="1"/>
  <c r="D59" i="18"/>
  <c r="C103" i="18"/>
  <c r="D103" i="18" s="1"/>
  <c r="D51" i="18"/>
  <c r="C107" i="18"/>
  <c r="D107" i="18" s="1"/>
  <c r="D55" i="18"/>
  <c r="C105" i="18"/>
  <c r="D105" i="18" s="1"/>
  <c r="D52" i="18"/>
  <c r="D53" i="18"/>
  <c r="C110" i="18"/>
  <c r="D110" i="18" s="1"/>
  <c r="D58" i="18"/>
  <c r="C109" i="18"/>
  <c r="D109" i="18" s="1"/>
  <c r="C104" i="18"/>
  <c r="D104" i="18" s="1"/>
  <c r="D57" i="18"/>
  <c r="C99" i="18"/>
  <c r="D99" i="18" s="1"/>
  <c r="C102" i="18"/>
  <c r="D102" i="18" s="1"/>
  <c r="C98" i="18"/>
  <c r="D98" i="18" s="1"/>
  <c r="D46" i="18"/>
  <c r="D49" i="18"/>
  <c r="D45" i="18"/>
  <c r="C96" i="18"/>
  <c r="D96" i="18" s="1"/>
  <c r="C108" i="18"/>
  <c r="D108" i="18" s="1"/>
  <c r="D50" i="18"/>
  <c r="D56" i="18"/>
  <c r="C100" i="18"/>
  <c r="D100" i="18" s="1"/>
  <c r="D47" i="18"/>
  <c r="C101" i="18"/>
  <c r="D101" i="18" s="1"/>
  <c r="C97" i="18"/>
  <c r="D97" i="18" s="1"/>
  <c r="C106" i="18"/>
  <c r="D106" i="18" s="1"/>
  <c r="D48" i="18"/>
  <c r="D44" i="18"/>
  <c r="D54" i="18"/>
  <c r="D69" i="18"/>
  <c r="C94" i="18"/>
  <c r="D94" i="18" s="1"/>
  <c r="D42" i="18"/>
  <c r="D43" i="18"/>
  <c r="J1026" i="13"/>
  <c r="J719" i="13"/>
  <c r="J873" i="13" l="1"/>
  <c r="T873" i="13"/>
  <c r="T875" i="13"/>
  <c r="T876" i="13" s="1"/>
  <c r="S876" i="13"/>
  <c r="V876" i="13"/>
  <c r="X876" i="13"/>
  <c r="W876" i="13"/>
  <c r="B36" i="38"/>
  <c r="U870" i="13"/>
  <c r="L23" i="34"/>
  <c r="L29" i="34"/>
  <c r="K32" i="34"/>
  <c r="I12" i="18"/>
  <c r="I13" i="18" s="1"/>
  <c r="I39" i="18" s="1"/>
  <c r="K23" i="34"/>
  <c r="K1409" i="13"/>
  <c r="K29" i="34"/>
  <c r="L47" i="34"/>
  <c r="K50" i="34"/>
  <c r="K1411" i="13"/>
  <c r="K1372" i="13"/>
  <c r="K1588" i="13" s="1"/>
  <c r="I62" i="18" s="1"/>
  <c r="I153" i="18" s="1"/>
  <c r="L1411" i="13"/>
  <c r="K47" i="34"/>
  <c r="I1343" i="13"/>
  <c r="I1588" i="13" s="1"/>
  <c r="G62" i="18" s="1"/>
  <c r="N139" i="38"/>
  <c r="P138" i="38"/>
  <c r="J138" i="38"/>
  <c r="M139" i="38"/>
  <c r="J137" i="38"/>
  <c r="I138" i="38"/>
  <c r="K137" i="38"/>
  <c r="E138" i="38"/>
  <c r="O138" i="38"/>
  <c r="E137" i="38"/>
  <c r="M138" i="38"/>
  <c r="I137" i="38"/>
  <c r="N138" i="38"/>
  <c r="O139" i="38"/>
  <c r="N137" i="38"/>
  <c r="G139" i="38"/>
  <c r="O137" i="38"/>
  <c r="H139" i="38"/>
  <c r="L137" i="38"/>
  <c r="E139" i="38"/>
  <c r="M137" i="38"/>
  <c r="F139" i="38"/>
  <c r="H137" i="38"/>
  <c r="G138" i="38"/>
  <c r="K139" i="38"/>
  <c r="H138" i="38"/>
  <c r="L139" i="38"/>
  <c r="G13" i="18"/>
  <c r="G39" i="18" s="1"/>
  <c r="P137" i="38"/>
  <c r="I139" i="38"/>
  <c r="F138" i="38"/>
  <c r="J139" i="38"/>
  <c r="F137" i="38"/>
  <c r="K138" i="38"/>
  <c r="G137" i="38"/>
  <c r="L138" i="38"/>
  <c r="C32" i="18"/>
  <c r="D100" i="38"/>
  <c r="C23" i="18"/>
  <c r="J153" i="18"/>
  <c r="J114" i="18"/>
  <c r="C26" i="18"/>
  <c r="C19" i="18"/>
  <c r="M24" i="34"/>
  <c r="J1370" i="13"/>
  <c r="C1370" i="13" s="1"/>
  <c r="C421" i="13"/>
  <c r="E55" i="38"/>
  <c r="E126" i="38" s="1"/>
  <c r="D68" i="18"/>
  <c r="K55" i="38"/>
  <c r="N55" i="38"/>
  <c r="L55" i="38"/>
  <c r="M55" i="38"/>
  <c r="P55" i="38"/>
  <c r="H55" i="38"/>
  <c r="J55" i="38"/>
  <c r="I55" i="38"/>
  <c r="O55" i="38"/>
  <c r="G55" i="38"/>
  <c r="U873" i="13" l="1"/>
  <c r="U875" i="13"/>
  <c r="U876" i="13" s="1"/>
  <c r="J1343" i="13"/>
  <c r="J1588" i="13" s="1"/>
  <c r="H62" i="18" s="1"/>
  <c r="I114" i="18"/>
  <c r="I1344" i="13"/>
  <c r="K153" i="18"/>
  <c r="K114" i="18"/>
  <c r="G114" i="18"/>
  <c r="G153" i="18"/>
  <c r="M110" i="38"/>
  <c r="M114" i="38"/>
  <c r="M118" i="38"/>
  <c r="M122" i="38"/>
  <c r="M109" i="38"/>
  <c r="M113" i="38"/>
  <c r="M117" i="38"/>
  <c r="M121" i="38"/>
  <c r="M107" i="38"/>
  <c r="M108" i="38"/>
  <c r="M112" i="38"/>
  <c r="M116" i="38"/>
  <c r="M120" i="38"/>
  <c r="M111" i="38"/>
  <c r="M115" i="38"/>
  <c r="M119" i="38"/>
  <c r="M123" i="38"/>
  <c r="L109" i="38"/>
  <c r="L113" i="38"/>
  <c r="L117" i="38"/>
  <c r="L121" i="38"/>
  <c r="L108" i="38"/>
  <c r="L112" i="38"/>
  <c r="L116" i="38"/>
  <c r="L120" i="38"/>
  <c r="L110" i="38"/>
  <c r="L114" i="38"/>
  <c r="L107" i="38"/>
  <c r="L111" i="38"/>
  <c r="L115" i="38"/>
  <c r="L119" i="38"/>
  <c r="L123" i="38"/>
  <c r="L118" i="38"/>
  <c r="L122" i="38"/>
  <c r="G108" i="38"/>
  <c r="G112" i="38"/>
  <c r="G116" i="38"/>
  <c r="G120" i="38"/>
  <c r="G117" i="38"/>
  <c r="G107" i="38"/>
  <c r="G111" i="38"/>
  <c r="G115" i="38"/>
  <c r="G119" i="38"/>
  <c r="G123" i="38"/>
  <c r="G109" i="38"/>
  <c r="G113" i="38"/>
  <c r="G121" i="38"/>
  <c r="G110" i="38"/>
  <c r="G114" i="38"/>
  <c r="G118" i="38"/>
  <c r="G122" i="38"/>
  <c r="N107" i="38"/>
  <c r="N111" i="38"/>
  <c r="N115" i="38"/>
  <c r="N119" i="38"/>
  <c r="N123" i="38"/>
  <c r="N112" i="38"/>
  <c r="N110" i="38"/>
  <c r="N114" i="38"/>
  <c r="N118" i="38"/>
  <c r="N122" i="38"/>
  <c r="N116" i="38"/>
  <c r="N109" i="38"/>
  <c r="N113" i="38"/>
  <c r="N117" i="38"/>
  <c r="N121" i="38"/>
  <c r="N108" i="38"/>
  <c r="N120" i="38"/>
  <c r="I110" i="38"/>
  <c r="I114" i="38"/>
  <c r="I118" i="38"/>
  <c r="I122" i="38"/>
  <c r="I119" i="38"/>
  <c r="I109" i="38"/>
  <c r="I113" i="38"/>
  <c r="I117" i="38"/>
  <c r="I121" i="38"/>
  <c r="I111" i="38"/>
  <c r="I115" i="38"/>
  <c r="I123" i="38"/>
  <c r="I108" i="38"/>
  <c r="I112" i="38"/>
  <c r="I116" i="38"/>
  <c r="I120" i="38"/>
  <c r="I107" i="38"/>
  <c r="J107" i="38"/>
  <c r="J111" i="38"/>
  <c r="J115" i="38"/>
  <c r="J119" i="38"/>
  <c r="J123" i="38"/>
  <c r="J120" i="38"/>
  <c r="J110" i="38"/>
  <c r="J114" i="38"/>
  <c r="J118" i="38"/>
  <c r="J122" i="38"/>
  <c r="J108" i="38"/>
  <c r="J109" i="38"/>
  <c r="J113" i="38"/>
  <c r="J117" i="38"/>
  <c r="J121" i="38"/>
  <c r="J112" i="38"/>
  <c r="J116" i="38"/>
  <c r="H109" i="38"/>
  <c r="H113" i="38"/>
  <c r="H117" i="38"/>
  <c r="H121" i="38"/>
  <c r="H118" i="38"/>
  <c r="H108" i="38"/>
  <c r="H112" i="38"/>
  <c r="H116" i="38"/>
  <c r="H120" i="38"/>
  <c r="H122" i="38"/>
  <c r="H107" i="38"/>
  <c r="H111" i="38"/>
  <c r="H115" i="38"/>
  <c r="H119" i="38"/>
  <c r="H123" i="38"/>
  <c r="H110" i="38"/>
  <c r="H114" i="38"/>
  <c r="O108" i="38"/>
  <c r="O112" i="38"/>
  <c r="O116" i="38"/>
  <c r="O120" i="38"/>
  <c r="O121" i="38"/>
  <c r="O107" i="38"/>
  <c r="O111" i="38"/>
  <c r="O115" i="38"/>
  <c r="O119" i="38"/>
  <c r="O123" i="38"/>
  <c r="O109" i="38"/>
  <c r="O113" i="38"/>
  <c r="O117" i="38"/>
  <c r="O110" i="38"/>
  <c r="O114" i="38"/>
  <c r="O118" i="38"/>
  <c r="O122" i="38"/>
  <c r="P109" i="38"/>
  <c r="P113" i="38"/>
  <c r="P117" i="38"/>
  <c r="P121" i="38"/>
  <c r="P122" i="38"/>
  <c r="P108" i="38"/>
  <c r="P112" i="38"/>
  <c r="P116" i="38"/>
  <c r="P120" i="38"/>
  <c r="P118" i="38"/>
  <c r="P107" i="38"/>
  <c r="P111" i="38"/>
  <c r="P115" i="38"/>
  <c r="P119" i="38"/>
  <c r="P123" i="38"/>
  <c r="P110" i="38"/>
  <c r="P114" i="38"/>
  <c r="K108" i="38"/>
  <c r="K112" i="38"/>
  <c r="K116" i="38"/>
  <c r="K120" i="38"/>
  <c r="K107" i="38"/>
  <c r="K111" i="38"/>
  <c r="K115" i="38"/>
  <c r="K119" i="38"/>
  <c r="K123" i="38"/>
  <c r="K110" i="38"/>
  <c r="K114" i="38"/>
  <c r="K118" i="38"/>
  <c r="K122" i="38"/>
  <c r="K109" i="38"/>
  <c r="K113" i="38"/>
  <c r="K117" i="38"/>
  <c r="K121" i="38"/>
  <c r="E110" i="38"/>
  <c r="E114" i="38"/>
  <c r="E118" i="38"/>
  <c r="E122" i="38"/>
  <c r="E107" i="38"/>
  <c r="E111" i="38"/>
  <c r="E115" i="38"/>
  <c r="E119" i="38"/>
  <c r="E123" i="38"/>
  <c r="E108" i="38"/>
  <c r="E112" i="38"/>
  <c r="E116" i="38"/>
  <c r="E120" i="38"/>
  <c r="E109" i="38"/>
  <c r="E113" i="38"/>
  <c r="E117" i="38"/>
  <c r="E121" i="38"/>
  <c r="P106" i="38"/>
  <c r="P124" i="38"/>
  <c r="L106" i="38"/>
  <c r="L124" i="38"/>
  <c r="G106" i="38"/>
  <c r="G124" i="38"/>
  <c r="E106" i="38"/>
  <c r="E124" i="38"/>
  <c r="I106" i="38"/>
  <c r="I124" i="38"/>
  <c r="M106" i="38"/>
  <c r="M124" i="38"/>
  <c r="N106" i="38"/>
  <c r="N124" i="38"/>
  <c r="H106" i="38"/>
  <c r="H124" i="38"/>
  <c r="O106" i="38"/>
  <c r="O124" i="38"/>
  <c r="J106" i="38"/>
  <c r="J124" i="38"/>
  <c r="K106" i="38"/>
  <c r="K124" i="38"/>
  <c r="E56" i="38"/>
  <c r="E73" i="38" s="1"/>
  <c r="E77" i="38" s="1"/>
  <c r="O56" i="38"/>
  <c r="O73" i="38" s="1"/>
  <c r="O130" i="38" s="1"/>
  <c r="P56" i="38"/>
  <c r="P73" i="38" s="1"/>
  <c r="P130" i="38" s="1"/>
  <c r="N56" i="38"/>
  <c r="N73" i="38" s="1"/>
  <c r="N130" i="38" s="1"/>
  <c r="I56" i="38"/>
  <c r="I73" i="38" s="1"/>
  <c r="I130" i="38" s="1"/>
  <c r="M56" i="38"/>
  <c r="M73" i="38" s="1"/>
  <c r="M130" i="38" s="1"/>
  <c r="K56" i="38"/>
  <c r="K73" i="38" s="1"/>
  <c r="K130" i="38" s="1"/>
  <c r="G56" i="38"/>
  <c r="G73" i="38" s="1"/>
  <c r="G130" i="38" s="1"/>
  <c r="H56" i="38"/>
  <c r="H73" i="38" s="1"/>
  <c r="H130" i="38" s="1"/>
  <c r="L56" i="38"/>
  <c r="L73" i="38" s="1"/>
  <c r="L130" i="38" s="1"/>
  <c r="J56" i="38"/>
  <c r="J73" i="38" s="1"/>
  <c r="J130" i="38" s="1"/>
  <c r="E57" i="38"/>
  <c r="J1344" i="13"/>
  <c r="F55" i="38"/>
  <c r="D36" i="38"/>
  <c r="C36" i="38" s="1"/>
  <c r="H114" i="18" l="1"/>
  <c r="H153" i="18"/>
  <c r="F107" i="38"/>
  <c r="F111" i="38"/>
  <c r="F115" i="38"/>
  <c r="F119" i="38"/>
  <c r="F123" i="38"/>
  <c r="F110" i="38"/>
  <c r="F114" i="38"/>
  <c r="F118" i="38"/>
  <c r="F122" i="38"/>
  <c r="F112" i="38"/>
  <c r="F116" i="38"/>
  <c r="F120" i="38"/>
  <c r="F109" i="38"/>
  <c r="F113" i="38"/>
  <c r="F117" i="38"/>
  <c r="F121" i="38"/>
  <c r="F108" i="38"/>
  <c r="F75" i="38"/>
  <c r="F126" i="38" s="1"/>
  <c r="E127" i="38"/>
  <c r="F106" i="38"/>
  <c r="F124" i="38"/>
  <c r="E130" i="38"/>
  <c r="E134" i="38" s="1"/>
  <c r="F132" i="38" s="1"/>
  <c r="F56" i="38"/>
  <c r="F73" i="38" s="1"/>
  <c r="D55" i="38"/>
  <c r="F57" i="38"/>
  <c r="F79" i="38" l="1"/>
  <c r="D107" i="38"/>
  <c r="D111" i="38"/>
  <c r="D115" i="38"/>
  <c r="D119" i="38"/>
  <c r="D123" i="38"/>
  <c r="D108" i="38"/>
  <c r="D112" i="38"/>
  <c r="D116" i="38"/>
  <c r="D109" i="38"/>
  <c r="D113" i="38"/>
  <c r="D117" i="38"/>
  <c r="D121" i="38"/>
  <c r="D110" i="38"/>
  <c r="D114" i="38"/>
  <c r="D118" i="38"/>
  <c r="D122" i="38"/>
  <c r="D120" i="38"/>
  <c r="D56" i="38"/>
  <c r="D124" i="38"/>
  <c r="D130" i="38" s="1"/>
  <c r="D134" i="38" s="1"/>
  <c r="D106" i="38"/>
  <c r="E125" i="38"/>
  <c r="F125" i="38"/>
  <c r="D73" i="38"/>
  <c r="D77" i="38" s="1"/>
  <c r="F58" i="38"/>
  <c r="F59" i="38" s="1"/>
  <c r="E58" i="38"/>
  <c r="E59" i="38" s="1"/>
  <c r="F77" i="38"/>
  <c r="F130" i="38"/>
  <c r="F134" i="38" s="1"/>
  <c r="G132" i="38" s="1"/>
  <c r="G134" i="38" s="1"/>
  <c r="H132" i="38" s="1"/>
  <c r="H134" i="38" s="1"/>
  <c r="I132" i="38" s="1"/>
  <c r="I134" i="38" s="1"/>
  <c r="J132" i="38" s="1"/>
  <c r="J134" i="38" s="1"/>
  <c r="K132" i="38" s="1"/>
  <c r="K134" i="38" s="1"/>
  <c r="L132" i="38" s="1"/>
  <c r="L134" i="38" s="1"/>
  <c r="M132" i="38" s="1"/>
  <c r="M134" i="38" s="1"/>
  <c r="N132" i="38" s="1"/>
  <c r="N134" i="38" s="1"/>
  <c r="O132" i="38" s="1"/>
  <c r="O134" i="38" s="1"/>
  <c r="P132" i="38" s="1"/>
  <c r="P134" i="38" s="1"/>
  <c r="G57" i="38"/>
  <c r="G75" i="38" l="1"/>
  <c r="G126" i="38" s="1"/>
  <c r="F127" i="38"/>
  <c r="G58" i="38"/>
  <c r="G59" i="38" s="1"/>
  <c r="G125" i="38"/>
  <c r="H57" i="38"/>
  <c r="G77" i="38" l="1"/>
  <c r="H75" i="38" s="1"/>
  <c r="H126" i="38" s="1"/>
  <c r="G79" i="38"/>
  <c r="H58" i="38"/>
  <c r="H59" i="38" s="1"/>
  <c r="H125" i="38"/>
  <c r="C129" i="18"/>
  <c r="I57" i="38"/>
  <c r="G127" i="38" l="1"/>
  <c r="H77" i="38"/>
  <c r="H127" i="38" s="1"/>
  <c r="H79" i="38"/>
  <c r="I58" i="38"/>
  <c r="I59" i="38" s="1"/>
  <c r="I125" i="38"/>
  <c r="J57" i="38"/>
  <c r="I75" i="38" l="1"/>
  <c r="I126" i="38" s="1"/>
  <c r="J58" i="38"/>
  <c r="J59" i="38" s="1"/>
  <c r="J125" i="38"/>
  <c r="K57" i="38"/>
  <c r="I77" i="38" l="1"/>
  <c r="J75" i="38" s="1"/>
  <c r="J77" i="38" s="1"/>
  <c r="K75" i="38" s="1"/>
  <c r="I79" i="38"/>
  <c r="K58" i="38"/>
  <c r="K59" i="38" s="1"/>
  <c r="K125" i="38"/>
  <c r="L57" i="38"/>
  <c r="J79" i="38" l="1"/>
  <c r="J126" i="38"/>
  <c r="I127" i="38"/>
  <c r="J127" i="38"/>
  <c r="K126" i="38"/>
  <c r="K77" i="38"/>
  <c r="L75" i="38" s="1"/>
  <c r="K79" i="38"/>
  <c r="L58" i="38"/>
  <c r="L59" i="38" s="1"/>
  <c r="L125" i="38"/>
  <c r="M57" i="38"/>
  <c r="L126" i="38" l="1"/>
  <c r="L77" i="38"/>
  <c r="L127" i="38" s="1"/>
  <c r="L79" i="38"/>
  <c r="K127" i="38"/>
  <c r="M58" i="38"/>
  <c r="M59" i="38" s="1"/>
  <c r="M125" i="38"/>
  <c r="N57" i="38"/>
  <c r="M75" i="38" l="1"/>
  <c r="M126" i="38" s="1"/>
  <c r="N58" i="38"/>
  <c r="N59" i="38" s="1"/>
  <c r="N125" i="38"/>
  <c r="O57" i="38"/>
  <c r="M77" i="38" l="1"/>
  <c r="M127" i="38" s="1"/>
  <c r="M79" i="38"/>
  <c r="O58" i="38"/>
  <c r="O59" i="38" s="1"/>
  <c r="O125" i="38"/>
  <c r="P57" i="38"/>
  <c r="N75" i="38" l="1"/>
  <c r="N79" i="38" s="1"/>
  <c r="P58" i="38"/>
  <c r="P59" i="38" s="1"/>
  <c r="P125" i="38"/>
  <c r="N77" i="38" l="1"/>
  <c r="O75" i="38" s="1"/>
  <c r="N126" i="38"/>
  <c r="N127" i="38" l="1"/>
  <c r="O126" i="38"/>
  <c r="O77" i="38"/>
  <c r="O79" i="38"/>
  <c r="P75" i="38" l="1"/>
  <c r="O127" i="38"/>
  <c r="P126" i="38" l="1"/>
  <c r="P77" i="38"/>
  <c r="P127" i="38" s="1"/>
  <c r="P79" i="38"/>
  <c r="K63" i="18" l="1"/>
  <c r="K154" i="18" s="1"/>
  <c r="H63" i="18"/>
  <c r="H154" i="18" s="1"/>
  <c r="I63" i="18"/>
  <c r="I115" i="18" s="1"/>
  <c r="J63" i="18"/>
  <c r="J115" i="18" s="1"/>
  <c r="F63" i="18"/>
  <c r="F115" i="18" s="1"/>
  <c r="G63" i="18"/>
  <c r="G115" i="18" s="1"/>
  <c r="G154" i="18" l="1"/>
  <c r="J154" i="18"/>
  <c r="H115" i="18"/>
  <c r="I154" i="18"/>
  <c r="K115" i="18"/>
  <c r="F154" i="18"/>
  <c r="C63" i="18"/>
  <c r="C115" i="18" l="1"/>
  <c r="D63" i="18"/>
  <c r="C154" i="18"/>
  <c r="G1081" i="13" l="1"/>
  <c r="G1182" i="13" s="1"/>
  <c r="G772" i="13"/>
  <c r="G873" i="13" s="1"/>
  <c r="E18" i="18"/>
  <c r="E23" i="18" s="1"/>
  <c r="G912" i="13" l="1"/>
  <c r="G914" i="13" s="1"/>
  <c r="H103" i="13"/>
  <c r="G607" i="13"/>
  <c r="G719" i="13" s="1"/>
  <c r="I51" i="34" l="1"/>
  <c r="H1410" i="13"/>
  <c r="H1409" i="13"/>
  <c r="H1408" i="13"/>
  <c r="H1411" i="13"/>
  <c r="H29" i="34"/>
  <c r="H50" i="34"/>
  <c r="H51" i="34"/>
  <c r="H53" i="34" s="1"/>
  <c r="H47" i="34"/>
  <c r="H23" i="34"/>
  <c r="I1411" i="13"/>
  <c r="I29" i="34"/>
  <c r="L30" i="34" s="1"/>
  <c r="I47" i="34"/>
  <c r="L48" i="34" s="1"/>
  <c r="I23" i="34"/>
  <c r="F12" i="18"/>
  <c r="F13" i="18" s="1"/>
  <c r="H1372" i="13"/>
  <c r="E13" i="18"/>
  <c r="H32" i="34"/>
  <c r="L1379" i="13" l="1"/>
  <c r="M1379" i="13"/>
  <c r="I1379" i="13"/>
  <c r="J1379" i="13"/>
  <c r="K1379" i="13"/>
  <c r="H1379" i="13"/>
  <c r="H1418" i="13" s="1"/>
  <c r="H1419" i="13" s="1"/>
  <c r="L1410" i="13"/>
  <c r="M1410" i="13"/>
  <c r="I1410" i="13"/>
  <c r="J1410" i="13"/>
  <c r="K1410" i="13"/>
  <c r="M51" i="34"/>
  <c r="M54" i="34" s="1"/>
  <c r="J51" i="34"/>
  <c r="J54" i="34" s="1"/>
  <c r="K51" i="34"/>
  <c r="L51" i="34"/>
  <c r="I53" i="34"/>
  <c r="H25" i="34"/>
  <c r="I25" i="34" s="1"/>
  <c r="J25" i="34" s="1"/>
  <c r="K24" i="34"/>
  <c r="H31" i="34"/>
  <c r="I31" i="34" s="1"/>
  <c r="J31" i="34" s="1"/>
  <c r="K30" i="34"/>
  <c r="L24" i="34"/>
  <c r="I54" i="34"/>
  <c r="C12" i="18"/>
  <c r="H1588" i="13"/>
  <c r="F62" i="18" s="1"/>
  <c r="B39" i="38"/>
  <c r="C39" i="38" s="1"/>
  <c r="F39" i="18"/>
  <c r="C39" i="18" s="1"/>
  <c r="C13" i="18"/>
  <c r="K48" i="34"/>
  <c r="H49" i="34"/>
  <c r="I49" i="34" s="1"/>
  <c r="H54" i="34"/>
  <c r="B53" i="38" s="1"/>
  <c r="C1372" i="13"/>
  <c r="J53" i="34" l="1"/>
  <c r="K53" i="34" s="1"/>
  <c r="L53" i="34" s="1"/>
  <c r="M53" i="34" s="1"/>
  <c r="J1418" i="13"/>
  <c r="J1419" i="13" s="1"/>
  <c r="I1418" i="13"/>
  <c r="I1419" i="13" s="1"/>
  <c r="M1418" i="13"/>
  <c r="L54" i="34"/>
  <c r="K1418" i="13"/>
  <c r="L1418" i="13"/>
  <c r="H1437" i="13"/>
  <c r="H1592" i="13" s="1"/>
  <c r="B40" i="38"/>
  <c r="C40" i="38" s="1"/>
  <c r="K54" i="34"/>
  <c r="K25" i="34"/>
  <c r="L25" i="34" s="1"/>
  <c r="M25" i="34" s="1"/>
  <c r="K31" i="34"/>
  <c r="L31" i="34" s="1"/>
  <c r="M31" i="34" s="1"/>
  <c r="F114" i="18"/>
  <c r="F153" i="18"/>
  <c r="C153" i="18" s="1"/>
  <c r="H55" i="34"/>
  <c r="I55" i="34"/>
  <c r="I56" i="34" s="1"/>
  <c r="J49" i="34"/>
  <c r="J1437" i="13" l="1"/>
  <c r="J1592" i="13" s="1"/>
  <c r="I1437" i="13"/>
  <c r="I1585" i="13" s="1"/>
  <c r="I1591" i="13" s="1"/>
  <c r="F64" i="18"/>
  <c r="F117" i="18" s="1"/>
  <c r="D54" i="34"/>
  <c r="K1437" i="13"/>
  <c r="K1419" i="13"/>
  <c r="L1437" i="13"/>
  <c r="L1419" i="13"/>
  <c r="M1419" i="13"/>
  <c r="M1437" i="13"/>
  <c r="H1585" i="13"/>
  <c r="H1591" i="13" s="1"/>
  <c r="H1594" i="13" s="1"/>
  <c r="H1595" i="13" s="1"/>
  <c r="F125" i="18"/>
  <c r="H56" i="34"/>
  <c r="F65" i="18"/>
  <c r="F160" i="18" s="1"/>
  <c r="E129" i="18"/>
  <c r="G65" i="18"/>
  <c r="J55" i="34"/>
  <c r="J56" i="34" s="1"/>
  <c r="K49" i="34"/>
  <c r="J1585" i="13" l="1"/>
  <c r="J1591" i="13" s="1"/>
  <c r="J1594" i="13" s="1"/>
  <c r="J1595" i="13" s="1"/>
  <c r="H64" i="18"/>
  <c r="H117" i="18" s="1"/>
  <c r="F156" i="18"/>
  <c r="I1592" i="13"/>
  <c r="I1594" i="13" s="1"/>
  <c r="I1595" i="13" s="1"/>
  <c r="G64" i="18"/>
  <c r="G75" i="18" s="1"/>
  <c r="K1592" i="13"/>
  <c r="K1585" i="13"/>
  <c r="K1591" i="13" s="1"/>
  <c r="I64" i="18"/>
  <c r="C1437" i="13"/>
  <c r="L1592" i="13"/>
  <c r="L1585" i="13"/>
  <c r="L1591" i="13" s="1"/>
  <c r="J64" i="18"/>
  <c r="K64" i="18"/>
  <c r="M1585" i="13"/>
  <c r="M1591" i="13" s="1"/>
  <c r="M1592" i="13"/>
  <c r="F164" i="18"/>
  <c r="C53" i="38"/>
  <c r="C55" i="38" s="1"/>
  <c r="C56" i="38" s="1"/>
  <c r="B55" i="38"/>
  <c r="F75" i="18"/>
  <c r="F35" i="18" s="1"/>
  <c r="F15" i="45"/>
  <c r="F121" i="18"/>
  <c r="G15" i="45"/>
  <c r="G121" i="18"/>
  <c r="G160" i="18"/>
  <c r="H65" i="18"/>
  <c r="K55" i="34"/>
  <c r="K56" i="34" s="1"/>
  <c r="L49" i="34"/>
  <c r="G164" i="18"/>
  <c r="G125" i="18"/>
  <c r="H156" i="18" l="1"/>
  <c r="F165" i="18"/>
  <c r="F167" i="18" s="1"/>
  <c r="F170" i="18" s="1"/>
  <c r="G156" i="18"/>
  <c r="G117" i="18"/>
  <c r="L1594" i="13"/>
  <c r="L1595" i="13" s="1"/>
  <c r="K1594" i="13"/>
  <c r="K1595" i="13" s="1"/>
  <c r="M1594" i="13"/>
  <c r="M1595" i="13" s="1"/>
  <c r="K117" i="18"/>
  <c r="K156" i="18"/>
  <c r="I156" i="18"/>
  <c r="I117" i="18"/>
  <c r="C64" i="18"/>
  <c r="J117" i="18"/>
  <c r="J156" i="18"/>
  <c r="F77" i="18"/>
  <c r="G77" i="18"/>
  <c r="G35" i="18"/>
  <c r="G36" i="18" s="1"/>
  <c r="H75" i="18"/>
  <c r="G165" i="18"/>
  <c r="G167" i="18" s="1"/>
  <c r="I65" i="18"/>
  <c r="H15" i="45"/>
  <c r="H160" i="18"/>
  <c r="H121" i="18"/>
  <c r="H125" i="18"/>
  <c r="H164" i="18"/>
  <c r="M49" i="34"/>
  <c r="M55" i="34" s="1"/>
  <c r="M56" i="34" s="1"/>
  <c r="L55" i="34"/>
  <c r="L56" i="34" s="1"/>
  <c r="F168" i="18" l="1"/>
  <c r="F172" i="18"/>
  <c r="D64" i="18"/>
  <c r="C117" i="18"/>
  <c r="C156" i="18"/>
  <c r="F90" i="18"/>
  <c r="D55" i="34"/>
  <c r="H165" i="18"/>
  <c r="H167" i="18" s="1"/>
  <c r="H172" i="18" s="1"/>
  <c r="I75" i="18"/>
  <c r="I35" i="18" s="1"/>
  <c r="I36" i="18" s="1"/>
  <c r="G168" i="18"/>
  <c r="G172" i="18"/>
  <c r="G170" i="18"/>
  <c r="G81" i="18"/>
  <c r="G78" i="18"/>
  <c r="G127" i="18" s="1"/>
  <c r="G88" i="18"/>
  <c r="G89" i="18" s="1"/>
  <c r="G126" i="18"/>
  <c r="H77" i="18"/>
  <c r="H35" i="18"/>
  <c r="H36" i="18" s="1"/>
  <c r="F81" i="18"/>
  <c r="F82" i="18" s="1"/>
  <c r="F126" i="18"/>
  <c r="F88" i="18"/>
  <c r="F89" i="18" s="1"/>
  <c r="F78" i="18"/>
  <c r="F127" i="18" s="1"/>
  <c r="F36" i="18"/>
  <c r="J65" i="18"/>
  <c r="I15" i="45"/>
  <c r="I160" i="18"/>
  <c r="I121" i="18"/>
  <c r="K65" i="18"/>
  <c r="I164" i="18"/>
  <c r="I125" i="18"/>
  <c r="H170" i="18" l="1"/>
  <c r="H168" i="18"/>
  <c r="I77" i="18"/>
  <c r="I78" i="18" s="1"/>
  <c r="I127" i="18" s="1"/>
  <c r="J75" i="18"/>
  <c r="J35" i="18" s="1"/>
  <c r="I165" i="18"/>
  <c r="I167" i="18" s="1"/>
  <c r="F129" i="18"/>
  <c r="G90" i="18"/>
  <c r="H126" i="18"/>
  <c r="H78" i="18"/>
  <c r="H127" i="18" s="1"/>
  <c r="H88" i="18"/>
  <c r="H89" i="18" s="1"/>
  <c r="H81" i="18"/>
  <c r="G82" i="18"/>
  <c r="K164" i="18"/>
  <c r="K125" i="18"/>
  <c r="K160" i="18"/>
  <c r="K121" i="18"/>
  <c r="K15" i="45"/>
  <c r="C65" i="18"/>
  <c r="J164" i="18"/>
  <c r="J125" i="18"/>
  <c r="J121" i="18"/>
  <c r="J160" i="18"/>
  <c r="J15" i="45"/>
  <c r="J165" i="18" l="1"/>
  <c r="J167" i="18" s="1"/>
  <c r="J168" i="18" s="1"/>
  <c r="K168" i="18" s="1"/>
  <c r="I170" i="18"/>
  <c r="I88" i="18"/>
  <c r="I89" i="18" s="1"/>
  <c r="I81" i="18"/>
  <c r="I126" i="18"/>
  <c r="K75" i="18"/>
  <c r="K35" i="18" s="1"/>
  <c r="K36" i="18" s="1"/>
  <c r="H82" i="18"/>
  <c r="K165" i="18"/>
  <c r="J77" i="18"/>
  <c r="H90" i="18"/>
  <c r="G129" i="18"/>
  <c r="J36" i="18"/>
  <c r="I172" i="18"/>
  <c r="I168" i="18"/>
  <c r="C160" i="18"/>
  <c r="C125" i="18"/>
  <c r="C121" i="18"/>
  <c r="D65" i="18"/>
  <c r="C164" i="18"/>
  <c r="J170" i="18" l="1"/>
  <c r="J172" i="18"/>
  <c r="K167" i="18"/>
  <c r="K172" i="18" s="1"/>
  <c r="C35" i="18"/>
  <c r="C36" i="18"/>
  <c r="I82" i="18"/>
  <c r="J81" i="18"/>
  <c r="K77" i="18"/>
  <c r="J88" i="18"/>
  <c r="J89" i="18" s="1"/>
  <c r="J126" i="18"/>
  <c r="J78" i="18"/>
  <c r="J127" i="18" s="1"/>
  <c r="C165" i="18"/>
  <c r="C167" i="18" s="1"/>
  <c r="C170" i="18" s="1"/>
  <c r="H129" i="18"/>
  <c r="I90" i="18"/>
  <c r="K170" i="18" l="1"/>
  <c r="J82" i="18"/>
  <c r="K88" i="18"/>
  <c r="K89" i="18" s="1"/>
  <c r="K81" i="18"/>
  <c r="K126" i="18"/>
  <c r="K78" i="18"/>
  <c r="K127" i="18" s="1"/>
  <c r="I129" i="18"/>
  <c r="J90" i="18"/>
  <c r="K82" i="18" l="1"/>
  <c r="J129" i="18"/>
  <c r="K90" i="18"/>
  <c r="K129" i="18" s="1"/>
  <c r="G1026" i="13" l="1"/>
  <c r="G1343" i="13" s="1"/>
  <c r="G1344" i="13" l="1"/>
  <c r="G1588" i="13"/>
  <c r="C1588" i="13" s="1"/>
  <c r="G1585" i="13"/>
  <c r="G1591" i="13" l="1"/>
  <c r="G1594" i="13" s="1"/>
  <c r="G1595" i="13" s="1"/>
  <c r="C1585" i="13"/>
  <c r="E62" i="18"/>
  <c r="E75" i="18" s="1"/>
  <c r="E77" i="18" s="1"/>
  <c r="C62" i="18" l="1"/>
  <c r="D62" i="18" s="1"/>
  <c r="E15" i="45"/>
  <c r="D15" i="45" s="1"/>
  <c r="E81" i="18"/>
  <c r="E85" i="18"/>
  <c r="F85" i="18" s="1"/>
  <c r="E79" i="18"/>
  <c r="F79" i="18" s="1"/>
  <c r="G79" i="18" s="1"/>
  <c r="H79" i="18" s="1"/>
  <c r="I79" i="18" s="1"/>
  <c r="J79" i="18" s="1"/>
  <c r="K79" i="18" s="1"/>
  <c r="C114" i="18" l="1"/>
  <c r="C75" i="18"/>
  <c r="C77" i="18" s="1"/>
  <c r="G85" i="18"/>
  <c r="D75" i="18" l="1"/>
  <c r="H85" i="18"/>
  <c r="C126" i="18"/>
  <c r="D77" i="18"/>
  <c r="I85" i="18" l="1"/>
  <c r="J85" i="18" l="1"/>
  <c r="K85" i="18" l="1"/>
</calcChain>
</file>

<file path=xl/comments1.xml><?xml version="1.0" encoding="utf-8"?>
<comments xmlns="http://schemas.openxmlformats.org/spreadsheetml/2006/main">
  <authors>
    <author>Michael Dang</author>
    <author>tc={9909DB41-4054-4051-8E9D-3A06A152DDC1}</author>
    <author>tc={AE8693CC-D799-40D8-BC0A-DDEFCADE3B8B}</author>
    <author>tc={14D4832A-A429-4B66-9D06-54B3C5043617}</author>
    <author>tc={B847000C-AC3D-464A-9FCB-AF07C0B48B0E}</author>
    <author>tc={B6F42B41-A78D-412D-AF3D-9126A5E0D606}</author>
    <author>tc={60129E67-CD70-46E7-91DA-906463589E3F}</author>
    <author>tc={E0B74DCF-2136-4060-977D-5542CAFEBFAB}</author>
  </authors>
  <commentList>
    <comment ref="C10" authorId="0" shapeId="0">
      <text>
        <r>
          <rPr>
            <b/>
            <sz val="9"/>
            <color indexed="81"/>
            <rFont val="Tahoma"/>
            <family val="2"/>
          </rPr>
          <t>Michael Dang:</t>
        </r>
        <r>
          <rPr>
            <sz val="9"/>
            <color indexed="81"/>
            <rFont val="Tahoma"/>
            <family val="2"/>
          </rPr>
          <t xml:space="preserve">
Freeze pane anchor cell.</t>
        </r>
      </text>
    </comment>
    <comment ref="B42"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renamed to match profile</t>
        </r>
      </text>
    </comment>
    <comment ref="B62"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renamed to match profile and other tabs</t>
        </r>
      </text>
    </comment>
    <comment ref="C62"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Numbers now pulling from depreciation based expenses instead of cash acquisition cost.</t>
        </r>
      </text>
    </comment>
    <comment ref="E84" authorId="0" shapeId="0">
      <text>
        <r>
          <rPr>
            <b/>
            <sz val="9"/>
            <color indexed="81"/>
            <rFont val="Tahoma"/>
            <family val="2"/>
          </rPr>
          <t>Michael Dang:</t>
        </r>
        <r>
          <rPr>
            <sz val="9"/>
            <color indexed="81"/>
            <rFont val="Tahoma"/>
            <family val="2"/>
          </rPr>
          <t xml:space="preserve">
Enables applicants to determine how much additional funding they may need to operate in the black. From year one.</t>
        </r>
      </text>
    </comment>
    <comment ref="B110"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14"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33"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B153"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List>
</comments>
</file>

<file path=xl/comments2.xml><?xml version="1.0" encoding="utf-8"?>
<comments xmlns="http://schemas.openxmlformats.org/spreadsheetml/2006/main">
  <authors>
    <author>Michael Dang</author>
  </authors>
  <commentList>
    <comment ref="B34" authorId="0" shapeId="0">
      <text>
        <r>
          <rPr>
            <b/>
            <sz val="9"/>
            <color indexed="81"/>
            <rFont val="Tahoma"/>
            <family val="2"/>
          </rPr>
          <t>Michael Dang:</t>
        </r>
        <r>
          <rPr>
            <sz val="9"/>
            <color indexed="81"/>
            <rFont val="Tahoma"/>
            <family val="2"/>
          </rPr>
          <t xml:space="preserve">
A five mile distance as the crow flies or by google maps travel distance.</t>
        </r>
      </text>
    </comment>
    <comment ref="J34" authorId="0" shapeId="0">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 ref="B64" authorId="0" shapeId="0">
      <text>
        <r>
          <rPr>
            <b/>
            <sz val="9"/>
            <color indexed="81"/>
            <rFont val="Tahoma"/>
            <family val="2"/>
          </rPr>
          <t>Michael Dang:</t>
        </r>
        <r>
          <rPr>
            <sz val="9"/>
            <color indexed="81"/>
            <rFont val="Tahoma"/>
            <family val="2"/>
          </rPr>
          <t xml:space="preserve">
A five mile distance as the crow flies or by google maps travel distance.</t>
        </r>
      </text>
    </comment>
    <comment ref="J64" authorId="0" shapeId="0">
      <text>
        <r>
          <rPr>
            <b/>
            <sz val="9"/>
            <color indexed="81"/>
            <rFont val="Tahoma"/>
            <family val="2"/>
          </rPr>
          <t>Michael Dang:</t>
        </r>
        <r>
          <rPr>
            <sz val="9"/>
            <color indexed="81"/>
            <rFont val="Tahoma"/>
            <family val="2"/>
          </rPr>
          <t xml:space="preserve">
Based on Google Maps or another mapping program of your choice.
The distance from the school can be to your targeted location or to nearby cross-streets.</t>
        </r>
      </text>
    </comment>
  </commentList>
</comments>
</file>

<file path=xl/comments3.xml><?xml version="1.0" encoding="utf-8"?>
<comments xmlns="http://schemas.openxmlformats.org/spreadsheetml/2006/main">
  <authors>
    <author>Michael Dang</author>
    <author>tc={B7BA76B9-72DC-4B51-84FC-DCB653FB95D7}</author>
  </authors>
  <commentList>
    <comment ref="D12" authorId="0" shapeId="0">
      <text>
        <r>
          <rPr>
            <b/>
            <sz val="9"/>
            <color indexed="81"/>
            <rFont val="Tahoma"/>
            <family val="2"/>
          </rPr>
          <t>Michael Dang:</t>
        </r>
        <r>
          <rPr>
            <sz val="9"/>
            <color indexed="81"/>
            <rFont val="Tahoma"/>
            <family val="2"/>
          </rPr>
          <t xml:space="preserve">
Freeze Pane Anchor cell.
Place cursor here if you wish to freeze the panes so you can see which e so you can continue to see the years for the columns you want to review. </t>
        </r>
      </text>
    </comment>
    <comment ref="C49" authorId="0" shapeId="0">
      <text>
        <r>
          <rPr>
            <b/>
            <sz val="9"/>
            <color indexed="81"/>
            <rFont val="Tahoma"/>
            <family val="2"/>
          </rPr>
          <t>Michael Dang:</t>
        </r>
        <r>
          <rPr>
            <sz val="9"/>
            <color indexed="81"/>
            <rFont val="Tahoma"/>
            <family val="2"/>
          </rPr>
          <t xml:space="preserve">
From $350. 2019.11.14</t>
        </r>
      </text>
    </comment>
    <comment ref="C52" authorId="0" shapeId="0">
      <text>
        <r>
          <rPr>
            <b/>
            <sz val="9"/>
            <color indexed="81"/>
            <rFont val="Tahoma"/>
            <family val="2"/>
          </rPr>
          <t>Michael Dang:</t>
        </r>
        <r>
          <rPr>
            <sz val="9"/>
            <color indexed="81"/>
            <rFont val="Tahoma"/>
            <family val="2"/>
          </rPr>
          <t xml:space="preserve">
From $1,500. 2019.11.14</t>
        </r>
      </text>
    </comment>
    <comment ref="B1380"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removed marketing from this section</t>
        </r>
      </text>
    </comment>
    <comment ref="D1422" authorId="0" shapeId="0">
      <text>
        <r>
          <rPr>
            <b/>
            <sz val="9"/>
            <color indexed="81"/>
            <rFont val="Tahoma"/>
            <family val="2"/>
          </rPr>
          <t>Michael Dang:</t>
        </r>
        <r>
          <rPr>
            <sz val="9"/>
            <color indexed="81"/>
            <rFont val="Tahoma"/>
            <family val="2"/>
          </rPr>
          <t xml:space="preserve">
Per year</t>
        </r>
      </text>
    </comment>
    <comment ref="D1424" authorId="0" shapeId="0">
      <text>
        <r>
          <rPr>
            <b/>
            <sz val="9"/>
            <color indexed="81"/>
            <rFont val="Tahoma"/>
            <family val="2"/>
          </rPr>
          <t>Michael Dang:</t>
        </r>
        <r>
          <rPr>
            <sz val="9"/>
            <color indexed="81"/>
            <rFont val="Tahoma"/>
            <family val="2"/>
          </rPr>
          <t xml:space="preserve">
Per year</t>
        </r>
      </text>
    </comment>
    <comment ref="D1430" authorId="0" shapeId="0">
      <text>
        <r>
          <rPr>
            <b/>
            <sz val="9"/>
            <color indexed="81"/>
            <rFont val="Tahoma"/>
            <family val="2"/>
          </rPr>
          <t>Michael Dang:</t>
        </r>
        <r>
          <rPr>
            <sz val="9"/>
            <color indexed="81"/>
            <rFont val="Tahoma"/>
            <family val="2"/>
          </rPr>
          <t xml:space="preserve">
Per student</t>
        </r>
      </text>
    </comment>
    <comment ref="D1431" authorId="0" shapeId="0">
      <text>
        <r>
          <rPr>
            <b/>
            <sz val="9"/>
            <color indexed="81"/>
            <rFont val="Tahoma"/>
            <family val="2"/>
          </rPr>
          <t>Michael Dang:</t>
        </r>
        <r>
          <rPr>
            <sz val="9"/>
            <color indexed="81"/>
            <rFont val="Tahoma"/>
            <family val="2"/>
          </rPr>
          <t xml:space="preserve">
Per student (not covered by Title I)</t>
        </r>
      </text>
    </comment>
    <comment ref="D1432" authorId="0" shapeId="0">
      <text>
        <r>
          <rPr>
            <b/>
            <sz val="9"/>
            <color indexed="81"/>
            <rFont val="Tahoma"/>
            <family val="2"/>
          </rPr>
          <t>Michael Dang:</t>
        </r>
        <r>
          <rPr>
            <sz val="9"/>
            <color indexed="81"/>
            <rFont val="Tahoma"/>
            <family val="2"/>
          </rPr>
          <t xml:space="preserve">
Per student</t>
        </r>
      </text>
    </comment>
    <comment ref="D1433" authorId="0" shapeId="0">
      <text>
        <r>
          <rPr>
            <b/>
            <sz val="9"/>
            <color indexed="81"/>
            <rFont val="Tahoma"/>
            <family val="2"/>
          </rPr>
          <t>Michael Dang:</t>
        </r>
        <r>
          <rPr>
            <sz val="9"/>
            <color indexed="81"/>
            <rFont val="Tahoma"/>
            <family val="2"/>
          </rPr>
          <t xml:space="preserve">
Input "yes or "no"</t>
        </r>
      </text>
    </comment>
  </commentList>
</comments>
</file>

<file path=xl/comments4.xml><?xml version="1.0" encoding="utf-8"?>
<comments xmlns="http://schemas.openxmlformats.org/spreadsheetml/2006/main">
  <authors>
    <author>Michael Dang</author>
    <author>tc={049FD8B7-A556-4458-B741-9CE337C84F58}</author>
    <author>tc={7EE94EAF-B192-4E48-A3B1-248D938F898C}</author>
    <author>tc={70378DE7-6B40-4D69-A2B5-CDAE21ECCA12}</author>
    <author>tc={4D20B39F-CCD5-40F6-88A7-DA908090EB1A}</author>
    <author>tc={5A1E9927-B689-4F2F-9FDF-9AC411BA394B}</author>
    <author>tc={8B4CE012-06EE-44EF-B9A4-70A151D8CD64}</author>
    <author>tc={4A77444D-2667-414A-ACA6-5CACB9E7392C}</author>
    <author>tc={C044C3D4-0587-448F-AE58-11BAA9E73751}</author>
    <author>tc={CE06D8D1-4B55-4EF4-8B14-2444C8B0CA22}</author>
  </authors>
  <commentList>
    <comment ref="C10" authorId="0" shapeId="0">
      <text>
        <r>
          <rPr>
            <b/>
            <sz val="9"/>
            <color indexed="81"/>
            <rFont val="Tahoma"/>
            <family val="2"/>
          </rPr>
          <t>Michael Dang:</t>
        </r>
        <r>
          <rPr>
            <sz val="9"/>
            <color indexed="81"/>
            <rFont val="Tahoma"/>
            <family val="2"/>
          </rPr>
          <t xml:space="preserve">
Freeze Pane Anchor cell</t>
        </r>
      </text>
    </comment>
    <comment ref="G24"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r>
      </text>
    </comment>
    <comment ref="H24"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capitalization assumption for capital outlay.  15 year depreciation schedule used based on Nevada Personal Property Manual (PPM)</t>
        </r>
      </text>
    </comment>
    <comment ref="G2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25"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G63"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63"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G64"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r>
      </text>
    </comment>
    <comment ref="H64" authorId="8"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a depreciation schedule for new building purchase/construction using a 50 year asset life per the Nevada PPM.</t>
        </r>
      </text>
    </comment>
    <comment ref="G68" authorId="9"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List>
</comments>
</file>

<file path=xl/comments5.xml><?xml version="1.0" encoding="utf-8"?>
<comments xmlns="http://schemas.openxmlformats.org/spreadsheetml/2006/main">
  <authors>
    <author>Michael Dang</author>
    <author>tc={F988B70B-290B-4766-ABAF-6F3E355164A9}</author>
    <author>Matt Padron</author>
    <author>tc={B4301313-E1AF-4271-9069-A45BFC26B287}</author>
    <author>tc={D66716B6-DB56-4581-A047-8B89F69EE2A7}</author>
  </authors>
  <commentList>
    <comment ref="C9" authorId="0" shapeId="0">
      <text>
        <r>
          <rPr>
            <b/>
            <sz val="9"/>
            <color indexed="81"/>
            <rFont val="Tahoma"/>
            <family val="2"/>
          </rPr>
          <t>Michael Dang:</t>
        </r>
        <r>
          <rPr>
            <sz val="9"/>
            <color indexed="81"/>
            <rFont val="Tahoma"/>
            <family val="2"/>
          </rPr>
          <t xml:space="preserve">
</t>
        </r>
        <r>
          <rPr>
            <b/>
            <sz val="9"/>
            <color indexed="81"/>
            <rFont val="Tahoma"/>
            <family val="2"/>
          </rPr>
          <t>Freeze anchor cell</t>
        </r>
        <r>
          <rPr>
            <sz val="9"/>
            <color indexed="81"/>
            <rFont val="Tahoma"/>
            <family val="2"/>
          </rPr>
          <t xml:space="preserve">.  If you place your cursor in this cell then freeze frames you will be able to see the years across the top while you scroll down to where you normally would not see the years. </t>
        </r>
      </text>
    </comment>
    <comment ref="D19"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depreciation schedules with asset lives based on their category in the Nevada PPM</t>
        </r>
      </text>
    </comment>
    <comment ref="H43" authorId="2" shapeId="0">
      <text>
        <r>
          <rPr>
            <b/>
            <sz val="9"/>
            <color indexed="81"/>
            <rFont val="Tahoma"/>
            <family val="2"/>
          </rPr>
          <t>Matt Padron:</t>
        </r>
        <r>
          <rPr>
            <sz val="9"/>
            <color indexed="81"/>
            <rFont val="Tahoma"/>
            <family val="2"/>
          </rPr>
          <t xml:space="preserve">
Zions FFE Lease Anticipated Payment  for 20-21</t>
        </r>
      </text>
    </comment>
    <comment ref="I43" authorId="2" shapeId="0">
      <text>
        <r>
          <rPr>
            <b/>
            <sz val="9"/>
            <color indexed="81"/>
            <rFont val="Tahoma"/>
            <family val="2"/>
          </rPr>
          <t>Matt Padron:</t>
        </r>
        <r>
          <rPr>
            <sz val="9"/>
            <color indexed="81"/>
            <rFont val="Tahoma"/>
            <family val="2"/>
          </rPr>
          <t xml:space="preserve">
Zions FFE Lease Anticipated Payment  for 21-22</t>
        </r>
      </text>
    </comment>
    <comment ref="J43" authorId="2" shapeId="0">
      <text>
        <r>
          <rPr>
            <b/>
            <sz val="9"/>
            <color indexed="81"/>
            <rFont val="Tahoma"/>
            <family val="2"/>
          </rPr>
          <t>Matt Padron:</t>
        </r>
        <r>
          <rPr>
            <sz val="9"/>
            <color indexed="81"/>
            <rFont val="Tahoma"/>
            <family val="2"/>
          </rPr>
          <t xml:space="preserve">
Zions FFE Lease Anticipated Payment  for 22-23</t>
        </r>
      </text>
    </comment>
    <comment ref="K43" authorId="2" shapeId="0">
      <text>
        <r>
          <rPr>
            <b/>
            <sz val="9"/>
            <color indexed="81"/>
            <rFont val="Tahoma"/>
            <family val="2"/>
          </rPr>
          <t>Matt Padron:</t>
        </r>
        <r>
          <rPr>
            <sz val="9"/>
            <color indexed="81"/>
            <rFont val="Tahoma"/>
            <family val="2"/>
          </rPr>
          <t xml:space="preserve">
Zions FFE Lease Anticipated Payment  for 23-24</t>
        </r>
      </text>
    </comment>
    <comment ref="L43" authorId="2" shapeId="0">
      <text>
        <r>
          <rPr>
            <b/>
            <sz val="9"/>
            <color indexed="81"/>
            <rFont val="Tahoma"/>
            <family val="2"/>
          </rPr>
          <t>Matt Padron:</t>
        </r>
        <r>
          <rPr>
            <sz val="9"/>
            <color indexed="81"/>
            <rFont val="Tahoma"/>
            <family val="2"/>
          </rPr>
          <t xml:space="preserve">
Zions FFE Lease Anticipated Payment  for 24-25</t>
        </r>
      </text>
    </comment>
    <comment ref="M43" authorId="2" shapeId="0">
      <text>
        <r>
          <rPr>
            <b/>
            <sz val="9"/>
            <color indexed="81"/>
            <rFont val="Tahoma"/>
            <family val="2"/>
          </rPr>
          <t>Matt Padron:</t>
        </r>
        <r>
          <rPr>
            <sz val="9"/>
            <color indexed="81"/>
            <rFont val="Tahoma"/>
            <family val="2"/>
          </rPr>
          <t xml:space="preserve">
Zions FFE Lease Anticipated Payment  for 25-26</t>
        </r>
      </text>
    </comment>
    <comment ref="G54"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 ref="H54"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LIst both the cash cost and the book expense</t>
        </r>
      </text>
    </comment>
  </commentList>
</comments>
</file>

<file path=xl/comments6.xml><?xml version="1.0" encoding="utf-8"?>
<comments xmlns="http://schemas.openxmlformats.org/spreadsheetml/2006/main">
  <authors>
    <author>Matt Padron</author>
  </authors>
  <commentList>
    <comment ref="G29" authorId="0" shapeId="0">
      <text>
        <r>
          <rPr>
            <b/>
            <sz val="9"/>
            <color indexed="81"/>
            <rFont val="Tahoma"/>
            <family val="2"/>
          </rPr>
          <t>Matt Padron:</t>
        </r>
        <r>
          <rPr>
            <sz val="9"/>
            <color indexed="81"/>
            <rFont val="Tahoma"/>
            <family val="2"/>
          </rPr>
          <t xml:space="preserve">
Academica Nevada - Start-Up Loan repayments from incubation year</t>
        </r>
      </text>
    </comment>
    <comment ref="H29" authorId="0" shapeId="0">
      <text>
        <r>
          <rPr>
            <b/>
            <sz val="9"/>
            <color indexed="81"/>
            <rFont val="Tahoma"/>
            <family val="2"/>
          </rPr>
          <t>Matt Padron:</t>
        </r>
        <r>
          <rPr>
            <sz val="9"/>
            <color indexed="81"/>
            <rFont val="Tahoma"/>
            <family val="2"/>
          </rPr>
          <t xml:space="preserve">
Academica Nevada - Start-Up Loan repayments from incubation year</t>
        </r>
      </text>
    </comment>
    <comment ref="I29" authorId="0" shapeId="0">
      <text>
        <r>
          <rPr>
            <b/>
            <sz val="9"/>
            <color indexed="81"/>
            <rFont val="Tahoma"/>
            <family val="2"/>
          </rPr>
          <t>Matt Padron:</t>
        </r>
        <r>
          <rPr>
            <sz val="9"/>
            <color indexed="81"/>
            <rFont val="Tahoma"/>
            <family val="2"/>
          </rPr>
          <t xml:space="preserve">
Academica Nevada - Start-Up Loan repayments from incubation year</t>
        </r>
      </text>
    </comment>
  </commentList>
</comments>
</file>

<file path=xl/comments7.xml><?xml version="1.0" encoding="utf-8"?>
<comments xmlns="http://schemas.openxmlformats.org/spreadsheetml/2006/main">
  <authors>
    <author>tc={428C169F-7646-4CB0-B350-6B3997D0EBEC}</author>
    <author>Matt Padron</author>
    <author>tc={747F349B-9CDE-4C7C-8445-7504F225BB0C}</author>
    <author>tc={5F5A5891-0F7E-438F-98FE-D46B19DAAF7A}</author>
    <author>tc={E1B0AABC-FE85-4305-BCDA-D864236FBEFC}</author>
    <author>tc={0B2BF462-FA3C-4697-880A-84E104C1867C}</author>
    <author>tc={105A4EF2-9C02-45A7-B312-9628B5927DF1}</author>
    <author>tc={5FEA338C-255D-43F8-9B7C-705D98B58B85}</author>
  </authors>
  <commentList>
    <comment ref="A14"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to align with profile tab</t>
        </r>
      </text>
    </comment>
    <comment ref="P21" authorId="1" shapeId="0">
      <text>
        <r>
          <rPr>
            <b/>
            <sz val="9"/>
            <color indexed="81"/>
            <rFont val="Tahoma"/>
            <family val="2"/>
          </rPr>
          <t>Matt Padron:</t>
        </r>
        <r>
          <rPr>
            <sz val="9"/>
            <color indexed="81"/>
            <rFont val="Tahoma"/>
            <family val="2"/>
          </rPr>
          <t xml:space="preserve">
Assumes minor SPED funding in Year 1 of operations</t>
        </r>
      </text>
    </comment>
    <comment ref="A35"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to line up with profile and other tabs</t>
        </r>
      </text>
    </comment>
    <comment ref="D35"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conditional formatting added</t>
        </r>
      </text>
    </comment>
    <comment ref="F41" authorId="1" shapeId="0">
      <text>
        <r>
          <rPr>
            <b/>
            <sz val="9"/>
            <color indexed="81"/>
            <rFont val="Tahoma"/>
            <family val="2"/>
          </rPr>
          <t>Matt Padron:</t>
        </r>
        <r>
          <rPr>
            <sz val="9"/>
            <color indexed="81"/>
            <rFont val="Tahoma"/>
            <family val="2"/>
          </rPr>
          <t xml:space="preserve">
Includes EMO Fee</t>
        </r>
      </text>
    </comment>
    <comment ref="A84"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A103" authorId="5"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formulas changed in this section to reflect percent of total expenses rather than revenue to avoid division by zero errors</t>
        </r>
      </text>
    </comment>
    <comment ref="A106" authorId="6"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lines changed for consistency</t>
        </r>
      </text>
    </comment>
    <comment ref="A126" authorId="7"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added lines to display cash expenses for each month as a percentage of the beginning and ending cash balance to highlight areas of potential liquidity concerns.</t>
        </r>
      </text>
    </comment>
  </commentList>
</comments>
</file>

<file path=xl/comments8.xml><?xml version="1.0" encoding="utf-8"?>
<comments xmlns="http://schemas.openxmlformats.org/spreadsheetml/2006/main">
  <authors>
    <author>Rebecca Feiden</author>
  </authors>
  <commentList>
    <comment ref="C9" authorId="0" shapeId="0">
      <text>
        <r>
          <rPr>
            <b/>
            <sz val="9"/>
            <color indexed="81"/>
            <rFont val="Tahoma"/>
            <family val="2"/>
          </rPr>
          <t>Rebecca Feiden:</t>
        </r>
        <r>
          <rPr>
            <sz val="9"/>
            <color indexed="81"/>
            <rFont val="Tahoma"/>
            <family val="2"/>
          </rPr>
          <t xml:space="preserve">
Used SY 2017-18 projections from NDE Budget Template</t>
        </r>
      </text>
    </comment>
  </commentList>
</comments>
</file>

<file path=xl/sharedStrings.xml><?xml version="1.0" encoding="utf-8"?>
<sst xmlns="http://schemas.openxmlformats.org/spreadsheetml/2006/main" count="1967" uniqueCount="984">
  <si>
    <t>Per Year</t>
    <phoneticPr fontId="7" type="noConversion"/>
  </si>
  <si>
    <t>Monthly equipment cost</t>
  </si>
  <si>
    <t>Girl's cheerleading</t>
  </si>
  <si>
    <t>Girls Cheerleading (12 home games; 12 away games)</t>
  </si>
  <si>
    <t>Ending Fund Balance</t>
  </si>
  <si>
    <t>Per student per day</t>
  </si>
  <si>
    <t>Federal Lunch Program</t>
  </si>
  <si>
    <t xml:space="preserve">Federal Lunch Program </t>
  </si>
  <si>
    <t>Lunch Program</t>
  </si>
  <si>
    <t>Staff recruitment</t>
  </si>
  <si>
    <t>Desktop computers</t>
  </si>
  <si>
    <t>Investment Income</t>
  </si>
  <si>
    <t>Setup cost</t>
  </si>
  <si>
    <t>Student fees</t>
  </si>
  <si>
    <t>Desktop computer costs (faculty and computers for carts)</t>
  </si>
  <si>
    <t>Custodial</t>
  </si>
  <si>
    <t>Office Supplies</t>
  </si>
  <si>
    <t>Boy's soccer</t>
  </si>
  <si>
    <t>Girl's soccer</t>
  </si>
  <si>
    <t>Number of copiers needed</t>
  </si>
  <si>
    <t>Students per copier</t>
  </si>
  <si>
    <t>Copier - usage fee</t>
  </si>
  <si>
    <t>Charter application</t>
  </si>
  <si>
    <t>(Input year or "NA")</t>
  </si>
  <si>
    <t>Total Grade Level Teacher Medical Costs</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</si>
  <si>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</si>
  <si>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</si>
  <si>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</si>
  <si>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</si>
  <si>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</si>
  <si>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</si>
  <si>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</si>
  <si>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</si>
  <si>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</si>
  <si>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</si>
  <si>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</si>
  <si>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 of Salaries</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</si>
  <si>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</si>
  <si>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</si>
  <si>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</si>
  <si>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</si>
  <si>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</si>
  <si>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</si>
  <si>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</si>
  <si>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</si>
  <si>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</si>
  <si>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</si>
  <si>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</si>
  <si>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</si>
  <si>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</si>
  <si>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</si>
  <si>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</si>
  <si>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</si>
  <si>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</si>
  <si>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</si>
  <si>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</si>
  <si>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</si>
  <si>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</si>
  <si>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</si>
  <si>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</si>
  <si>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</si>
  <si>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</si>
  <si>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</si>
  <si>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</si>
  <si>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</si>
  <si>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</si>
  <si>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</si>
  <si>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</si>
  <si>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</si>
  <si>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</si>
  <si>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</si>
  <si>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</si>
  <si>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General Operating Expenses</t>
  </si>
  <si>
    <t>Athletic Program</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</si>
  <si>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</si>
  <si>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</si>
  <si>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</si>
  <si>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</si>
  <si>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</si>
  <si>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</si>
  <si>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</si>
  <si>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</si>
  <si>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Internet and phone monthly service</t>
  </si>
  <si>
    <t>Contractors required for Saturday School</t>
  </si>
  <si>
    <t>% of purchase price</t>
  </si>
  <si>
    <t>Amount Financed</t>
  </si>
  <si>
    <t>Setup fee</t>
  </si>
  <si>
    <t>Per server</t>
  </si>
  <si>
    <t>TOTAL SALARIES</t>
  </si>
  <si>
    <t>BENEFITS</t>
  </si>
  <si>
    <t>Total Food Costs</t>
  </si>
  <si>
    <t>GENERAL OPERATING EXPENSES</t>
  </si>
  <si>
    <t>Facilities</t>
  </si>
  <si>
    <t xml:space="preserve">Personnel </t>
  </si>
  <si>
    <t>Total Grade Level Teacher Salaries</t>
  </si>
  <si>
    <t>Total Administrators and Office Staff</t>
  </si>
  <si>
    <t>Teacher</t>
  </si>
  <si>
    <t>SALARIES</t>
  </si>
  <si>
    <t>TOTAL BENEFITS</t>
  </si>
  <si>
    <t xml:space="preserve">School's percentage of coverage </t>
  </si>
  <si>
    <t>Total Grade Level Teacher FICA Costs</t>
  </si>
  <si>
    <t>Total Grade Level Teacher Life Insurance Costs</t>
  </si>
  <si>
    <t>Lunch program</t>
  </si>
  <si>
    <t>Bus purchasing costs</t>
  </si>
  <si>
    <t>Maintenance costs</t>
  </si>
  <si>
    <t>Miles driven per bus per day</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</si>
  <si>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</si>
  <si>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</si>
  <si>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</si>
  <si>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</si>
  <si>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</si>
  <si>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</si>
  <si>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</si>
  <si>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</si>
  <si>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</si>
  <si>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</si>
  <si>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</si>
  <si>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</si>
  <si>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</si>
  <si>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</si>
  <si>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</si>
  <si>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</si>
  <si>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</si>
  <si>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</si>
  <si>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</si>
  <si>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</si>
  <si>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</si>
  <si>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</si>
  <si>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</si>
  <si>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</si>
  <si>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</si>
  <si>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</si>
  <si>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</si>
  <si>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</si>
  <si>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</si>
  <si>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</si>
  <si>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</si>
  <si>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</si>
  <si>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Number of Students</t>
  </si>
  <si>
    <t>Boy's lacrosse</t>
  </si>
  <si>
    <t>Girl's lacrosse</t>
  </si>
  <si>
    <t>Private fundraising (individuals)</t>
  </si>
  <si>
    <t>Per handset</t>
  </si>
  <si>
    <t>Equity</t>
  </si>
  <si>
    <t>Price per gallon</t>
  </si>
  <si>
    <t>Annual fuel costs per bus</t>
  </si>
  <si>
    <t>Per employee per month</t>
  </si>
  <si>
    <t>Annual maintenance costs per bus</t>
  </si>
  <si>
    <t>per mile</t>
  </si>
  <si>
    <t>Fuel costs</t>
  </si>
  <si>
    <t>Saturday School (contractors for instruction)</t>
  </si>
  <si>
    <t>Number of students participating</t>
  </si>
  <si>
    <t>Base year</t>
  </si>
  <si>
    <t>Contracted Services</t>
  </si>
  <si>
    <t>Annual audit</t>
  </si>
  <si>
    <t>Legal funds</t>
  </si>
  <si>
    <t>Total Contract Services</t>
  </si>
  <si>
    <t>PERFORMANCE BONUSES</t>
  </si>
  <si>
    <t>PAYROLL SERVICES</t>
  </si>
  <si>
    <t>Health supplies</t>
  </si>
  <si>
    <t>Postage and shipping</t>
  </si>
  <si>
    <t>Grade Level Teacher</t>
  </si>
  <si>
    <t>K</t>
  </si>
  <si>
    <t>Total Medical Benefits</t>
  </si>
  <si>
    <t>Total FICA</t>
  </si>
  <si>
    <t>Girls track and field (8 home games; 8 away games)</t>
  </si>
  <si>
    <t>Active program?</t>
  </si>
  <si>
    <t>State Retirement</t>
  </si>
  <si>
    <t>Bank fees</t>
  </si>
  <si>
    <t>Total Grade Level Teacher State Retirement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</si>
  <si>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</si>
  <si>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</si>
  <si>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</si>
  <si>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</si>
  <si>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</si>
  <si>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</si>
  <si>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</si>
  <si>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</si>
  <si>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</si>
  <si>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</si>
  <si>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</si>
  <si>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</si>
  <si>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</si>
  <si>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</si>
  <si>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</si>
  <si>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</si>
  <si>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</si>
  <si>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</si>
  <si>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</si>
  <si>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</si>
  <si>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</si>
  <si>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</si>
  <si>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</si>
  <si>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</si>
  <si>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</si>
  <si>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</si>
  <si>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</si>
  <si>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</si>
  <si>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</si>
  <si>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</si>
  <si>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</si>
  <si>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</si>
  <si>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Gallons purchased per year</t>
  </si>
  <si>
    <t>Payroll Tax and Benefits</t>
  </si>
  <si>
    <t>Internet setup</t>
  </si>
  <si>
    <t>Supplies for students</t>
  </si>
  <si>
    <t>Assessment costs</t>
  </si>
  <si>
    <t>Assumed percentage of employees choosing single coverage</t>
    <phoneticPr fontId="7"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</si>
  <si>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</si>
  <si>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</si>
  <si>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</si>
  <si>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</si>
  <si>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</si>
  <si>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</si>
  <si>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</si>
  <si>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</si>
  <si>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Office Staff</t>
  </si>
  <si>
    <t>Bus Contracting Costs</t>
    <phoneticPr fontId="7" type="noConversion"/>
  </si>
  <si>
    <t>Bus Contracting Costs</t>
    <phoneticPr fontId="7" type="noConversion"/>
  </si>
  <si>
    <t>Per sq ft</t>
  </si>
  <si>
    <t>Per student per year</t>
  </si>
  <si>
    <t>Per month</t>
  </si>
  <si>
    <t>Number of years use</t>
  </si>
  <si>
    <t>TOTAL TRANSPORTATION COSTS</t>
  </si>
  <si>
    <t>Copier (monthly lease rate)</t>
  </si>
  <si>
    <t>PART-TIME EMPLOYEES</t>
  </si>
  <si>
    <t>TOTAL GENERAL OPERATING EXPENSES</t>
  </si>
  <si>
    <t>Based on % of salary</t>
  </si>
  <si>
    <t>IDEA</t>
  </si>
  <si>
    <t>Per SPED student</t>
  </si>
  <si>
    <t>Bus purchase price (used bus)</t>
  </si>
  <si>
    <t>Library books</t>
  </si>
  <si>
    <t>GASB 45</t>
  </si>
  <si>
    <t>Unemployment Insurance</t>
  </si>
  <si>
    <t>Per employee</t>
  </si>
  <si>
    <t>Total Grade Level Teacher GASB 45</t>
  </si>
  <si>
    <t>Total GASB 45</t>
  </si>
  <si>
    <t>Total Grade Level Teacher Unemployment Insurance</t>
  </si>
  <si>
    <t>Federal Breakfast Program</t>
  </si>
  <si>
    <t>Breakfast Program</t>
  </si>
  <si>
    <t>Breakfast Program -- Federal Reimbursement</t>
  </si>
  <si>
    <t>"yes" or "no"</t>
  </si>
  <si>
    <t>Capital Outlay</t>
  </si>
  <si>
    <t>LEASE OPTION</t>
  </si>
  <si>
    <t>PURCHASE OPTION</t>
  </si>
  <si>
    <t>Square feet purchased</t>
  </si>
  <si>
    <t>Square feet leased</t>
  </si>
  <si>
    <t>Purchase price per sq ft</t>
  </si>
  <si>
    <t>Purchase price</t>
  </si>
  <si>
    <t>Renovation cost per sq ft</t>
  </si>
  <si>
    <t>Total renovation costs</t>
  </si>
  <si>
    <t>Purchase price and renovation costs</t>
  </si>
  <si>
    <t>Equity (down payment)</t>
  </si>
  <si>
    <t>Financing costs (6 months during planning year)</t>
  </si>
  <si>
    <t>Student enrollment</t>
  </si>
  <si>
    <t>Utilities</t>
  </si>
  <si>
    <t>Custodial Services</t>
  </si>
  <si>
    <t>FACILITIES</t>
  </si>
  <si>
    <t>Other start-up grant funds</t>
  </si>
  <si>
    <t>County where school is located</t>
  </si>
  <si>
    <t xml:space="preserve">Field trips </t>
  </si>
  <si>
    <t>School uniforms</t>
  </si>
  <si>
    <t>Athletic expenditures</t>
  </si>
  <si>
    <t>Per Student</t>
  </si>
  <si>
    <t>FINANCIAL PLAN WORKBOOK INSTRUCTIONS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</si>
  <si>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</si>
  <si>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The general operating expense assumptions section houses the majority of the expenditures that are necessary to operate your charter school.</t>
  </si>
  <si>
    <t>School Inputs</t>
  </si>
  <si>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</si>
  <si>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t>Technology Support Services</t>
  </si>
  <si>
    <t>Special Ed/Psychology Consultant</t>
  </si>
  <si>
    <t>Annual Expense</t>
  </si>
  <si>
    <t>Travel and Meetings</t>
  </si>
  <si>
    <t>Food services</t>
  </si>
  <si>
    <t>Dues and memberships</t>
  </si>
  <si>
    <t>Yearbook</t>
  </si>
  <si>
    <t>School store</t>
  </si>
  <si>
    <t>Contracted SPED</t>
  </si>
  <si>
    <t>Music program</t>
  </si>
  <si>
    <t>% of S&amp;L Revenues</t>
  </si>
  <si>
    <t>Accounting services</t>
  </si>
  <si>
    <t>Background checks</t>
  </si>
  <si>
    <t>FTE Cell phones (monthly coverage)</t>
  </si>
  <si>
    <t>Per new FTE</t>
  </si>
  <si>
    <t>Number of classrooms</t>
  </si>
  <si>
    <t>Per classroom</t>
  </si>
  <si>
    <t>Computer Software</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</si>
  <si>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</si>
  <si>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</si>
  <si>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</si>
  <si>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</si>
  <si>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</si>
  <si>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</si>
  <si>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</si>
  <si>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</si>
  <si>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</si>
  <si>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</si>
  <si>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</si>
  <si>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</si>
  <si>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</si>
  <si>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</si>
  <si>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</si>
  <si>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</si>
  <si>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</si>
  <si>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</si>
  <si>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Enrollment</t>
  </si>
  <si>
    <t>Multi-District</t>
  </si>
  <si>
    <t>Subtotal</t>
  </si>
  <si>
    <t>DSA</t>
  </si>
  <si>
    <t>State Special Education Funding</t>
  </si>
  <si>
    <t>Charter start-up funds (Federal R&amp;E already awarded to operator--not SEA grant)</t>
  </si>
  <si>
    <t>R&amp;E start-up funds</t>
  </si>
  <si>
    <t>Other start-up funds</t>
  </si>
  <si>
    <t>DSA Funding</t>
  </si>
  <si>
    <t>July</t>
  </si>
  <si>
    <t>August</t>
  </si>
  <si>
    <t>September</t>
  </si>
  <si>
    <t>October</t>
  </si>
  <si>
    <t>November</t>
  </si>
  <si>
    <t>December</t>
  </si>
  <si>
    <t>January</t>
  </si>
  <si>
    <t>February</t>
  </si>
  <si>
    <t>March</t>
  </si>
  <si>
    <t>April</t>
  </si>
  <si>
    <t xml:space="preserve">May </t>
  </si>
  <si>
    <t>June</t>
  </si>
  <si>
    <t>REVENUES</t>
  </si>
  <si>
    <t>Distributive School Acct</t>
  </si>
  <si>
    <t>Total Revenues</t>
  </si>
  <si>
    <t>Total Revenues Y-T-D</t>
  </si>
  <si>
    <t>EXPENDITURES</t>
  </si>
  <si>
    <t>Salaries</t>
  </si>
  <si>
    <t>Benefits</t>
  </si>
  <si>
    <t>Contracts</t>
  </si>
  <si>
    <t>Total Expenses Y-T-D</t>
  </si>
  <si>
    <t>Projected Cash Balance Statement</t>
  </si>
  <si>
    <t>Net change in Cash (F/B)</t>
  </si>
  <si>
    <t>Begin Cash Balance(F/B)</t>
  </si>
  <si>
    <t>End Cash Balance (F/B)</t>
  </si>
  <si>
    <t>Licensing fees</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</si>
  <si>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</si>
  <si>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</si>
  <si>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</si>
  <si>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</si>
  <si>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</si>
  <si>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</si>
  <si>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DSA Sponsorship Fee</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</si>
  <si>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</si>
  <si>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</si>
  <si>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</si>
  <si>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</si>
  <si>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</si>
  <si>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t>Total Distributive School Account, including local revenue (funding per student)</t>
  </si>
  <si>
    <t>Title III</t>
  </si>
  <si>
    <t>Title IIA</t>
  </si>
  <si>
    <t>Per student FRL Student</t>
  </si>
  <si>
    <t>Per ELL student</t>
  </si>
  <si>
    <t>Title IA</t>
  </si>
  <si>
    <t>Per student FRL Student (note additional $3.50 per non FRL student)</t>
  </si>
  <si>
    <t>Per student (up to 13%)</t>
  </si>
  <si>
    <t>Inflation adjustor</t>
  </si>
  <si>
    <t>Applies to DSA and Sponsorship fee</t>
  </si>
  <si>
    <t>Per emplooyee per year</t>
  </si>
  <si>
    <t>Percentage of Salary</t>
  </si>
  <si>
    <t>Assistant Principal</t>
  </si>
  <si>
    <t>yes</t>
  </si>
  <si>
    <t>Guidance Counselor</t>
  </si>
  <si>
    <t>Student Fees</t>
  </si>
  <si>
    <t>Food Service</t>
  </si>
  <si>
    <t>Fundraising / Donations</t>
  </si>
  <si>
    <t>% Revenue YTD</t>
  </si>
  <si>
    <t>% Budget YTD</t>
  </si>
  <si>
    <t>Number of Occupants</t>
  </si>
  <si>
    <t>Sq ft / Students</t>
  </si>
  <si>
    <t>Sq ft / Occupants</t>
  </si>
  <si>
    <t>YTD (Rev &gt; Exp)</t>
  </si>
  <si>
    <t>Percentage of Revenue</t>
  </si>
  <si>
    <t>SF/pupil</t>
  </si>
  <si>
    <t xml:space="preserve">  Net/p</t>
  </si>
  <si>
    <t>PER PUPIL</t>
  </si>
  <si>
    <t>PERCENT TOTAL REVENUE</t>
  </si>
  <si>
    <t>Number of Admin</t>
  </si>
  <si>
    <t xml:space="preserve">   Student/Admin ratio</t>
  </si>
  <si>
    <t xml:space="preserve">   Teacher/Admin ratio</t>
  </si>
  <si>
    <t>Number of Office (non Admin)</t>
  </si>
  <si>
    <t>Number of Teachers (Total)</t>
  </si>
  <si>
    <t>Number of Teachers (Grade)</t>
  </si>
  <si>
    <t xml:space="preserve">   Student/Office ratio</t>
  </si>
  <si>
    <t xml:space="preserve">   Teacher/Office ratio</t>
  </si>
  <si>
    <t xml:space="preserve">   Surplus % pp funding</t>
  </si>
  <si>
    <t xml:space="preserve">   Subtotal</t>
  </si>
  <si>
    <t>Salaries/Teachers-Grade Level</t>
  </si>
  <si>
    <t xml:space="preserve">   # students &gt; Bkeven</t>
  </si>
  <si>
    <t xml:space="preserve">   % students &gt; Bkeven</t>
  </si>
  <si>
    <t>Square Feet (Facility, Conditioned)</t>
  </si>
  <si>
    <t xml:space="preserve">Title IIA Professional Dev </t>
  </si>
  <si>
    <t>Cash/Expense X</t>
  </si>
  <si>
    <t>Benefits/Salaries Exp</t>
  </si>
  <si>
    <t># Employees</t>
  </si>
  <si>
    <t>Benefits/Employee</t>
  </si>
  <si>
    <t>Salaries/Employee</t>
  </si>
  <si>
    <t>Test Academy</t>
  </si>
  <si>
    <t>SY Ending</t>
  </si>
  <si>
    <t>School Year 1 (Fall Start)</t>
  </si>
  <si>
    <t>SY 1</t>
  </si>
  <si>
    <t>SY 2</t>
  </si>
  <si>
    <t>SY 3</t>
  </si>
  <si>
    <t>SY 4</t>
  </si>
  <si>
    <t>SY 5</t>
  </si>
  <si>
    <t>SY 6</t>
  </si>
  <si>
    <t>Special Education (SPED) Weighted Funding</t>
  </si>
  <si>
    <t>ENROLLMENT</t>
  </si>
  <si>
    <t xml:space="preserve">Winter, Spring  </t>
  </si>
  <si>
    <t>Fall, Winter</t>
  </si>
  <si>
    <t>Total Revenue / Pupil</t>
  </si>
  <si>
    <t>Mike Dang</t>
  </si>
  <si>
    <t>Nevada State Public Charter School Authority</t>
  </si>
  <si>
    <t>Position Description</t>
  </si>
  <si>
    <t>Number of Staff Per Position (FTE's)</t>
  </si>
  <si>
    <t>Teachers</t>
  </si>
  <si>
    <t>Teacher Aides</t>
  </si>
  <si>
    <t>Administrative Assistant</t>
  </si>
  <si>
    <t>Principal</t>
  </si>
  <si>
    <t>Deans</t>
  </si>
  <si>
    <t>Office Manager</t>
  </si>
  <si>
    <t>FICA Expense</t>
  </si>
  <si>
    <t>Medicare Expense</t>
  </si>
  <si>
    <t>Staff Recruitment/Hiring</t>
  </si>
  <si>
    <t>Board Recruitment and Screening</t>
  </si>
  <si>
    <t>Website Development</t>
  </si>
  <si>
    <t>Brochures/Information</t>
  </si>
  <si>
    <t>Nonprofit Incorporation</t>
  </si>
  <si>
    <t>Admissions Lottery</t>
  </si>
  <si>
    <t>Charter Contract Operations Term</t>
  </si>
  <si>
    <t>SY 0</t>
  </si>
  <si>
    <t>Fall of School Year 1 =</t>
  </si>
  <si>
    <t>School Operations Year 1</t>
  </si>
  <si>
    <t>(Carry over totals and input to appropriate worksheets)</t>
  </si>
  <si>
    <t>(This is a year 1 budget.  It is not a pre-opening budget)</t>
  </si>
  <si>
    <t>Be sure to copy year 1 information from the Cashflow Worksheet</t>
  </si>
  <si>
    <t>Total</t>
  </si>
  <si>
    <t xml:space="preserve">Other </t>
  </si>
  <si>
    <t>Average Salary 
for Position</t>
  </si>
  <si>
    <t>TOTAL USES THROUGH PRE-OPENING</t>
  </si>
  <si>
    <t>TOTAL SOURCES THROUGH PRE-OPENING</t>
  </si>
  <si>
    <t>Lease sq ft</t>
  </si>
  <si>
    <t>Capital Outlay (building renovations, Tenant Improvements)</t>
  </si>
  <si>
    <t>Projected</t>
  </si>
  <si>
    <t>SY1 Ending</t>
  </si>
  <si>
    <t>SURPLUS/(DEFICIT) Per Pupil</t>
  </si>
  <si>
    <t>NSPF Rtg</t>
  </si>
  <si>
    <t>Location(s) under consideration: (Address or cross street, City, County)</t>
  </si>
  <si>
    <t>702.486.8879</t>
  </si>
  <si>
    <t>Budget Summary Report</t>
  </si>
  <si>
    <t>Admin 4</t>
  </si>
  <si>
    <t>Admin 5</t>
  </si>
  <si>
    <t>Office 4</t>
  </si>
  <si>
    <t>DRAFT</t>
  </si>
  <si>
    <t>Sources &gt; Uses (&lt;, less than)</t>
  </si>
  <si>
    <t>SPED</t>
  </si>
  <si>
    <t>ELL</t>
  </si>
  <si>
    <t>FRL
Students</t>
  </si>
  <si>
    <t>ELL
Students</t>
  </si>
  <si>
    <t>FRL</t>
  </si>
  <si>
    <t>OSRev/Tot</t>
  </si>
  <si>
    <t>Rev/CCSD</t>
  </si>
  <si>
    <t>CAM (Common Area Maintenance &amp; Other)</t>
  </si>
  <si>
    <t>Custodial (Non CAM)</t>
  </si>
  <si>
    <t>Part-Time Wages</t>
  </si>
  <si>
    <t>Performance Bonuses</t>
  </si>
  <si>
    <t>Difference</t>
  </si>
  <si>
    <t>Index</t>
  </si>
  <si>
    <t>Planned
Enrollment</t>
  </si>
  <si>
    <t>Pmt
Freq</t>
  </si>
  <si>
    <t>Avg/St</t>
  </si>
  <si>
    <t>SYE-20 Rates</t>
  </si>
  <si>
    <t>Total EMO-CMO-ESP Planned Expenses</t>
  </si>
  <si>
    <t>If Lease, then facility type:</t>
  </si>
  <si>
    <t>Retail/shopping, office, industrial, school, church, other__________</t>
  </si>
  <si>
    <t>City/County sign off of improvement plans--all required work identified</t>
  </si>
  <si>
    <t xml:space="preserve">Supervision of building Design &amp; Remodeling, </t>
  </si>
  <si>
    <t xml:space="preserve">Development of Curriculum and Instruction, </t>
  </si>
  <si>
    <t xml:space="preserve">Professional Development and </t>
  </si>
  <si>
    <t xml:space="preserve">Establishment of College Guidance &amp; Counseling Program. </t>
  </si>
  <si>
    <t xml:space="preserve">      v.      Volunteers at the charter school; and</t>
  </si>
  <si>
    <t>      iii.      The sponsor of the charter school;</t>
  </si>
  <si>
    <t>Premium/SYr</t>
  </si>
  <si>
    <t>Liability - Liability coverage for premises you rent or own.</t>
  </si>
  <si>
    <t>Pd Pmt Amounts</t>
  </si>
  <si>
    <t>Purchasing</t>
  </si>
  <si>
    <t>Sponsorship Fee</t>
  </si>
  <si>
    <t>EMO Payments Net</t>
  </si>
  <si>
    <t>Bank Fees &amp; Points</t>
  </si>
  <si>
    <t>Interest Exp</t>
  </si>
  <si>
    <t>Financing Fees &amp; Points</t>
  </si>
  <si>
    <t>Qrtr</t>
  </si>
  <si>
    <t>Mon</t>
  </si>
  <si>
    <t>Totals</t>
  </si>
  <si>
    <t>Annual Cost</t>
  </si>
  <si>
    <t>New Laptops - faculty (acquisition cost)</t>
  </si>
  <si>
    <t>Laptop replacement (acquisition cost)</t>
  </si>
  <si>
    <t>Laptop depreciation expense</t>
  </si>
  <si>
    <t>Per new laptop</t>
  </si>
  <si>
    <t>Mobile lap top cart  and/or student desktops (acquisition costs)</t>
  </si>
  <si>
    <t>Mobile lap top cart  and/or student desktops replacements (acquisition costs)</t>
  </si>
  <si>
    <t>Mobile lap top cart  and/or student desktops depreciation expense</t>
  </si>
  <si>
    <t>FTE cell phone handset (acquisition cost)</t>
  </si>
  <si>
    <t>FTE cell phone handset replacement (acquisition cost)</t>
  </si>
  <si>
    <t>FTE cell phone handset depreciation expense</t>
  </si>
  <si>
    <t>Server (acquisition cost)</t>
  </si>
  <si>
    <t>Server replacement (acquisition cost)</t>
  </si>
  <si>
    <t>Server depreciation expense</t>
  </si>
  <si>
    <t>Classroom technology (acquisition cost)</t>
  </si>
  <si>
    <t>Classroom technology replacement (acquisition cost)</t>
  </si>
  <si>
    <t>Classroom technology depreciation expense</t>
  </si>
  <si>
    <t>3 year life</t>
  </si>
  <si>
    <t>per NV Personal Property Manual</t>
  </si>
  <si>
    <t>5 year life</t>
  </si>
  <si>
    <t>Other Equipment (security system)(Hardware costs, setup fees) (acquisition cost)</t>
  </si>
  <si>
    <t>Other Equipment replacement (acquisition cost)</t>
  </si>
  <si>
    <t>Depreciation expense (please calculate depreciation on a straight line basis)</t>
  </si>
  <si>
    <t>Expected years</t>
  </si>
  <si>
    <t>Computer Hardware (not already included in prior lines) (acquisition cost)</t>
  </si>
  <si>
    <t>Computer Hardware replacement (cost of acquisition)</t>
  </si>
  <si>
    <t>Computer Hardware depreciation expense</t>
  </si>
  <si>
    <t>Faculty furniture (acquisition cost)</t>
  </si>
  <si>
    <t>Student furniture (acquisition cost)</t>
  </si>
  <si>
    <t>Capital Outlay depreciation expense</t>
  </si>
  <si>
    <t>Total cash cost to lease</t>
  </si>
  <si>
    <t>Total cash costs to purchase</t>
  </si>
  <si>
    <t xml:space="preserve">Estimated annual interest expense </t>
  </si>
  <si>
    <t>(based on PV of all interest payments)</t>
  </si>
  <si>
    <t>TOTAL FACILITIES CASH COSTS</t>
  </si>
  <si>
    <t>Method of Marketing</t>
  </si>
  <si>
    <t>Total Cost</t>
  </si>
  <si>
    <t>Instructional Supplies</t>
  </si>
  <si>
    <t>Athletics</t>
  </si>
  <si>
    <t>Lease/Mortgage</t>
  </si>
  <si>
    <t>Marketing</t>
  </si>
  <si>
    <t>CAM</t>
  </si>
  <si>
    <t>Insurance</t>
  </si>
  <si>
    <t>Loans/Financing Acquired</t>
  </si>
  <si>
    <t>Loans/Financing Repaid</t>
  </si>
  <si>
    <t>FINANCING ACTIVITIES</t>
  </si>
  <si>
    <t>Net Change in cash from operations</t>
  </si>
  <si>
    <t>Net change in cash from financing</t>
  </si>
  <si>
    <t>FFE&amp;T</t>
  </si>
  <si>
    <t xml:space="preserve">Total Revenue </t>
  </si>
  <si>
    <t>Percentage of Expense</t>
  </si>
  <si>
    <t>% of available cash at start of month</t>
  </si>
  <si>
    <t>% of available cash at end of month</t>
  </si>
  <si>
    <t>Loan Balance</t>
  </si>
  <si>
    <t>Interest Expense (assumes 24% APR)</t>
  </si>
  <si>
    <t>State SPED Funding</t>
  </si>
  <si>
    <t>Charter Start up funds</t>
  </si>
  <si>
    <t>Private Fundraising</t>
  </si>
  <si>
    <t>Fundraising Donations</t>
  </si>
  <si>
    <t>Total lease book expense</t>
  </si>
  <si>
    <t>TOTAL FACILITIES Book Expense</t>
  </si>
  <si>
    <t>Total purchase book  expense</t>
  </si>
  <si>
    <t>Covered but</t>
  </si>
  <si>
    <t>Fundraising Donations (w/Ltr of Support)</t>
  </si>
  <si>
    <t>Private Fundraising (w/Ltr of Support)</t>
  </si>
  <si>
    <t>SURPLUS/(DEFICIT)(Cumu')</t>
  </si>
  <si>
    <t>Totals / Max'</t>
  </si>
  <si>
    <t>Growth, # students</t>
  </si>
  <si>
    <t xml:space="preserve">   Target Reenrollment (NRS 388A.273)</t>
  </si>
  <si>
    <t xml:space="preserve">   FRL (# of students)</t>
  </si>
  <si>
    <t xml:space="preserve">   ELL (# of students)</t>
  </si>
  <si>
    <t>Special Education (% of students)</t>
  </si>
  <si>
    <t>ELL (% of students)</t>
  </si>
  <si>
    <t>FRL (% of students)</t>
  </si>
  <si>
    <t>Special Education (# of students)</t>
  </si>
  <si>
    <t>Special Education Teachers (#)</t>
  </si>
  <si>
    <t>Schedule estimate</t>
  </si>
  <si>
    <t>Student / Classroom (w/o teachers)</t>
  </si>
  <si>
    <t>STUDENT RECRUITMENT AND MARKETING</t>
  </si>
  <si>
    <t>SY Ending (SYE)</t>
  </si>
  <si>
    <t>School Year 1 (Fall Start) Teaching Starts</t>
  </si>
  <si>
    <t xml:space="preserve">   Student/Classroom w/o Teacher</t>
  </si>
  <si>
    <t xml:space="preserve">   Student/Teacher</t>
  </si>
  <si>
    <t>Ending Fund Balance (cumulative)</t>
  </si>
  <si>
    <t>Bundled? y/n</t>
  </si>
  <si>
    <t>Coverage</t>
  </si>
  <si>
    <t>Minimum</t>
  </si>
  <si>
    <t>EMO / CMO Fee See Tab</t>
  </si>
  <si>
    <t>Y/N</t>
  </si>
  <si>
    <t>EMO Payments</t>
  </si>
  <si>
    <t>Flat fee per student per year (Years 4-6)</t>
  </si>
  <si>
    <t>Flat fee per student per year (Years 1-3, Startup)</t>
  </si>
  <si>
    <t>% fee per revenue per year (Years 1-3, Startup)</t>
  </si>
  <si>
    <t>% fee per revenue per year (Years 4-6)</t>
  </si>
  <si>
    <t>Cost</t>
  </si>
  <si>
    <t>Pass Thru?</t>
  </si>
  <si>
    <t>Other (Describe)</t>
  </si>
  <si>
    <t>y</t>
  </si>
  <si>
    <t>Cost plus (Years 4-6)</t>
  </si>
  <si>
    <t>Total Revenue</t>
  </si>
  <si>
    <t>Phone number</t>
  </si>
  <si>
    <t xml:space="preserve">  email address</t>
  </si>
  <si>
    <t>SPED Students/Teacher</t>
  </si>
  <si>
    <t>Grade
Level(s)</t>
  </si>
  <si>
    <t>Capacity</t>
  </si>
  <si>
    <t xml:space="preserve">
Enrollment</t>
  </si>
  <si>
    <t>From</t>
  </si>
  <si>
    <t>Food Costs</t>
  </si>
  <si>
    <t>PART TIME WAGES</t>
  </si>
  <si>
    <t>TOTAL FFE &amp; T COSTS (book expense)</t>
  </si>
  <si>
    <t>TOTAL FFE &amp; T COSTS (cash acquisition cost)</t>
  </si>
  <si>
    <t>Management fees (Other--not EMO; not CMO)</t>
  </si>
  <si>
    <t>Other fee structure (describe)%</t>
  </si>
  <si>
    <t xml:space="preserve">   Furniture depreciation (based on 15 year life, per NV Personal Property Manual)</t>
  </si>
  <si>
    <t>This is a worksheet.  Select items are pulled from this sheet to the Budget Summary.</t>
  </si>
  <si>
    <t>General Liability Aggregate</t>
  </si>
  <si>
    <t>General Liability Per Occurrence</t>
  </si>
  <si>
    <t>Products/Completed Operations Aggregate</t>
  </si>
  <si>
    <t>Personal and Advertising Injury</t>
  </si>
  <si>
    <t>Student Accident - per accident</t>
  </si>
  <si>
    <t>Employee Benefits Liability Per Occurrence</t>
  </si>
  <si>
    <t>Employee Benefits Liability Aggregate</t>
  </si>
  <si>
    <t>Commercial Auto Liability</t>
  </si>
  <si>
    <t>Building Limit</t>
  </si>
  <si>
    <t>Employee Dishonesty/Crime</t>
  </si>
  <si>
    <t>Educators Legal Liability Per Occurrence</t>
  </si>
  <si>
    <t>Educators Legal Liability Aggregate</t>
  </si>
  <si>
    <t>Directors &amp; Officers Liability Per Occurrence</t>
  </si>
  <si>
    <t>Directors &amp; Officers Liability Aggregate</t>
  </si>
  <si>
    <t>Employment Practices Liability Per Occurrence</t>
  </si>
  <si>
    <t>Employment Practices Liability Aggregate</t>
  </si>
  <si>
    <t>Workers Compensation</t>
  </si>
  <si>
    <t>Excess/Umbrella Liability</t>
  </si>
  <si>
    <t>Student / Classroom</t>
  </si>
  <si>
    <t xml:space="preserve">Total Special EducationTeachers </t>
  </si>
  <si>
    <t>Grade Level (Core) Teachers</t>
  </si>
  <si>
    <t xml:space="preserve">Surplus/(Deficit)-Schl &amp; Pri' Fundraising-S Fees </t>
  </si>
  <si>
    <t>Surplus/(Deficit) (Cumu')</t>
  </si>
  <si>
    <t xml:space="preserve">  Estimated # students to newly enroll</t>
  </si>
  <si>
    <t>Lease cost/sf/month</t>
  </si>
  <si>
    <t>Educational software/curriculum</t>
  </si>
  <si>
    <t>Potential location(s) under consideration: (Address or cross street, City, County)</t>
  </si>
  <si>
    <t xml:space="preserve">  Ethnicity</t>
  </si>
  <si>
    <t>Special Population</t>
  </si>
  <si>
    <t>IEP</t>
  </si>
  <si>
    <t>Asians</t>
  </si>
  <si>
    <t>Black</t>
  </si>
  <si>
    <t>C-White</t>
  </si>
  <si>
    <t>Hispanic</t>
  </si>
  <si>
    <t>I-Native
American</t>
  </si>
  <si>
    <t>Multiple</t>
  </si>
  <si>
    <t>Pacific
Islander</t>
  </si>
  <si>
    <t>OPERATING EXPENDITURES &amp; OTHER CASH OUTLAYS</t>
  </si>
  <si>
    <t>Capital Outlay (TI)</t>
  </si>
  <si>
    <t>Security Deposits (Site Lease)</t>
  </si>
  <si>
    <t>Security Deposit(s)(post to Cashflow ("CF Y1 Mo" tab)</t>
  </si>
  <si>
    <t>Campus security</t>
  </si>
  <si>
    <t>/yr</t>
  </si>
  <si>
    <t>Facility lease cost</t>
  </si>
  <si>
    <t>Enrollment, Staffing, Expenses</t>
  </si>
  <si>
    <t>Property- Coverage for building or personal property you own.</t>
  </si>
  <si>
    <t>Professional Liability - Coverage for teachers and professional educators</t>
  </si>
  <si>
    <t>Workers Compensation - Coverage for injury or accident for employees.</t>
  </si>
  <si>
    <t>Automobile - Coverage for any owned automobiles by the school.</t>
  </si>
  <si>
    <t>Cyberliability- Coverage due to loss if computer systems hacked.</t>
  </si>
  <si>
    <t>Umbrella - Coverage due to claim exhausting Liability limits.</t>
  </si>
  <si>
    <t>General liability insurance</t>
  </si>
  <si>
    <t>Umbrella liability insurance</t>
  </si>
  <si>
    <t>Educators’ legal liability insurance</t>
  </si>
  <si>
    <t>Employment practices liability insurance</t>
  </si>
  <si>
    <t>Employment benefits liability insurance</t>
  </si>
  <si>
    <t>Motor vehicle liability insurance if applicable</t>
  </si>
  <si>
    <t>Liability insurance for sports and athletic participation</t>
  </si>
  <si>
    <t xml:space="preserve">       i.      Coverage for molestation and sexual abuse</t>
  </si>
  <si>
    <t xml:space="preserve">       ii.      Broad form policy, with the named insureds as follows:</t>
  </si>
  <si>
    <t xml:space="preserve">      iv.      All employees: former, present and future</t>
  </si>
  <si>
    <t>Employment Practices Liability - discrimination, termination, harassment.</t>
  </si>
  <si>
    <t>Accident Insurance - For volunteers or students due to accident at school.</t>
  </si>
  <si>
    <t>Directors and Officers - For director or officers of the school.</t>
  </si>
  <si>
    <t>Errors and Omissions (of sponsor and governing body of charter school)</t>
  </si>
  <si>
    <t xml:space="preserve">      vi.      Directors, including, without limitation, executive directors.</t>
  </si>
  <si>
    <t>Insurance Coverage</t>
  </si>
  <si>
    <t>Check with your attorney or insurance agent as to what types of insurance you may need.</t>
  </si>
  <si>
    <t>Marketing Plan &amp; Implementation</t>
  </si>
  <si>
    <t>Market Statistics for School</t>
  </si>
  <si>
    <t>Abuse or Molestation: Aggregate</t>
  </si>
  <si>
    <t>Abuse or Molestation: Per Occurrence</t>
  </si>
  <si>
    <t>Insurance types (Depending on coverage)</t>
  </si>
  <si>
    <t>(Add other coverages here)</t>
  </si>
  <si>
    <t>HR Management</t>
  </si>
  <si>
    <t>Total Expenses (w/o EMO/CMO Fees)</t>
  </si>
  <si>
    <t>Education Management Organization (EMO)</t>
  </si>
  <si>
    <t>Charter Management Organization (CMO)</t>
  </si>
  <si>
    <t>Manage or Operate aspects of a charter school</t>
  </si>
  <si>
    <t>Incl'd</t>
  </si>
  <si>
    <t>in fee?</t>
  </si>
  <si>
    <t>Service?</t>
  </si>
  <si>
    <t xml:space="preserve">Cash Advances For Startup Funds, </t>
  </si>
  <si>
    <t xml:space="preserve">Capital Loans, </t>
  </si>
  <si>
    <t xml:space="preserve">Facility Leasing, </t>
  </si>
  <si>
    <t xml:space="preserve">Bond Financing, </t>
  </si>
  <si>
    <t xml:space="preserve">Technology Contracting, </t>
  </si>
  <si>
    <t xml:space="preserve">Furnishings, Fixtures, </t>
  </si>
  <si>
    <t xml:space="preserve">Textbooks, Other Transactions, </t>
  </si>
  <si>
    <t>Computer/Other Leasing</t>
  </si>
  <si>
    <t>Food Servicing</t>
  </si>
  <si>
    <t>Contract Mgt</t>
  </si>
  <si>
    <t>Internal Control Process Development</t>
  </si>
  <si>
    <t>"Back office" functions (A/P, A/R, Payroll, Inventory, financial, compliance, reporting)</t>
  </si>
  <si>
    <t xml:space="preserve">Mike Dang, 702.486.8879, mdang@spcsa.nv.gov </t>
  </si>
  <si>
    <t>Cover Sheet</t>
  </si>
  <si>
    <t>Proposed Name of School</t>
  </si>
  <si>
    <t>Name of lead contact(s)</t>
  </si>
  <si>
    <t>For start-up funding</t>
  </si>
  <si>
    <t>For fundraising</t>
  </si>
  <si>
    <t>Site 2</t>
  </si>
  <si>
    <t>Specific address recommended but not required .  Target cross streets required at a minimum.</t>
  </si>
  <si>
    <t>Specific address recommended but not required.</t>
  </si>
  <si>
    <t>Site 1</t>
  </si>
  <si>
    <t>Special Education (SPED) Teachers</t>
  </si>
  <si>
    <t>English Language Learner (ELL) Teachers</t>
  </si>
  <si>
    <t>Total ELL Teachers</t>
  </si>
  <si>
    <t xml:space="preserve">Total Special Education/ELL Teachers/Guidance Counselors </t>
  </si>
  <si>
    <t>Total Guidance Counselors/Other</t>
  </si>
  <si>
    <t>na</t>
  </si>
  <si>
    <t>DSA Rates</t>
  </si>
  <si>
    <t>Three sample Listings of buildings in targeted/planned zip code being considered.</t>
  </si>
  <si>
    <t>Listing must show available square footage, lease rates, location. (E.g., Loopnet)</t>
  </si>
  <si>
    <t>SY 0/Incubation</t>
  </si>
  <si>
    <t>Guidance Counselor &amp; Other</t>
  </si>
  <si>
    <t>FTE - Office</t>
  </si>
  <si>
    <t>FTE - Administrators</t>
  </si>
  <si>
    <t>FTE - SPED/ELL Teachers, Counselors</t>
  </si>
  <si>
    <t>FTE - Grade Level Teachers</t>
  </si>
  <si>
    <t xml:space="preserve">   FTE - Total </t>
  </si>
  <si>
    <t>Number of Teachers (ELL)</t>
  </si>
  <si>
    <t>Number of Teachers (SPED)</t>
  </si>
  <si>
    <t>Total Teachers (SPED, ELL, Grade + Counselors)</t>
  </si>
  <si>
    <t>General</t>
  </si>
  <si>
    <t>UNEMPLOYMENT INSURANCE</t>
  </si>
  <si>
    <t>TOTAL STATE RETIREMENT COSTS</t>
  </si>
  <si>
    <t>LIFE INSURANCE</t>
  </si>
  <si>
    <t>TOTAL UNEMPLOYMENT INSURANCE</t>
  </si>
  <si>
    <t>TOTAL LIFE INSURANCE</t>
  </si>
  <si>
    <t>Total - Personnel</t>
  </si>
  <si>
    <t>General Operating</t>
  </si>
  <si>
    <t>Balance check (all expenses accounted for on this page)</t>
  </si>
  <si>
    <t>PERSONNEL (W/PAYROLL)</t>
  </si>
  <si>
    <t>Salaries: Teachers (ELL)</t>
  </si>
  <si>
    <t>Salaries: Teachers (SPED)</t>
  </si>
  <si>
    <t>Salaries: Office staff</t>
  </si>
  <si>
    <t>Salaries: Administrator</t>
  </si>
  <si>
    <t>Revenue/pupil</t>
  </si>
  <si>
    <t>Expenses/pupil</t>
  </si>
  <si>
    <t xml:space="preserve">All potential source Public, 
Private, Charter Schools </t>
  </si>
  <si>
    <t xml:space="preserve">Planned school year starting in August </t>
  </si>
  <si>
    <t>The above list may serve as a prompt of insurance coverages and insurance packages that need to be considered and acquired.</t>
  </si>
  <si>
    <t>Consult with your insurance agent regarding the coverages your school, faculty, leadership and board may need or want.</t>
  </si>
  <si>
    <t>Attach supporting documentation regarding sources of funds included.</t>
  </si>
  <si>
    <t>EMO-CMO Budget Worksheet</t>
  </si>
  <si>
    <t>EMO/CMO Services / Fee basis/Type</t>
  </si>
  <si>
    <t>Year 1 Cash Flow Worksheet</t>
  </si>
  <si>
    <t>Variance</t>
  </si>
  <si>
    <t>RECONCILIATION (Do not print this section)</t>
  </si>
  <si>
    <t>Worksheet: Incubation Year</t>
  </si>
  <si>
    <t>Pre-Approval &amp; Pre-Opening</t>
  </si>
  <si>
    <t>Uses</t>
  </si>
  <si>
    <t>SOURCES OF FUNDS TO COVER PRE-APPROVAL AND PRE-OPENING COSTS</t>
  </si>
  <si>
    <t>6 yr+0</t>
  </si>
  <si>
    <t>Other</t>
  </si>
  <si>
    <t>Other Pre-approval &amp; Pre-Opening</t>
  </si>
  <si>
    <t>Non Revenue Sources of funds</t>
  </si>
  <si>
    <t>To pull to other sheets</t>
  </si>
  <si>
    <t>Square Feet</t>
  </si>
  <si>
    <t xml:space="preserve">Maintenance </t>
  </si>
  <si>
    <t>CAM/Maintenance</t>
  </si>
  <si>
    <t>Campus Security</t>
  </si>
  <si>
    <t>I added "if" functions here so that other sheets that pull from facilities will update for lease vs purchase.  These rows will probably be able to be hidden in the final workbook.</t>
  </si>
  <si>
    <t>Distance fr school</t>
  </si>
  <si>
    <t>Over
 Capacity</t>
  </si>
  <si>
    <t>Potential Site 2</t>
  </si>
  <si>
    <t>Location(s) under consideration: (Addresses or cross streets, City)(1 minimum, 2 maximum)</t>
  </si>
  <si>
    <t>Remove lines which are not applicable to your school.  Add desriptions and amounts where needed.</t>
  </si>
  <si>
    <t>Example 1</t>
  </si>
  <si>
    <t>Example 2</t>
  </si>
  <si>
    <t>Applicant yr1</t>
  </si>
  <si>
    <t>500 Students</t>
  </si>
  <si>
    <t>Grade levels</t>
  </si>
  <si>
    <t>9th-12th</t>
  </si>
  <si>
    <t>Students per CR</t>
  </si>
  <si>
    <t>25:1</t>
  </si>
  <si>
    <t>Core classrooms SF</t>
  </si>
  <si>
    <t>20 cls @ 850 SF each = 17,000 SF</t>
  </si>
  <si>
    <t>Science labs SF</t>
  </si>
  <si>
    <t>2 cls @ 1000 SF each</t>
  </si>
  <si>
    <t>Computer labs / media centers</t>
  </si>
  <si>
    <t>1 room @ 1000 SF</t>
  </si>
  <si>
    <t>SPED Specialty offices / classrooms</t>
  </si>
  <si>
    <t>SPED, counseling room(s) - 
2 @ 400 SF each, 4 @ 100 SF each</t>
  </si>
  <si>
    <t>ELL Specialty offices / classrooms</t>
  </si>
  <si>
    <t>SPED, ELL, counseling rooms - 
2 @ 400 SF each, 4 @ 100 SF each</t>
  </si>
  <si>
    <t>Reception area / offices</t>
  </si>
  <si>
    <t>Reception area @   400 SF</t>
  </si>
  <si>
    <t>Administrative offices</t>
  </si>
  <si>
    <t>Four offices at 100 SF each</t>
  </si>
  <si>
    <t>Conference room(s)</t>
  </si>
  <si>
    <t>400 SF</t>
  </si>
  <si>
    <t>Teacher lounge / work room</t>
  </si>
  <si>
    <t>600 SF</t>
  </si>
  <si>
    <t>Commons / lunch area</t>
  </si>
  <si>
    <t>1,500 SF</t>
  </si>
  <si>
    <t>Kitchen / prep room</t>
  </si>
  <si>
    <t>200 SF (prep only)</t>
  </si>
  <si>
    <t>Bathrooms (students)</t>
  </si>
  <si>
    <t>Students - 2 @ 400 SF each</t>
  </si>
  <si>
    <t>Bathrooms (staff)</t>
  </si>
  <si>
    <t>Staff 3 @ 100 SF each</t>
  </si>
  <si>
    <t>Multi-purpose room / gymnasium (A)</t>
  </si>
  <si>
    <t>MPR / small gym @ 4,000 SF</t>
  </si>
  <si>
    <t xml:space="preserve">       "                             "           (B)</t>
  </si>
  <si>
    <t>OR--by sf/pupil</t>
  </si>
  <si>
    <t>---&gt;</t>
  </si>
  <si>
    <t>Elective classrooms</t>
  </si>
  <si>
    <t>(1) music @1,000 SF</t>
  </si>
  <si>
    <t>Storage closets</t>
  </si>
  <si>
    <t>2 @ 300 SF each</t>
  </si>
  <si>
    <t>Custodial closet</t>
  </si>
  <si>
    <t>150 SF</t>
  </si>
  <si>
    <t>Mechanical &amp; IT closet</t>
  </si>
  <si>
    <t>250 SF</t>
  </si>
  <si>
    <t>Other (drama, media, 
parent room, health, etc.)</t>
  </si>
  <si>
    <t>Parent room @ 200 SF</t>
  </si>
  <si>
    <t>Space requirements pre circulation</t>
  </si>
  <si>
    <t>Circulation (hallways)</t>
  </si>
  <si>
    <t xml:space="preserve">@15%(up to 20%) total = 4,800 </t>
  </si>
  <si>
    <t>32,000 + 4,800 = 36,800</t>
  </si>
  <si>
    <t>Low</t>
  </si>
  <si>
    <t>High</t>
  </si>
  <si>
    <t>Type of Space</t>
  </si>
  <si>
    <t>Total estimated square feet</t>
  </si>
  <si>
    <t>Total square feet per student</t>
  </si>
  <si>
    <t>73.6 SF per student</t>
  </si>
  <si>
    <t>Avg</t>
  </si>
  <si>
    <t>High School (9-12)  27/classroom</t>
  </si>
  <si>
    <t>Middle School (7-8)  27/classroom</t>
  </si>
  <si>
    <t>Elementary (K-6)  25/classroom</t>
  </si>
  <si>
    <t>Detailed Analysis</t>
  </si>
  <si>
    <t>Enrolllment</t>
  </si>
  <si>
    <t># Classrooms</t>
  </si>
  <si>
    <t>Students/Classroom</t>
  </si>
  <si>
    <t>Interior Space PS-full size</t>
  </si>
  <si>
    <t>Classroom, circulation, other PS</t>
  </si>
  <si>
    <t>Enrol tab</t>
  </si>
  <si>
    <t>Fall</t>
  </si>
  <si>
    <t>Lease rate escalator</t>
  </si>
  <si>
    <t>Lease rate /yr w/esca'</t>
  </si>
  <si>
    <t xml:space="preserve">Consider a cost plus model of hiring specific services you may need, such as accounting/payroll.  But also consider </t>
  </si>
  <si>
    <t>the value of full service providers.  There can be greater savings from exercising a service cost plus a margin for</t>
  </si>
  <si>
    <t>services providers specializing in specific areas.  There can be more peace of mind from "one-stop" providers.  Some</t>
  </si>
  <si>
    <t>schools may start with one model and shift to another.  Make sure your contracts provide the flexibility you deserve.</t>
  </si>
  <si>
    <t>EMO, CMO ala carte services to charter school</t>
  </si>
  <si>
    <t>Common Specifics</t>
  </si>
  <si>
    <t>Applicant yr3</t>
  </si>
  <si>
    <t>Common specifics</t>
  </si>
  <si>
    <t>Cost plus (Years 1-3, Startup)(select specific costs)</t>
  </si>
  <si>
    <t>SELECT "Purchase" or "Lease"</t>
  </si>
  <si>
    <t>Lease</t>
  </si>
  <si>
    <t>Facility Specifications - resource worksheet</t>
  </si>
  <si>
    <t>This space planning worksheet may assist you in considering your facility needs.  You are not required to complete this.  You may need less/more space.</t>
  </si>
  <si>
    <r>
      <rPr>
        <b/>
        <sz val="11"/>
        <color indexed="8"/>
        <rFont val="Calibri"/>
        <family val="2"/>
      </rPr>
      <t>2.</t>
    </r>
    <r>
      <rPr>
        <sz val="11"/>
        <color theme="1"/>
        <rFont val="Calibri"/>
        <family val="2"/>
        <scheme val="minor"/>
      </rPr>
      <t xml:space="preserve"> Second, enter the school's percentage of coverage.</t>
    </r>
  </si>
  <si>
    <r>
      <rPr>
        <b/>
        <sz val="11"/>
        <color indexed="8"/>
        <rFont val="Calibri"/>
        <family val="2"/>
      </rPr>
      <t>3.</t>
    </r>
    <r>
      <rPr>
        <sz val="11"/>
        <color theme="1"/>
        <rFont val="Calibri"/>
        <family val="2"/>
        <scheme val="minor"/>
      </rPr>
      <t xml:space="preserve"> Enter the assumed percentage of employees choosing single for their health benefits.</t>
    </r>
  </si>
  <si>
    <r>
      <rPr>
        <b/>
        <sz val="11"/>
        <color indexed="8"/>
        <rFont val="Calibri"/>
        <family val="2"/>
      </rPr>
      <t xml:space="preserve">4. </t>
    </r>
    <r>
      <rPr>
        <sz val="11"/>
        <color theme="1"/>
        <rFont val="Calibri"/>
        <family val="2"/>
        <scheme val="minor"/>
      </rPr>
      <t>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</si>
  <si>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Enter any per-employee expenses associated with GASB 45 and Unemployment Insurance.</t>
    </r>
  </si>
  <si>
    <r>
      <rPr>
        <b/>
        <sz val="11"/>
        <color indexed="8"/>
        <rFont val="Calibri"/>
        <family val="2"/>
      </rPr>
      <t>6.</t>
    </r>
    <r>
      <rPr>
        <sz val="11"/>
        <color theme="1"/>
        <rFont val="Calibri"/>
        <family val="2"/>
        <scheme val="minor"/>
      </rPr>
      <t xml:space="preserve"> Payroll services are accounted for as a dollar value on a per employee/per month basis.</t>
    </r>
  </si>
  <si>
    <r>
      <rPr>
        <b/>
        <sz val="11"/>
        <color indexed="8"/>
        <rFont val="Calibri"/>
        <family val="2"/>
      </rPr>
      <t>7.</t>
    </r>
    <r>
      <rPr>
        <sz val="11"/>
        <color theme="1"/>
        <rFont val="Calibri"/>
        <family val="2"/>
        <scheme val="minor"/>
      </rPr>
      <t xml:space="preserve"> Any bonuses should be input and will be calculated as a percentage of salaried employees. </t>
    </r>
  </si>
  <si>
    <r>
      <rPr>
        <b/>
        <sz val="11"/>
        <color indexed="8"/>
        <rFont val="Calibri"/>
        <family val="2"/>
      </rPr>
      <t>8.</t>
    </r>
    <r>
      <rPr>
        <sz val="11"/>
        <color theme="1"/>
        <rFont val="Calibri"/>
        <family val="2"/>
        <scheme val="minor"/>
      </rPr>
      <t xml:space="preserve"> Be sure to enter your school's instructional days per year (required) as well as the Saturday schools per year, contractors required for Saturday school and price per contractor (if necessary).</t>
    </r>
  </si>
  <si>
    <r>
      <rPr>
        <b/>
        <sz val="11"/>
        <color indexed="8"/>
        <rFont val="Calibri"/>
        <family val="2"/>
      </rPr>
      <t>10.</t>
    </r>
    <r>
      <rPr>
        <sz val="11"/>
        <color theme="1"/>
        <rFont val="Calibri"/>
        <family val="2"/>
        <scheme val="minor"/>
      </rPr>
      <t xml:space="preserve"> For part-Time employees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</si>
  <si>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</si>
  <si>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user-friendly for data entry. Each general operating expense line item is tied to a driver, i.e. per year or per student. The driver is then multiplied by the dollar value that was entered, which results in the amount of that expense line item for the given year. </t>
    </r>
  </si>
  <si>
    <t>K-6</t>
  </si>
  <si>
    <t>Sample nearby school (Overwrite this)</t>
  </si>
  <si>
    <t>Lease rate no escalator/sf/yr</t>
  </si>
  <si>
    <t>Select applicable structure (if any)</t>
  </si>
  <si>
    <t>Perform</t>
  </si>
  <si>
    <t>Does the EMO provide the service or do they help you choose the service which you will pay for--separate</t>
  </si>
  <si>
    <t>from the EMO fee?</t>
  </si>
  <si>
    <t>Thank you for utilizing the Financial Plan Workbook to record your school plan and assumptions before and during the six-year contract.  This is a protected workbook and data should only be entered into the unprotected cells (yellow cells). To maximize usage of the Financial Plan Workbook, please familiarize yourself with the following general instructions prior to data entry.</t>
  </si>
  <si>
    <t>The Distributive School Account (DSA) funding per student is automatically populated depending on the county where the school is located (Cell F57).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</si>
  <si>
    <t>The Inflation Adjuster in 'F46' is designed to account for any increases in the cost of labor and expenses over time. Please be sure to enter a cost of inflation in this cell. An inflation rate of 1.03 is a good rule of thumb for most charter school operators.</t>
  </si>
  <si>
    <t>Enter your Title 1, IDEA (cost per SPED student) and school level fundraising income per student. Each of these entries will automatically calculate the revenue line items for BEP, Title 1, IDEA and school level funding.</t>
  </si>
  <si>
    <t>Any remaining revenue entries can be manually accounted for in the following subgroups:</t>
  </si>
  <si>
    <t xml:space="preserve">                               Charter Start-Up Funds</t>
  </si>
  <si>
    <t xml:space="preserve">                               Other Start-Up Grant Funds</t>
  </si>
  <si>
    <t xml:space="preserve">                               Investment Income</t>
  </si>
  <si>
    <t xml:space="preserve">                               Student Fees (As allowed by other public schools)</t>
  </si>
  <si>
    <t xml:space="preserve">                               Private fundraising (foundations, corporate)</t>
  </si>
  <si>
    <t xml:space="preserve">                               Private Fundraising</t>
  </si>
  <si>
    <t>Basic Information, Rows 1-76</t>
  </si>
  <si>
    <t>Facilities tab</t>
  </si>
  <si>
    <t>Complete either the Lease or the Purchase section.</t>
  </si>
  <si>
    <t>Facilities Wkst tab</t>
  </si>
  <si>
    <t xml:space="preserve">This sheet is optional.  It is provided to help you consider your space requirements.  Some schools may seek more/less space than </t>
  </si>
  <si>
    <t xml:space="preserve">is shown in the sample ranges.  You do not need to include this tab in your print range but leave it in the working Excel file you submit. </t>
  </si>
  <si>
    <t>Furnishings, Fixtures, Equipment &amp; Technology</t>
  </si>
  <si>
    <t>FFE&amp;T (Furniture, Fixtures, Equipment &amp; Technology) tab</t>
  </si>
  <si>
    <t>Questions?  Contact:</t>
  </si>
  <si>
    <t>Enrol Staff &amp; Exp tab</t>
  </si>
  <si>
    <t>Summary tab</t>
  </si>
  <si>
    <t>No entry needed on this tab</t>
  </si>
  <si>
    <t>Market tab</t>
  </si>
  <si>
    <t>Marketing tab</t>
  </si>
  <si>
    <t>Use this tab to show your marketing plan to reach your target market.</t>
  </si>
  <si>
    <t>Staffing and Compensation Assumptions, rows 79+ (in above tab)</t>
  </si>
  <si>
    <t>Instructional Days, rows 105-108 (in above tab)</t>
  </si>
  <si>
    <t>General Operating Expense Assumptions, rows 1387+ (in above tab)</t>
  </si>
  <si>
    <t>Insurance tab</t>
  </si>
  <si>
    <t>Use this tab to show your insurance plan/budget.</t>
  </si>
  <si>
    <t>Incubation tab</t>
  </si>
  <si>
    <t>Use this tab to show your pre-opening plan/budget.</t>
  </si>
  <si>
    <t>EMO-CMO tab</t>
  </si>
  <si>
    <t>Use this tab to show your plan/budget -- if you use a EMO/CMO.</t>
  </si>
  <si>
    <t>Cashflow Year 1 tab</t>
  </si>
  <si>
    <t>Use this tab to "spread" your year 1 expenses out on a monthly basis.</t>
  </si>
  <si>
    <t>DSA Rates tab</t>
  </si>
  <si>
    <t>FYI</t>
  </si>
  <si>
    <t xml:space="preserve">Michael Hutchins, 775.687.9239, M.Hutchins@spcsa.nv.gov  </t>
  </si>
  <si>
    <t xml:space="preserve">Test </t>
  </si>
  <si>
    <t>Test</t>
  </si>
  <si>
    <t>Potential Site 1 (You only need to submit 1 site)</t>
  </si>
  <si>
    <t>Sample items below (erase at will)</t>
  </si>
  <si>
    <t>OR</t>
  </si>
  <si>
    <t>/sf/yr</t>
  </si>
  <si>
    <t>SYEnding</t>
  </si>
  <si>
    <t>SYE</t>
  </si>
  <si>
    <t>Note on Depreciation+</t>
  </si>
  <si>
    <t>See "Note FFE" tab for a note regarding the depreciation approach used in this model.</t>
  </si>
  <si>
    <t>Kindergarten Teacher</t>
  </si>
  <si>
    <t>1st Grade Teacher</t>
  </si>
  <si>
    <t>2nd Grade Teacher</t>
  </si>
  <si>
    <t>3rd Grade Teacher</t>
  </si>
  <si>
    <t>4th Grade Teacher</t>
  </si>
  <si>
    <t>5th Grade Teacher</t>
  </si>
  <si>
    <t>6th Grade Teacher</t>
  </si>
  <si>
    <t>7th Grade Teacher</t>
  </si>
  <si>
    <t>8th Grade Teacher</t>
  </si>
  <si>
    <t>PE teacher</t>
  </si>
  <si>
    <t>STEAM Teacher</t>
  </si>
  <si>
    <t>Spanish Teacher</t>
  </si>
  <si>
    <t>Art Teacher</t>
  </si>
  <si>
    <t xml:space="preserve"> </t>
  </si>
  <si>
    <t>Supporting documentation attached? (y/n)</t>
  </si>
  <si>
    <t>MEDICAL</t>
  </si>
  <si>
    <t xml:space="preserve">Enter your assumptions in the light yellow cells of the various tabs of this workbook, beginning with the Cover "tab" or "worksheet."  Overwrite any placeholder assumptions currently in those cells.
FTE stands for Full-Time Equivalent.  If this term is unfamiliar, please consult with an individual experienced in budgeting and pupil accounting. If your budget plans include staff less than full time use a decimal to indicate the portion.  Contact or inform the State Public Charter School Authority of this if you perceive any issues in the related expennses and other impacts in this budget tool. </t>
  </si>
  <si>
    <t>Use this tab to show your target market, planned enrollments and potential demand and demographics of the "feeder" schools in your  planned service area.</t>
  </si>
  <si>
    <t>Surplus/(Deficit)-Schl &amp; Pri' Fundraising-S Fees (Cumu')</t>
  </si>
  <si>
    <t>Schools should set aside an amount of 4 to 5% of revenues into a general reserve account.</t>
  </si>
  <si>
    <t>Reserves</t>
  </si>
  <si>
    <t>Transportation, rows 1454-1476</t>
  </si>
  <si>
    <t xml:space="preserve">Alaka'i Heritage Academy </t>
  </si>
  <si>
    <t>Matt Padron</t>
  </si>
  <si>
    <t>702-431-6260</t>
  </si>
  <si>
    <t>matt.padron@academicanv.com</t>
  </si>
  <si>
    <t xml:space="preserve">3415 S Mojave Rd, Las Vegas, NV 89121 </t>
  </si>
  <si>
    <t>n</t>
  </si>
  <si>
    <t>Registrar</t>
  </si>
  <si>
    <t>ELL Coordinator</t>
  </si>
  <si>
    <t>Special Education (SPED) Teacher</t>
  </si>
  <si>
    <t xml:space="preserve">Guidance Counselor </t>
  </si>
  <si>
    <t>Curriculum Coach</t>
  </si>
  <si>
    <t>School Nurse</t>
  </si>
  <si>
    <t>NSLP/Cafeteria Manager</t>
  </si>
  <si>
    <t>Campus Monitor/Custodian</t>
  </si>
  <si>
    <t xml:space="preserve">Receptionist </t>
  </si>
  <si>
    <t>Clinic Aide / FASA</t>
  </si>
  <si>
    <t>Teacher Assistant/Aide</t>
  </si>
  <si>
    <t>Special</t>
  </si>
  <si>
    <t>Travel / Prof. Dev. / Recruiting</t>
  </si>
  <si>
    <t>Legal Fees</t>
  </si>
  <si>
    <t>Copier / Printing</t>
  </si>
  <si>
    <t>Infinite Campus (SiS Software)</t>
  </si>
  <si>
    <t xml:space="preserve">Postage </t>
  </si>
  <si>
    <t>Other Purchases</t>
  </si>
  <si>
    <t>DUE TO CELLS BEING LOCKED TOTAL SUMS HERE.</t>
  </si>
  <si>
    <t>AHA will market via multiple modes to ensure that all families are informed of their educational options. The marketing campaign includes, but may not be limited to, the following: school website, social media such as Facebook, flyers, direct mailers, advertisements in varying English and Spanish media, building relationships with community groups, and a door-to-door approach.</t>
  </si>
  <si>
    <t>prior to open enrollment</t>
  </si>
  <si>
    <t>Other fee structure (Incubation Year Start-Up Loan Payments)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</si>
</sst>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quot;$&quot;#,##0\ ;\(&quot;$&quot;#,##0\)"/>
    <numFmt numFmtId="168" formatCode="[$-409]mmmm\ d\,\ yyyy;@"/>
    <numFmt numFmtId="169" formatCode="_(* #,##0.00_);_(* \(#,##0.00\);_(* \-??_);_(@_)"/>
    <numFmt numFmtId="170" formatCode="_(\$* #,##0.00_);_(\$* \(#,##0.00\);_(\$* \-??_);_(@_)"/>
    <numFmt numFmtId="171" formatCode="_ * #,##0.00_ ;_ * \-#,##0.00_ ;_ * \-??_ ;_ @_ "/>
    <numFmt numFmtId="172" formatCode="_(#,##0_);[Red]_(\(#,##0\);_(&quot;-&quot;_);_(@_)"/>
    <numFmt numFmtId="173" formatCode="_(#,##0.0_);[Red]_(\(#,##0.0\);_(&quot;-&quot;_);_(@_)"/>
    <numFmt numFmtId="174" formatCode="_(&quot;$&quot;#,##0_);[Red]_(&quot;$&quot;\(#,##0\);_(&quot;$&quot;\ &quot;-&quot;_);_(@_)"/>
    <numFmt numFmtId="175" formatCode="0%;[Red]\(0%\);&quot;-%&quot;"/>
    <numFmt numFmtId="176" formatCode="_(#,##0_)&quot; sf/p&quot;;[Red]_(\(#,##0\);_(&quot;-&quot;_);_(@_)"/>
    <numFmt numFmtId="177" formatCode="_(&quot;$&quot;#,##0_);&quot;$&quot;\(#,##0\);_(&quot;$&quot;&quot;-&quot;_);_(@_)"/>
    <numFmt numFmtId="178" formatCode="_(&quot;$&quot;#,##0.00_);&quot;$&quot;\(#,##0.00\);_(&quot;$&quot;&quot;-&quot;_);_(@_)"/>
    <numFmt numFmtId="179" formatCode="&quot;$&quot;#,##0_)&quot;/pp&quot;;[Red]\(&quot;$&quot;#,##0\)"/>
    <numFmt numFmtId="180" formatCode="0%;[Red]\(0\)%"/>
    <numFmt numFmtId="181" formatCode="#,##0_)&quot;sf&quot;;\(#,##0\)&quot;sf&quot;;_(* &quot;-&quot;_);_(@_)"/>
    <numFmt numFmtId="182" formatCode="_(&quot;$&quot;* #,##0_);[Red]_(&quot;$&quot;* \(#,##0\);_(&quot;$&quot;* \ &quot;-&quot;_);_(@_)"/>
    <numFmt numFmtId="183" formatCode="0.00_);\(0.00\)"/>
    <numFmt numFmtId="184" formatCode="_(* #,##0_);_(* \(#,##0\);_(* &quot;-&quot;??_);_(@_)"/>
    <numFmt numFmtId="185" formatCode="_(&quot;$&quot;\ #,##0_);[Red]_(&quot;$&quot;\(#,##0\);_(&quot;$&quot;\ &quot;-&quot;_);_(@_)"/>
    <numFmt numFmtId="186" formatCode="_(#,##0.0000_);[Red]_(\(#,##0.0000\);_(&quot;-&quot;_);_(@_)"/>
    <numFmt numFmtId="187" formatCode="0_);[Red]\(0\)"/>
    <numFmt numFmtId="188" formatCode="000\-000\-0000"/>
    <numFmt numFmtId="189" formatCode="&quot;$&quot;#,##0_)&quot;/st&quot;;[Red]_(\(#,##0\);_(&quot;-&quot;_);_(@_)"/>
    <numFmt numFmtId="190" formatCode="_(&quot;$&quot;#,##0.00_);[Red]_(&quot;$&quot;\(#,##0.00\);_(&quot;$&quot;\ &quot;-&quot;_);_(@_)"/>
    <numFmt numFmtId="191" formatCode="&quot;SYE &quot;General"/>
    <numFmt numFmtId="192" formatCode="&quot;SY &quot;General"/>
    <numFmt numFmtId="193" formatCode="0.00%;[Red]\(0.00%\);&quot;-%&quot;"/>
    <numFmt numFmtId="194" formatCode="0%;[Red]\(0%\);&quot;-&quot;"/>
    <numFmt numFmtId="195" formatCode="&quot;SYE &quot;0_);[Red]\(0\)"/>
    <numFmt numFmtId="196" formatCode="#,##0_)&quot;sf/p&quot;;\(#,##0\)&quot;sf&quot;;_(* &quot;-&quot;_);_(@_)"/>
    <numFmt numFmtId="197" formatCode="_(#,##0_)&quot;sf/p&quot;;[Red]_(\(#,##0\);_(&quot;-&quot;_);_(@_)"/>
    <numFmt numFmtId="198" formatCode="General&quot; s&quot;"/>
    <numFmt numFmtId="199" formatCode="_(#,##0.0_)&quot;mi&quot;;[Red]_(\(#,##0.0\);_(&quot;-&quot;_);_(@_)"/>
    <numFmt numFmtId="200" formatCode="0.000%;[Red]\(0.000%\);&quot;-%&quot;"/>
    <numFmt numFmtId="201" formatCode="0.000%"/>
  </numFmts>
  <fonts count="136" x14ac:knownFonts="1">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sz val="11"/>
      <color theme="1"/>
      <name val="Calibri"/>
      <family val="2"/>
      <scheme val="minor"/>
    </font>
    <font>
      <b/>
      <sz val="11"/>
      <color rgb="FF0070C0"/>
      <name val="Calibri"/>
      <family val="2"/>
      <scheme val="minor"/>
    </font>
    <font>
      <u/>
      <sz val="8.8000000000000007"/>
      <color theme="10"/>
      <name val="Calibri"/>
      <family val="2"/>
    </font>
    <font>
      <b/>
      <sz val="11"/>
      <color theme="1"/>
      <name val="Calibri"/>
      <family val="2"/>
      <scheme val="minor"/>
    </font>
    <font>
      <b/>
      <sz val="11"/>
      <color theme="0"/>
      <name val="Calibri"/>
      <family val="2"/>
      <scheme val="minor"/>
    </font>
    <font>
      <i/>
      <sz val="11"/>
      <color theme="1"/>
      <name val="Calibri"/>
      <family val="2"/>
      <scheme val="minor"/>
    </font>
    <font>
      <sz val="9"/>
      <name val="Arial"/>
      <family val="2"/>
    </font>
    <font>
      <b/>
      <sz val="10"/>
      <name val="Arial"/>
      <family val="2"/>
    </font>
    <font>
      <b/>
      <sz val="11"/>
      <name val="Arial"/>
      <family val="2"/>
    </font>
    <font>
      <sz val="10"/>
      <name val="Arial"/>
      <family val="2"/>
    </font>
    <font>
      <sz val="9"/>
      <color indexed="81"/>
      <name val="Tahoma"/>
      <family val="2"/>
    </font>
    <font>
      <b/>
      <sz val="9"/>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Times New Roman"/>
      <family val="1"/>
    </font>
    <font>
      <sz val="18"/>
      <name val="Times New Roman"/>
      <family val="1"/>
    </font>
    <font>
      <sz val="8"/>
      <name val="Times New Roman"/>
      <family val="1"/>
    </font>
    <font>
      <u/>
      <sz val="10"/>
      <color indexed="12"/>
      <name val="Arial"/>
      <family val="2"/>
    </font>
    <font>
      <sz val="12"/>
      <name val="Helv"/>
    </font>
    <font>
      <sz val="10"/>
      <name val="Helv"/>
    </font>
    <font>
      <i/>
      <sz val="10"/>
      <color rgb="FF7F7F7F"/>
      <name val="Arial"/>
      <family val="2"/>
    </font>
    <font>
      <b/>
      <sz val="11"/>
      <color theme="3"/>
      <name val="Arial"/>
      <family val="2"/>
    </font>
    <font>
      <sz val="10"/>
      <name val="Courier"/>
      <family val="3"/>
    </font>
    <font>
      <sz val="10"/>
      <color indexed="10"/>
      <name val="Arial"/>
      <family val="2"/>
    </font>
    <font>
      <b/>
      <sz val="11"/>
      <color indexed="62"/>
      <name val="Arial"/>
      <family val="2"/>
    </font>
    <font>
      <sz val="11"/>
      <color indexed="10"/>
      <name val="Calibri"/>
      <family val="2"/>
    </font>
    <font>
      <sz val="12"/>
      <color indexed="8"/>
      <name val="Verdana"/>
      <family val="2"/>
    </font>
    <font>
      <sz val="10"/>
      <color indexed="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0"/>
      <name val="Arial"/>
      <family val="2"/>
      <charset val="1"/>
    </font>
    <font>
      <b/>
      <sz val="10"/>
      <color indexed="8"/>
      <name val="Arial"/>
      <family val="2"/>
    </font>
    <font>
      <b/>
      <sz val="11"/>
      <color indexed="10"/>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u/>
      <sz val="10"/>
      <color rgb="FF0000FF"/>
      <name val="Arial"/>
      <family val="2"/>
      <charset val="1"/>
    </font>
    <font>
      <sz val="11"/>
      <color indexed="10"/>
      <name val="Calibri"/>
      <family val="2"/>
      <scheme val="minor"/>
    </font>
    <font>
      <sz val="11"/>
      <color indexed="19"/>
      <name val="Calibri"/>
      <family val="2"/>
      <scheme val="minor"/>
    </font>
    <font>
      <b/>
      <sz val="18"/>
      <color indexed="62"/>
      <name val="Cambria"/>
      <family val="2"/>
      <scheme val="major"/>
    </font>
    <font>
      <b/>
      <sz val="10"/>
      <color indexed="39"/>
      <name val="Arial"/>
      <family val="2"/>
    </font>
    <font>
      <b/>
      <sz val="12"/>
      <color indexed="8"/>
      <name val="Arial"/>
      <family val="2"/>
    </font>
    <font>
      <sz val="10"/>
      <color indexed="39"/>
      <name val="Arial"/>
      <family val="2"/>
    </font>
    <font>
      <sz val="19"/>
      <color indexed="48"/>
      <name val="Arial"/>
      <family val="2"/>
    </font>
    <font>
      <b/>
      <sz val="12"/>
      <name val="Arial"/>
      <family val="2"/>
    </font>
    <font>
      <sz val="11"/>
      <color theme="1"/>
      <name val="Courier New"/>
      <family val="2"/>
    </font>
    <font>
      <b/>
      <sz val="15"/>
      <color theme="3"/>
      <name val="Courier New"/>
      <family val="2"/>
    </font>
    <font>
      <b/>
      <sz val="13"/>
      <color theme="3"/>
      <name val="Courier New"/>
      <family val="2"/>
    </font>
    <font>
      <b/>
      <sz val="11"/>
      <color theme="3"/>
      <name val="Courier New"/>
      <family val="2"/>
    </font>
    <font>
      <sz val="11"/>
      <color rgb="FF006100"/>
      <name val="Courier New"/>
      <family val="2"/>
    </font>
    <font>
      <sz val="11"/>
      <color rgb="FF9C0006"/>
      <name val="Courier New"/>
      <family val="2"/>
    </font>
    <font>
      <sz val="11"/>
      <color rgb="FF9C6500"/>
      <name val="Courier New"/>
      <family val="2"/>
    </font>
    <font>
      <sz val="11"/>
      <color rgb="FF3F3F76"/>
      <name val="Courier New"/>
      <family val="2"/>
    </font>
    <font>
      <b/>
      <sz val="11"/>
      <color rgb="FF3F3F3F"/>
      <name val="Courier New"/>
      <family val="2"/>
    </font>
    <font>
      <b/>
      <sz val="11"/>
      <color rgb="FFFA7D00"/>
      <name val="Courier New"/>
      <family val="2"/>
    </font>
    <font>
      <sz val="11"/>
      <color rgb="FFFA7D00"/>
      <name val="Courier New"/>
      <family val="2"/>
    </font>
    <font>
      <b/>
      <sz val="11"/>
      <color theme="0"/>
      <name val="Courier New"/>
      <family val="2"/>
    </font>
    <font>
      <sz val="11"/>
      <color rgb="FFFF0000"/>
      <name val="Courier New"/>
      <family val="2"/>
    </font>
    <font>
      <i/>
      <sz val="11"/>
      <color rgb="FF7F7F7F"/>
      <name val="Courier New"/>
      <family val="2"/>
    </font>
    <font>
      <b/>
      <sz val="11"/>
      <color theme="1"/>
      <name val="Courier New"/>
      <family val="2"/>
    </font>
    <font>
      <sz val="11"/>
      <color theme="0"/>
      <name val="Courier New"/>
      <family val="2"/>
    </font>
    <font>
      <b/>
      <sz val="18"/>
      <name val="Arial"/>
      <family val="2"/>
    </font>
    <font>
      <sz val="18"/>
      <color theme="3"/>
      <name val="Cambria"/>
      <family val="2"/>
      <scheme val="major"/>
    </font>
    <font>
      <sz val="12"/>
      <color theme="1"/>
      <name val="Calibri"/>
      <family val="2"/>
      <scheme val="minor"/>
    </font>
    <font>
      <sz val="11"/>
      <color rgb="FF9C5700"/>
      <name val="Calibri"/>
      <family val="2"/>
      <scheme val="minor"/>
    </font>
    <font>
      <i/>
      <sz val="9"/>
      <color indexed="8"/>
      <name val="Arial"/>
      <family val="2"/>
    </font>
    <font>
      <b/>
      <sz val="9"/>
      <color indexed="23"/>
      <name val="Arial"/>
      <family val="2"/>
    </font>
    <font>
      <b/>
      <sz val="10"/>
      <color indexed="23"/>
      <name val="Arial"/>
      <family val="2"/>
    </font>
    <font>
      <b/>
      <sz val="12"/>
      <color indexed="9"/>
      <name val="Arial"/>
      <family val="2"/>
    </font>
    <font>
      <b/>
      <sz val="11"/>
      <name val="Times New Roman"/>
      <family val="1"/>
    </font>
    <font>
      <sz val="11"/>
      <name val="Times New Roman"/>
      <family val="1"/>
    </font>
    <font>
      <sz val="11"/>
      <color indexed="8"/>
      <name val="Times New Roman"/>
      <family val="1"/>
    </font>
    <font>
      <b/>
      <sz val="11"/>
      <color indexed="8"/>
      <name val="Times New Roman"/>
      <family val="1"/>
    </font>
    <font>
      <sz val="10"/>
      <color rgb="FF0000FF"/>
      <name val="Arial"/>
      <family val="2"/>
    </font>
    <font>
      <b/>
      <sz val="10"/>
      <color indexed="8"/>
      <name val="Times New Roman"/>
      <family val="1"/>
    </font>
    <font>
      <sz val="10"/>
      <color indexed="8"/>
      <name val="Times New Roman"/>
      <family val="1"/>
    </font>
    <font>
      <sz val="11"/>
      <color rgb="FF0000FF"/>
      <name val="Times New Roman"/>
      <family val="1"/>
    </font>
    <font>
      <sz val="9"/>
      <color indexed="8"/>
      <name val="Times New Roman"/>
      <family val="1"/>
    </font>
    <font>
      <b/>
      <sz val="10"/>
      <color rgb="FF0000FF"/>
      <name val="Arial"/>
      <family val="2"/>
    </font>
    <font>
      <b/>
      <sz val="14"/>
      <color indexed="9"/>
      <name val="Arial"/>
      <family val="2"/>
    </font>
    <font>
      <i/>
      <sz val="9"/>
      <color theme="0"/>
      <name val="Arial"/>
      <family val="2"/>
    </font>
    <font>
      <b/>
      <sz val="9"/>
      <name val="Arial"/>
      <family val="2"/>
    </font>
    <font>
      <b/>
      <sz val="9"/>
      <color indexed="8"/>
      <name val="Times New Roman"/>
      <family val="1"/>
    </font>
    <font>
      <b/>
      <sz val="11"/>
      <color rgb="FF0000FF"/>
      <name val="Times New Roman"/>
      <family val="1"/>
    </font>
    <font>
      <b/>
      <sz val="14"/>
      <color indexed="8"/>
      <name val="Times New Roman"/>
      <family val="1"/>
    </font>
    <font>
      <i/>
      <sz val="9"/>
      <color indexed="8"/>
      <name val="Times New Roman"/>
      <family val="1"/>
    </font>
    <font>
      <b/>
      <sz val="12"/>
      <color indexed="8"/>
      <name val="Times New Roman"/>
      <family val="1"/>
    </font>
    <font>
      <i/>
      <sz val="11"/>
      <color indexed="8"/>
      <name val="Times New Roman"/>
      <family val="1"/>
    </font>
    <font>
      <b/>
      <i/>
      <sz val="11"/>
      <color indexed="8"/>
      <name val="Times New Roman"/>
      <family val="1"/>
    </font>
    <font>
      <sz val="12"/>
      <color indexed="8"/>
      <name val="Times New Roman"/>
      <family val="1"/>
    </font>
    <font>
      <sz val="8.8000000000000007"/>
      <color indexed="8"/>
      <name val="Times New Roman"/>
      <family val="1"/>
    </font>
    <font>
      <b/>
      <sz val="12"/>
      <color theme="0"/>
      <name val="Arial"/>
      <family val="2"/>
    </font>
    <font>
      <b/>
      <sz val="11"/>
      <color indexed="8"/>
      <name val="Arial"/>
      <family val="2"/>
    </font>
    <font>
      <b/>
      <sz val="11"/>
      <color rgb="FF000000"/>
      <name val="Times New Roman"/>
      <family val="1"/>
    </font>
    <font>
      <b/>
      <sz val="12"/>
      <color theme="1"/>
      <name val="Arial"/>
      <family val="2"/>
    </font>
    <font>
      <b/>
      <sz val="14"/>
      <color theme="0"/>
      <name val="Arial"/>
      <family val="2"/>
    </font>
    <font>
      <sz val="11"/>
      <color theme="0" tint="-0.34998626667073579"/>
      <name val="Times New Roman"/>
      <family val="1"/>
    </font>
    <font>
      <sz val="10"/>
      <name val="Cambria"/>
      <family val="1"/>
    </font>
    <font>
      <b/>
      <sz val="9"/>
      <name val="Cambria"/>
      <family val="1"/>
    </font>
    <font>
      <sz val="9"/>
      <color rgb="FF0000FF"/>
      <name val="Times New Roman"/>
      <family val="1"/>
    </font>
    <font>
      <i/>
      <sz val="11"/>
      <color rgb="FF0000FF"/>
      <name val="Times New Roman"/>
      <family val="1"/>
    </font>
    <font>
      <b/>
      <sz val="12"/>
      <name val="Times New Roman"/>
      <family val="1"/>
    </font>
    <font>
      <sz val="10"/>
      <color rgb="FF0000FF"/>
      <name val="Times New Roman"/>
      <family val="1"/>
    </font>
    <font>
      <b/>
      <i/>
      <sz val="10"/>
      <color rgb="FFFF0000"/>
      <name val="Times New Roman"/>
      <family val="1"/>
    </font>
    <font>
      <sz val="12"/>
      <color rgb="FF0000FF"/>
      <name val="Times New Roman"/>
      <family val="1"/>
    </font>
    <font>
      <sz val="10"/>
      <color rgb="FF000000"/>
      <name val="Times New Roman"/>
      <family val="1"/>
    </font>
    <font>
      <sz val="12"/>
      <name val="Arial"/>
      <family val="2"/>
    </font>
    <font>
      <sz val="11"/>
      <name val="Arial"/>
      <family val="2"/>
    </font>
    <font>
      <sz val="11"/>
      <color rgb="FF000000"/>
      <name val="Times New Roman"/>
      <family val="1"/>
    </font>
    <font>
      <i/>
      <sz val="8"/>
      <color indexed="8"/>
      <name val="Times New Roman"/>
      <family val="1"/>
    </font>
    <font>
      <i/>
      <sz val="11"/>
      <color rgb="FF000000"/>
      <name val="Times New Roman"/>
      <family val="1"/>
    </font>
    <font>
      <b/>
      <sz val="10"/>
      <name val="Times New Roman"/>
      <family val="1"/>
    </font>
    <font>
      <b/>
      <sz val="11"/>
      <color rgb="FF0000FF"/>
      <name val="Calibri"/>
      <family val="2"/>
      <scheme val="minor"/>
    </font>
    <font>
      <b/>
      <sz val="28"/>
      <color rgb="FF0000FF"/>
      <name val="Times New Roman"/>
      <family val="1"/>
    </font>
  </fonts>
  <fills count="7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10"/>
      </patternFill>
    </fill>
    <fill>
      <patternFill patternType="solid">
        <fgColor indexed="46"/>
      </patternFill>
    </fill>
    <fill>
      <patternFill patternType="solid">
        <fgColor indexed="9"/>
      </patternFill>
    </fill>
    <fill>
      <patternFill patternType="solid">
        <fgColor indexed="40"/>
      </patternFill>
    </fill>
    <fill>
      <patternFill patternType="solid">
        <fgColor indexed="52"/>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9"/>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18"/>
        <bgColor indexed="8"/>
      </patternFill>
    </fill>
    <fill>
      <patternFill patternType="solid">
        <fgColor indexed="47"/>
        <bgColor indexed="64"/>
      </patternFill>
    </fill>
    <fill>
      <patternFill patternType="solid">
        <fgColor indexed="45"/>
        <bgColor indexed="64"/>
      </patternFill>
    </fill>
    <fill>
      <patternFill patternType="solid">
        <fgColor rgb="FFF0F0F0"/>
        <bgColor indexed="64"/>
      </patternFill>
    </fill>
    <fill>
      <patternFill patternType="solid">
        <fgColor indexed="51"/>
        <bgColor indexed="8"/>
      </patternFill>
    </fill>
  </fills>
  <borders count="192">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hair">
        <color indexed="64"/>
      </left>
      <right style="hair">
        <color indexed="64"/>
      </right>
      <top style="dashed">
        <color indexed="64"/>
      </top>
      <bottom style="hair">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double">
        <color indexed="8"/>
      </top>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right/>
      <top style="thin">
        <color indexed="56"/>
      </top>
      <bottom style="double">
        <color indexed="56"/>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0"/>
      </top>
      <bottom/>
      <diagonal/>
    </border>
    <border>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22"/>
      </top>
      <bottom style="hair">
        <color indexed="22"/>
      </bottom>
      <diagonal/>
    </border>
    <border>
      <left/>
      <right/>
      <top style="thin">
        <color indexed="64"/>
      </top>
      <bottom style="thin">
        <color indexed="64"/>
      </bottom>
      <diagonal/>
    </border>
    <border>
      <left/>
      <right style="thin">
        <color indexed="9"/>
      </right>
      <top style="thin">
        <color indexed="9"/>
      </top>
      <bottom style="thin">
        <color indexed="9"/>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dotted">
        <color indexed="22"/>
      </top>
      <bottom style="dotted">
        <color indexed="22"/>
      </bottom>
      <diagonal/>
    </border>
    <border>
      <left style="hair">
        <color indexed="64"/>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thin">
        <color indexed="9"/>
      </right>
      <top style="thin">
        <color indexed="64"/>
      </top>
      <bottom/>
      <diagonal/>
    </border>
    <border>
      <left style="thin">
        <color indexed="9"/>
      </left>
      <right style="thin">
        <color indexed="9"/>
      </right>
      <top style="thin">
        <color indexed="64"/>
      </top>
      <bottom/>
      <diagonal/>
    </border>
    <border>
      <left style="thin">
        <color indexed="9"/>
      </left>
      <right style="thin">
        <color indexed="9"/>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22"/>
      </top>
      <bottom/>
      <diagonal/>
    </border>
    <border>
      <left/>
      <right/>
      <top/>
      <bottom style="dotted">
        <color indexed="22"/>
      </bottom>
      <diagonal/>
    </border>
    <border>
      <left style="thin">
        <color indexed="64"/>
      </left>
      <right/>
      <top style="thin">
        <color indexed="64"/>
      </top>
      <bottom style="dotted">
        <color indexed="22"/>
      </bottom>
      <diagonal/>
    </border>
    <border>
      <left style="thin">
        <color indexed="64"/>
      </left>
      <right/>
      <top style="dotted">
        <color indexed="22"/>
      </top>
      <bottom style="dotted">
        <color indexed="22"/>
      </bottom>
      <diagonal/>
    </border>
    <border>
      <left style="thin">
        <color indexed="64"/>
      </left>
      <right/>
      <top style="dotted">
        <color indexed="22"/>
      </top>
      <bottom/>
      <diagonal/>
    </border>
    <border>
      <left style="thin">
        <color indexed="64"/>
      </left>
      <right/>
      <top style="dotted">
        <color indexed="22"/>
      </top>
      <bottom style="thin">
        <color indexed="64"/>
      </bottom>
      <diagonal/>
    </border>
    <border>
      <left style="thin">
        <color indexed="64"/>
      </left>
      <right style="thin">
        <color indexed="64"/>
      </right>
      <top style="thin">
        <color indexed="64"/>
      </top>
      <bottom style="dotted">
        <color indexed="22"/>
      </bottom>
      <diagonal/>
    </border>
    <border>
      <left style="thin">
        <color indexed="64"/>
      </left>
      <right style="thin">
        <color indexed="64"/>
      </right>
      <top style="dotted">
        <color indexed="22"/>
      </top>
      <bottom style="dotted">
        <color indexed="22"/>
      </bottom>
      <diagonal/>
    </border>
    <border>
      <left style="thin">
        <color indexed="64"/>
      </left>
      <right style="thin">
        <color indexed="64"/>
      </right>
      <top style="dotted">
        <color indexed="22"/>
      </top>
      <bottom/>
      <diagonal/>
    </border>
    <border>
      <left style="thin">
        <color indexed="64"/>
      </left>
      <right style="thin">
        <color indexed="64"/>
      </right>
      <top style="dotted">
        <color indexed="22"/>
      </top>
      <bottom style="thin">
        <color indexed="64"/>
      </bottom>
      <diagonal/>
    </border>
    <border>
      <left/>
      <right/>
      <top style="hair">
        <color indexed="22"/>
      </top>
      <bottom/>
      <diagonal/>
    </border>
    <border>
      <left/>
      <right/>
      <top/>
      <bottom style="hair">
        <color indexed="22"/>
      </bottom>
      <diagonal/>
    </border>
    <border>
      <left/>
      <right/>
      <top style="thin">
        <color indexed="64"/>
      </top>
      <bottom style="hair">
        <color indexed="22"/>
      </bottom>
      <diagonal/>
    </border>
    <border>
      <left/>
      <right/>
      <top style="thin">
        <color indexed="64"/>
      </top>
      <bottom style="double">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style="hair">
        <color indexed="64"/>
      </left>
      <right style="hair">
        <color indexed="64"/>
      </right>
      <top/>
      <bottom style="hair">
        <color indexed="64"/>
      </bottom>
      <diagonal/>
    </border>
    <border>
      <left style="hair">
        <color indexed="22"/>
      </left>
      <right style="hair">
        <color indexed="22"/>
      </right>
      <top style="hair">
        <color indexed="22"/>
      </top>
      <bottom style="hair">
        <color indexed="22"/>
      </bottom>
      <diagonal/>
    </border>
    <border>
      <left style="thin">
        <color indexed="64"/>
      </left>
      <right/>
      <top style="hair">
        <color indexed="22"/>
      </top>
      <bottom style="hair">
        <color indexed="22"/>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hair">
        <color indexed="22"/>
      </top>
      <bottom style="hair">
        <color indexed="2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22"/>
      </left>
      <right style="hair">
        <color indexed="22"/>
      </right>
      <top/>
      <bottom style="hair">
        <color indexed="22"/>
      </bottom>
      <diagonal/>
    </border>
    <border>
      <left/>
      <right style="hair">
        <color indexed="22"/>
      </right>
      <top style="hair">
        <color indexed="22"/>
      </top>
      <bottom style="hair">
        <color indexed="22"/>
      </bottom>
      <diagonal/>
    </border>
    <border>
      <left style="hair">
        <color indexed="22"/>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hair">
        <color indexed="22"/>
      </left>
      <right style="thin">
        <color indexed="64"/>
      </right>
      <top/>
      <bottom/>
      <diagonal/>
    </border>
    <border>
      <left style="hair">
        <color indexed="22"/>
      </left>
      <right style="thin">
        <color indexed="64"/>
      </right>
      <top style="hair">
        <color indexed="22"/>
      </top>
      <bottom style="hair">
        <color indexed="22"/>
      </bottom>
      <diagonal/>
    </border>
    <border>
      <left style="hair">
        <color indexed="22"/>
      </left>
      <right style="thin">
        <color indexed="64"/>
      </right>
      <top style="hair">
        <color indexed="22"/>
      </top>
      <bottom/>
      <diagonal/>
    </border>
    <border>
      <left style="hair">
        <color indexed="22"/>
      </left>
      <right style="thin">
        <color indexed="64"/>
      </right>
      <top style="hair">
        <color indexed="22"/>
      </top>
      <bottom style="thin">
        <color indexed="64"/>
      </bottom>
      <diagonal/>
    </border>
    <border>
      <left/>
      <right style="hair">
        <color indexed="64"/>
      </right>
      <top style="hair">
        <color indexed="22"/>
      </top>
      <bottom style="hair">
        <color indexed="22"/>
      </bottom>
      <diagonal/>
    </border>
    <border>
      <left style="thin">
        <color indexed="64"/>
      </left>
      <right style="hair">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22"/>
      </right>
      <top/>
      <bottom style="thin">
        <color indexed="64"/>
      </bottom>
      <diagonal/>
    </border>
    <border>
      <left style="hair">
        <color indexed="22"/>
      </left>
      <right style="hair">
        <color indexed="22"/>
      </right>
      <top/>
      <bottom style="thin">
        <color indexed="64"/>
      </bottom>
      <diagonal/>
    </border>
    <border>
      <left style="hair">
        <color indexed="22"/>
      </left>
      <right style="thin">
        <color indexed="64"/>
      </right>
      <top/>
      <bottom style="thin">
        <color indexed="64"/>
      </bottom>
      <diagonal/>
    </border>
    <border>
      <left style="hair">
        <color indexed="22"/>
      </left>
      <right style="hair">
        <color indexed="22"/>
      </right>
      <top style="thin">
        <color indexed="64"/>
      </top>
      <bottom/>
      <diagonal/>
    </border>
    <border>
      <left style="hair">
        <color indexed="22"/>
      </left>
      <right style="hair">
        <color indexed="22"/>
      </right>
      <top style="hair">
        <color indexed="22"/>
      </top>
      <bottom style="thin">
        <color indexed="64"/>
      </bottom>
      <diagonal/>
    </border>
    <border>
      <left style="thin">
        <color indexed="64"/>
      </left>
      <right style="hair">
        <color indexed="22"/>
      </right>
      <top style="thin">
        <color indexed="64"/>
      </top>
      <bottom/>
      <diagonal/>
    </border>
    <border>
      <left style="thin">
        <color indexed="64"/>
      </left>
      <right style="hair">
        <color indexed="22"/>
      </right>
      <top style="hair">
        <color indexed="22"/>
      </top>
      <bottom style="hair">
        <color indexed="22"/>
      </bottom>
      <diagonal/>
    </border>
    <border>
      <left style="thin">
        <color indexed="64"/>
      </left>
      <right style="hair">
        <color indexed="22"/>
      </right>
      <top style="hair">
        <color indexed="22"/>
      </top>
      <bottom style="thin">
        <color indexed="64"/>
      </bottom>
      <diagonal/>
    </border>
    <border>
      <left style="hair">
        <color indexed="22"/>
      </left>
      <right style="hair">
        <color indexed="22"/>
      </right>
      <top style="thin">
        <color indexed="64"/>
      </top>
      <bottom style="hair">
        <color indexed="22"/>
      </bottom>
      <diagonal/>
    </border>
    <border>
      <left style="hair">
        <color indexed="22"/>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right/>
      <top style="hair">
        <color indexed="22"/>
      </top>
      <bottom style="thin">
        <color indexed="64"/>
      </bottom>
      <diagonal/>
    </border>
    <border>
      <left style="thin">
        <color indexed="64"/>
      </left>
      <right style="thin">
        <color indexed="64"/>
      </right>
      <top style="hair">
        <color indexed="22"/>
      </top>
      <bottom style="thin">
        <color indexed="64"/>
      </bottom>
      <diagonal/>
    </border>
    <border>
      <left style="thin">
        <color indexed="64"/>
      </left>
      <right style="thin">
        <color indexed="64"/>
      </right>
      <top style="thin">
        <color indexed="64"/>
      </top>
      <bottom style="hair">
        <color indexed="22"/>
      </bottom>
      <diagonal/>
    </border>
    <border>
      <left style="thin">
        <color rgb="FFA1AFC9"/>
      </left>
      <right style="thin">
        <color rgb="FFA1AFC9"/>
      </right>
      <top style="thin">
        <color rgb="FFA1AFC9"/>
      </top>
      <bottom style="thin">
        <color rgb="FFA1AFC9"/>
      </bottom>
      <diagonal/>
    </border>
    <border>
      <left style="thin">
        <color rgb="FFA1AFC9"/>
      </left>
      <right/>
      <top style="thin">
        <color rgb="FFA1AFC9"/>
      </top>
      <bottom style="thin">
        <color rgb="FFA1AFC9"/>
      </bottom>
      <diagonal/>
    </border>
    <border>
      <left style="thin">
        <color rgb="FFA1AFC9"/>
      </left>
      <right style="thin">
        <color rgb="FFA1AFC9"/>
      </right>
      <top style="thin">
        <color rgb="FFA1AFC9"/>
      </top>
      <bottom/>
      <diagonal/>
    </border>
    <border>
      <left style="thin">
        <color rgb="FF163861"/>
      </left>
      <right style="thin">
        <color rgb="FF163861"/>
      </right>
      <top style="thin">
        <color rgb="FF163861"/>
      </top>
      <bottom style="thin">
        <color rgb="FF163861"/>
      </bottom>
      <diagonal/>
    </border>
    <border>
      <left style="thin">
        <color rgb="FF163861"/>
      </left>
      <right style="thin">
        <color rgb="FF030404"/>
      </right>
      <top style="thin">
        <color rgb="FF030404"/>
      </top>
      <bottom style="thin">
        <color rgb="FF030404"/>
      </bottom>
      <diagonal/>
    </border>
    <border>
      <left style="thin">
        <color rgb="FF030404"/>
      </left>
      <right style="thin">
        <color rgb="FFFFFFFF"/>
      </right>
      <top style="thin">
        <color rgb="FF163861"/>
      </top>
      <bottom style="thin">
        <color rgb="FF163861"/>
      </bottom>
      <diagonal/>
    </border>
    <border>
      <left style="thin">
        <color rgb="FFFFFFFF"/>
      </left>
      <right style="thin">
        <color rgb="FFFFFFFF"/>
      </right>
      <top style="thin">
        <color rgb="FF163861"/>
      </top>
      <bottom style="thin">
        <color rgb="FF163861"/>
      </bottom>
      <diagonal/>
    </border>
    <border>
      <left style="thin">
        <color rgb="FF163861"/>
      </left>
      <right style="thin">
        <color rgb="FF163861"/>
      </right>
      <top/>
      <bottom style="thin">
        <color rgb="FF163861"/>
      </bottom>
      <diagonal/>
    </border>
    <border>
      <left style="thin">
        <color rgb="FF163861"/>
      </left>
      <right style="thin">
        <color rgb="FF030404"/>
      </right>
      <top/>
      <bottom style="thin">
        <color rgb="FF030404"/>
      </bottom>
      <diagonal/>
    </border>
    <border>
      <left style="thin">
        <color rgb="FF030404"/>
      </left>
      <right style="thin">
        <color rgb="FFFFFFFF"/>
      </right>
      <top/>
      <bottom style="thin">
        <color rgb="FF163861"/>
      </bottom>
      <diagonal/>
    </border>
    <border>
      <left style="thin">
        <color rgb="FFFFFFFF"/>
      </left>
      <right style="thin">
        <color rgb="FFFFFFFF"/>
      </right>
      <top/>
      <bottom style="thin">
        <color rgb="FF163861"/>
      </bottom>
      <diagonal/>
    </border>
    <border>
      <left style="thin">
        <color rgb="FFA1AFC9"/>
      </left>
      <right style="thin">
        <color rgb="FFA1AFC9"/>
      </right>
      <top/>
      <bottom style="thin">
        <color rgb="FFA1AFC9"/>
      </bottom>
      <diagonal/>
    </border>
    <border>
      <left style="thin">
        <color indexed="64"/>
      </left>
      <right style="thin">
        <color rgb="FFA1AFC9"/>
      </right>
      <top style="thin">
        <color indexed="64"/>
      </top>
      <bottom style="thin">
        <color indexed="64"/>
      </bottom>
      <diagonal/>
    </border>
    <border>
      <left style="thin">
        <color rgb="FFA1AFC9"/>
      </left>
      <right style="thin">
        <color rgb="FFA1AFC9"/>
      </right>
      <top style="thin">
        <color indexed="64"/>
      </top>
      <bottom style="thin">
        <color indexed="64"/>
      </bottom>
      <diagonal/>
    </border>
    <border>
      <left style="thin">
        <color rgb="FFA1AFC9"/>
      </left>
      <right style="thin">
        <color indexed="64"/>
      </right>
      <top style="thin">
        <color indexed="64"/>
      </top>
      <bottom style="thin">
        <color indexed="64"/>
      </bottom>
      <diagonal/>
    </border>
    <border>
      <left/>
      <right style="hair">
        <color indexed="64"/>
      </right>
      <top style="hair">
        <color indexed="22"/>
      </top>
      <bottom style="thin">
        <color indexed="64"/>
      </bottom>
      <diagonal/>
    </border>
    <border>
      <left style="hair">
        <color indexed="64"/>
      </left>
      <right style="hair">
        <color indexed="64"/>
      </right>
      <top style="hair">
        <color indexed="22"/>
      </top>
      <bottom style="thin">
        <color indexed="64"/>
      </bottom>
      <diagonal/>
    </border>
    <border>
      <left/>
      <right style="hair">
        <color indexed="64"/>
      </right>
      <top style="thin">
        <color indexed="64"/>
      </top>
      <bottom style="hair">
        <color indexed="22"/>
      </bottom>
      <diagonal/>
    </border>
    <border>
      <left style="hair">
        <color indexed="64"/>
      </left>
      <right style="hair">
        <color indexed="64"/>
      </right>
      <top style="thin">
        <color indexed="64"/>
      </top>
      <bottom style="hair">
        <color indexed="22"/>
      </bottom>
      <diagonal/>
    </border>
    <border>
      <left style="thin">
        <color rgb="FFA1AFC9"/>
      </left>
      <right/>
      <top style="thin">
        <color rgb="FFA1AFC9"/>
      </top>
      <bottom/>
      <diagonal/>
    </border>
    <border>
      <left style="thin">
        <color indexed="64"/>
      </left>
      <right style="thin">
        <color rgb="FFA1AFC9"/>
      </right>
      <top/>
      <bottom style="thin">
        <color rgb="FFA1AFC9"/>
      </bottom>
      <diagonal/>
    </border>
    <border>
      <left style="thin">
        <color rgb="FFA1AFC9"/>
      </left>
      <right style="thin">
        <color indexed="64"/>
      </right>
      <top/>
      <bottom style="thin">
        <color rgb="FFA1AFC9"/>
      </bottom>
      <diagonal/>
    </border>
    <border>
      <left style="thin">
        <color indexed="64"/>
      </left>
      <right style="thin">
        <color rgb="FFA1AFC9"/>
      </right>
      <top style="thin">
        <color rgb="FFA1AFC9"/>
      </top>
      <bottom style="thin">
        <color rgb="FFA1AFC9"/>
      </bottom>
      <diagonal/>
    </border>
    <border>
      <left style="thin">
        <color rgb="FFA1AFC9"/>
      </left>
      <right style="thin">
        <color indexed="64"/>
      </right>
      <top style="thin">
        <color rgb="FFA1AFC9"/>
      </top>
      <bottom style="thin">
        <color rgb="FFA1AFC9"/>
      </bottom>
      <diagonal/>
    </border>
    <border>
      <left style="thin">
        <color indexed="64"/>
      </left>
      <right style="thin">
        <color rgb="FFA1AFC9"/>
      </right>
      <top style="thin">
        <color rgb="FFA1AFC9"/>
      </top>
      <bottom/>
      <diagonal/>
    </border>
    <border>
      <left style="thin">
        <color rgb="FFA1AFC9"/>
      </left>
      <right style="thin">
        <color indexed="64"/>
      </right>
      <top style="thin">
        <color rgb="FFA1AFC9"/>
      </top>
      <bottom/>
      <diagonal/>
    </border>
    <border>
      <left style="thin">
        <color indexed="64"/>
      </left>
      <right/>
      <top style="thin">
        <color indexed="64"/>
      </top>
      <bottom style="thin">
        <color rgb="FFA1AFC9"/>
      </bottom>
      <diagonal/>
    </border>
    <border>
      <left/>
      <right style="thin">
        <color indexed="64"/>
      </right>
      <top style="thin">
        <color indexed="64"/>
      </top>
      <bottom style="thin">
        <color rgb="FFA1AFC9"/>
      </bottom>
      <diagonal/>
    </border>
    <border>
      <left style="thin">
        <color indexed="64"/>
      </left>
      <right style="thin">
        <color rgb="FFA1AFC9"/>
      </right>
      <top style="thin">
        <color rgb="FFA1AFC9"/>
      </top>
      <bottom style="thin">
        <color indexed="64"/>
      </bottom>
      <diagonal/>
    </border>
    <border>
      <left style="thin">
        <color rgb="FFA1AFC9"/>
      </left>
      <right style="thin">
        <color indexed="64"/>
      </right>
      <top style="thin">
        <color rgb="FFA1AFC9"/>
      </top>
      <bottom style="thin">
        <color indexed="64"/>
      </bottom>
      <diagonal/>
    </border>
    <border>
      <left style="thin">
        <color indexed="64"/>
      </left>
      <right style="hair">
        <color indexed="22"/>
      </right>
      <top style="thin">
        <color indexed="64"/>
      </top>
      <bottom style="hair">
        <color indexed="22"/>
      </bottom>
      <diagonal/>
    </border>
    <border>
      <left style="thin">
        <color indexed="64"/>
      </left>
      <right style="hair">
        <color indexed="22"/>
      </right>
      <top style="hair">
        <color indexed="22"/>
      </top>
      <bottom/>
      <diagonal/>
    </border>
    <border>
      <left style="hair">
        <color indexed="64"/>
      </left>
      <right/>
      <top style="hair">
        <color indexed="64"/>
      </top>
      <bottom style="hair">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style="thin">
        <color indexed="64"/>
      </right>
      <top style="hair">
        <color indexed="22"/>
      </top>
      <bottom style="hair">
        <color indexed="22"/>
      </bottom>
      <diagonal/>
    </border>
    <border>
      <left style="thin">
        <color indexed="64"/>
      </left>
      <right/>
      <top style="thin">
        <color indexed="64"/>
      </top>
      <bottom style="hair">
        <color indexed="22"/>
      </bottom>
      <diagonal/>
    </border>
    <border>
      <left/>
      <right style="thin">
        <color indexed="64"/>
      </right>
      <top style="thin">
        <color indexed="64"/>
      </top>
      <bottom style="hair">
        <color indexed="22"/>
      </bottom>
      <diagonal/>
    </border>
    <border>
      <left style="thin">
        <color indexed="64"/>
      </left>
      <right/>
      <top style="hair">
        <color indexed="22"/>
      </top>
      <bottom style="thin">
        <color indexed="64"/>
      </bottom>
      <diagonal/>
    </border>
    <border>
      <left/>
      <right style="thin">
        <color indexed="64"/>
      </right>
      <top style="hair">
        <color indexed="22"/>
      </top>
      <bottom style="thin">
        <color indexed="64"/>
      </bottom>
      <diagonal/>
    </border>
    <border>
      <left style="hair">
        <color indexed="22"/>
      </left>
      <right style="thin">
        <color indexed="64"/>
      </right>
      <top style="thin">
        <color indexed="64"/>
      </top>
      <bottom style="thin">
        <color indexed="64"/>
      </bottom>
      <diagonal/>
    </border>
    <border>
      <left style="hair">
        <color indexed="22"/>
      </left>
      <right style="hair">
        <color indexed="22"/>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s>
  <cellStyleXfs count="33113">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9" fillId="4" borderId="3" applyNumberFormat="0" applyAlignment="0" applyProtection="0">
      <alignment horizontal="center" vertical="top"/>
    </xf>
    <xf numFmtId="0" fontId="6" fillId="3" borderId="4" applyNumberFormat="0" applyFont="0" applyFill="0" applyAlignment="0"/>
    <xf numFmtId="0" fontId="17" fillId="0" borderId="0"/>
    <xf numFmtId="0" fontId="20" fillId="0" borderId="0" applyNumberFormat="0" applyFill="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4" fillId="8" borderId="0" applyNumberFormat="0" applyBorder="0" applyAlignment="0" applyProtection="0"/>
    <xf numFmtId="0" fontId="25" fillId="9" borderId="0" applyNumberFormat="0" applyBorder="0" applyAlignment="0" applyProtection="0"/>
    <xf numFmtId="0" fontId="26" fillId="10" borderId="0" applyNumberFormat="0" applyBorder="0" applyAlignment="0" applyProtection="0"/>
    <xf numFmtId="0" fontId="27" fillId="11" borderId="37" applyNumberFormat="0" applyAlignment="0" applyProtection="0"/>
    <xf numFmtId="0" fontId="28" fillId="12" borderId="38" applyNumberFormat="0" applyAlignment="0" applyProtection="0"/>
    <xf numFmtId="0" fontId="29" fillId="12" borderId="37" applyNumberFormat="0" applyAlignment="0" applyProtection="0"/>
    <xf numFmtId="0" fontId="30" fillId="0" borderId="39" applyNumberFormat="0" applyFill="0" applyAlignment="0" applyProtection="0"/>
    <xf numFmtId="0" fontId="11" fillId="0" borderId="42" applyNumberFormat="0" applyFill="0" applyAlignment="0" applyProtection="0"/>
    <xf numFmtId="0" fontId="33"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33" fillId="30"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33" fillId="38" borderId="0" applyNumberFormat="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0" fontId="34" fillId="0" borderId="0" applyFont="0" applyFill="0" applyBorder="0" applyAlignment="0" applyProtection="0"/>
    <xf numFmtId="167"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3" fontId="34"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35" fillId="0" borderId="0" applyNumberFormat="0" applyFill="0" applyBorder="0" applyAlignment="0" applyProtection="0"/>
    <xf numFmtId="168" fontId="36" fillId="0" borderId="0" applyNumberFormat="0" applyFill="0" applyBorder="0" applyAlignment="0" applyProtection="0"/>
    <xf numFmtId="168" fontId="8" fillId="0" borderId="0"/>
    <xf numFmtId="168" fontId="8" fillId="0" borderId="0"/>
    <xf numFmtId="168" fontId="34" fillId="0" borderId="0" applyFont="0" applyFill="0" applyBorder="0" applyAlignment="0" applyProtection="0"/>
    <xf numFmtId="168" fontId="2" fillId="0" borderId="0"/>
    <xf numFmtId="168" fontId="37" fillId="0" borderId="0" applyNumberFormat="0" applyFill="0" applyBorder="0" applyAlignment="0" applyProtection="0">
      <alignment vertical="top"/>
      <protection locked="0"/>
    </xf>
    <xf numFmtId="168" fontId="34" fillId="0" borderId="44" applyNumberFormat="0" applyFont="0" applyFill="0" applyAlignment="0" applyProtection="0"/>
    <xf numFmtId="168" fontId="8" fillId="0" borderId="0"/>
    <xf numFmtId="168" fontId="2" fillId="0" borderId="0"/>
    <xf numFmtId="0" fontId="8" fillId="0" borderId="0"/>
    <xf numFmtId="0" fontId="8" fillId="0" borderId="0"/>
    <xf numFmtId="0" fontId="8" fillId="0" borderId="0"/>
    <xf numFmtId="0" fontId="8" fillId="0" borderId="0"/>
    <xf numFmtId="168" fontId="2" fillId="0" borderId="0"/>
    <xf numFmtId="168"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8" fillId="0" borderId="0"/>
    <xf numFmtId="44" fontId="2" fillId="0" borderId="0" applyFont="0" applyFill="0" applyBorder="0" applyAlignment="0" applyProtection="0"/>
    <xf numFmtId="0" fontId="8" fillId="0" borderId="0"/>
    <xf numFmtId="0" fontId="8" fillId="0" borderId="0"/>
    <xf numFmtId="0" fontId="2" fillId="0" borderId="0"/>
    <xf numFmtId="9" fontId="2" fillId="0" borderId="0" applyFont="0" applyFill="0" applyBorder="0" applyAlignment="0" applyProtection="0"/>
    <xf numFmtId="0" fontId="2" fillId="0" borderId="0"/>
    <xf numFmtId="0" fontId="8" fillId="0" borderId="0"/>
    <xf numFmtId="0" fontId="38" fillId="0" borderId="0"/>
    <xf numFmtId="0" fontId="38" fillId="0" borderId="0"/>
    <xf numFmtId="44" fontId="2" fillId="0" borderId="0" applyFont="0" applyFill="0" applyBorder="0" applyAlignment="0" applyProtection="0"/>
    <xf numFmtId="0" fontId="36" fillId="0" borderId="0" applyNumberFormat="0" applyFill="0" applyBorder="0" applyAlignment="0" applyProtection="0"/>
    <xf numFmtId="43" fontId="2" fillId="0" borderId="0" applyFont="0" applyFill="0" applyBorder="0" applyAlignment="0" applyProtection="0"/>
    <xf numFmtId="2" fontId="34" fillId="0" borderId="0" applyFont="0" applyFill="0" applyBorder="0" applyAlignment="0" applyProtection="0"/>
    <xf numFmtId="43" fontId="2" fillId="0" borderId="0" applyFont="0" applyFill="0" applyBorder="0" applyAlignment="0" applyProtection="0"/>
    <xf numFmtId="0" fontId="34" fillId="0" borderId="44" applyNumberFormat="0" applyFont="0" applyFill="0" applyAlignment="0" applyProtection="0"/>
    <xf numFmtId="0" fontId="2" fillId="0" borderId="0"/>
    <xf numFmtId="0" fontId="35" fillId="0" borderId="0" applyNumberFormat="0" applyFill="0" applyBorder="0" applyAlignment="0" applyProtection="0"/>
    <xf numFmtId="0" fontId="34" fillId="0" borderId="0" applyFont="0" applyFill="0" applyBorder="0" applyAlignment="0" applyProtection="0"/>
    <xf numFmtId="44" fontId="2" fillId="0" borderId="0" applyFont="0" applyFill="0" applyBorder="0" applyAlignment="0" applyProtection="0"/>
    <xf numFmtId="0" fontId="41" fillId="0" borderId="36" applyNumberFormat="0" applyFill="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40" fillId="0" borderId="0" applyNumberFormat="0" applyFill="0" applyBorder="0" applyAlignment="0" applyProtection="0"/>
    <xf numFmtId="167" fontId="34" fillId="0" borderId="0" applyFont="0" applyFill="0" applyBorder="0" applyAlignment="0" applyProtection="0"/>
    <xf numFmtId="0" fontId="38" fillId="0" borderId="0"/>
    <xf numFmtId="0" fontId="38" fillId="0" borderId="0"/>
    <xf numFmtId="0" fontId="2" fillId="0" borderId="0"/>
    <xf numFmtId="0" fontId="2" fillId="0" borderId="0"/>
    <xf numFmtId="41" fontId="39" fillId="0" borderId="0"/>
    <xf numFmtId="37" fontId="3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168"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0" fontId="34" fillId="0" borderId="44" applyNumberFormat="0" applyFont="0" applyFill="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2" fillId="13" borderId="40"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8" fillId="21" borderId="0" applyNumberFormat="0" applyBorder="0" applyAlignment="0" applyProtection="0"/>
    <xf numFmtId="0" fontId="33" fillId="31" borderId="0" applyNumberFormat="0" applyBorder="0" applyAlignment="0" applyProtection="0"/>
    <xf numFmtId="0" fontId="8" fillId="32" borderId="0" applyNumberFormat="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70" fontId="52" fillId="0" borderId="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24" fillId="44" borderId="0" applyNumberFormat="0" applyBorder="0" applyAlignment="0" applyProtection="0"/>
    <xf numFmtId="0" fontId="35" fillId="0" borderId="0" applyNumberFormat="0" applyFill="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55"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44"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8" fillId="0" borderId="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8" fillId="0" borderId="0"/>
    <xf numFmtId="0" fontId="42" fillId="0" borderId="0"/>
    <xf numFmtId="0" fontId="42" fillId="0" borderId="0"/>
    <xf numFmtId="0" fontId="4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0" fontId="42" fillId="0" borderId="0"/>
    <xf numFmtId="0" fontId="2" fillId="0" borderId="0"/>
    <xf numFmtId="0" fontId="2" fillId="0" borderId="0"/>
    <xf numFmtId="0" fontId="2" fillId="0" borderId="0"/>
    <xf numFmtId="0" fontId="38" fillId="0" borderId="0"/>
    <xf numFmtId="0" fontId="2" fillId="0" borderId="0"/>
    <xf numFmtId="0" fontId="2" fillId="0" borderId="0"/>
    <xf numFmtId="0" fontId="1" fillId="0" borderId="0"/>
    <xf numFmtId="0" fontId="2" fillId="0" borderId="0"/>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46" fillId="0" borderId="0" applyNumberFormat="0" applyFill="0" applyBorder="0" applyProtection="0">
      <alignment vertical="top" wrapText="1"/>
    </xf>
    <xf numFmtId="0" fontId="2" fillId="0" borderId="0" applyFill="0"/>
    <xf numFmtId="0" fontId="42" fillId="0" borderId="0"/>
    <xf numFmtId="168"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8" fillId="0" borderId="0"/>
    <xf numFmtId="0" fontId="42" fillId="0" borderId="0"/>
    <xf numFmtId="0" fontId="2" fillId="0" borderId="0"/>
    <xf numFmtId="0" fontId="42" fillId="0" borderId="0"/>
    <xf numFmtId="0" fontId="8" fillId="0" borderId="0"/>
    <xf numFmtId="0" fontId="42" fillId="0" borderId="0"/>
    <xf numFmtId="168" fontId="2" fillId="0" borderId="0"/>
    <xf numFmtId="0" fontId="42" fillId="0" borderId="0"/>
    <xf numFmtId="0" fontId="2" fillId="0" borderId="0"/>
    <xf numFmtId="0" fontId="42" fillId="0" borderId="0"/>
    <xf numFmtId="0" fontId="4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0" fontId="28" fillId="52" borderId="3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5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52" fillId="0" borderId="0"/>
    <xf numFmtId="0" fontId="51"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34" fillId="0" borderId="44" applyNumberFormat="0" applyFon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38"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5" borderId="0" applyNumberFormat="0" applyBorder="0" applyAlignment="0" applyProtection="0"/>
    <xf numFmtId="0" fontId="25" fillId="9" borderId="0" applyNumberFormat="0" applyBorder="0" applyAlignment="0" applyProtection="0"/>
    <xf numFmtId="0" fontId="29" fillId="12" borderId="37" applyNumberFormat="0" applyAlignment="0" applyProtection="0"/>
    <xf numFmtId="43" fontId="8" fillId="0" borderId="0" applyFont="0" applyFill="0" applyBorder="0" applyAlignment="0" applyProtection="0"/>
    <xf numFmtId="44" fontId="8" fillId="0" borderId="0" applyFont="0" applyFill="0" applyBorder="0" applyAlignment="0" applyProtection="0"/>
    <xf numFmtId="0" fontId="24" fillId="8" borderId="0" applyNumberFormat="0" applyBorder="0" applyAlignment="0" applyProtection="0"/>
    <xf numFmtId="0" fontId="21" fillId="0" borderId="34" applyNumberFormat="0" applyFill="0" applyAlignment="0" applyProtection="0"/>
    <xf numFmtId="0" fontId="22" fillId="0" borderId="35" applyNumberFormat="0" applyFill="0" applyAlignment="0" applyProtection="0"/>
    <xf numFmtId="0" fontId="23" fillId="0" borderId="36" applyNumberFormat="0" applyFill="0" applyAlignment="0" applyProtection="0"/>
    <xf numFmtId="0" fontId="23" fillId="0" borderId="0" applyNumberFormat="0" applyFill="0" applyBorder="0" applyAlignment="0" applyProtection="0"/>
    <xf numFmtId="0" fontId="27" fillId="11" borderId="37" applyNumberFormat="0" applyAlignment="0" applyProtection="0"/>
    <xf numFmtId="0" fontId="30" fillId="0" borderId="39" applyNumberFormat="0" applyFill="0" applyAlignment="0" applyProtection="0"/>
    <xf numFmtId="0" fontId="26" fillId="10" borderId="0" applyNumberFormat="0" applyBorder="0" applyAlignment="0" applyProtection="0"/>
    <xf numFmtId="0" fontId="8" fillId="0" borderId="0"/>
    <xf numFmtId="0" fontId="8" fillId="14" borderId="41" applyNumberFormat="0" applyFont="0" applyAlignment="0" applyProtection="0"/>
    <xf numFmtId="0" fontId="28" fillId="12" borderId="38" applyNumberFormat="0" applyAlignment="0" applyProtection="0"/>
    <xf numFmtId="9" fontId="8" fillId="0" borderId="0" applyFon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9" fontId="2" fillId="0" borderId="0" applyFont="0" applyFill="0" applyBorder="0" applyAlignment="0" applyProtection="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168" fontId="35" fillId="0" borderId="0" applyNumberFormat="0" applyFill="0" applyBorder="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168" fontId="36" fillId="0" borderId="0" applyNumberFormat="0" applyFill="0" applyBorder="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47"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45"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2"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2" fillId="0" borderId="0"/>
    <xf numFmtId="168" fontId="2" fillId="0" borderId="0"/>
    <xf numFmtId="168" fontId="2"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3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 fillId="0" borderId="0"/>
    <xf numFmtId="168" fontId="2" fillId="0" borderId="0"/>
    <xf numFmtId="0" fontId="8" fillId="0" borderId="0"/>
    <xf numFmtId="0" fontId="41" fillId="0" borderId="36"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168" fontId="36" fillId="0" borderId="0" applyNumberFormat="0" applyFill="0" applyBorder="0" applyAlignment="0" applyProtection="0"/>
    <xf numFmtId="0" fontId="8" fillId="0" borderId="0"/>
    <xf numFmtId="0" fontId="8" fillId="0" borderId="0"/>
    <xf numFmtId="0" fontId="8" fillId="0" borderId="0"/>
    <xf numFmtId="0" fontId="8" fillId="0" borderId="0"/>
    <xf numFmtId="168" fontId="2" fillId="0" borderId="0"/>
    <xf numFmtId="9" fontId="2" fillId="0" borderId="0" applyFont="0" applyFill="0" applyBorder="0" applyAlignment="0" applyProtection="0"/>
    <xf numFmtId="168" fontId="34" fillId="0" borderId="44" applyNumberFormat="0" applyFont="0" applyFill="0" applyAlignment="0" applyProtection="0"/>
    <xf numFmtId="43" fontId="2" fillId="0" borderId="0" applyFont="0" applyFill="0" applyBorder="0" applyAlignment="0" applyProtection="0"/>
    <xf numFmtId="0" fontId="8" fillId="0" borderId="0"/>
    <xf numFmtId="168" fontId="2"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21" fillId="0" borderId="34"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11" fillId="0" borderId="42" applyNumberFormat="0" applyFill="0" applyAlignment="0" applyProtection="0"/>
    <xf numFmtId="0" fontId="22" fillId="0" borderId="35" applyNumberFormat="0" applyFill="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18" borderId="0" applyNumberFormat="0" applyBorder="0" applyAlignment="0" applyProtection="0"/>
    <xf numFmtId="0" fontId="33" fillId="44" borderId="0" applyNumberFormat="0" applyBorder="0" applyAlignment="0" applyProtection="0"/>
    <xf numFmtId="0" fontId="33" fillId="22" borderId="0" applyNumberFormat="0" applyBorder="0" applyAlignment="0" applyProtection="0"/>
    <xf numFmtId="0" fontId="33" fillId="46" borderId="0" applyNumberFormat="0" applyBorder="0" applyAlignment="0" applyProtection="0"/>
    <xf numFmtId="0" fontId="33" fillId="26" borderId="0" applyNumberFormat="0" applyBorder="0" applyAlignment="0" applyProtection="0"/>
    <xf numFmtId="0" fontId="33" fillId="47" borderId="0" applyNumberFormat="0" applyBorder="0" applyAlignment="0" applyProtection="0"/>
    <xf numFmtId="0" fontId="33" fillId="30" borderId="0" applyNumberFormat="0" applyBorder="0" applyAlignment="0" applyProtection="0"/>
    <xf numFmtId="0" fontId="33" fillId="40" borderId="0" applyNumberFormat="0" applyBorder="0" applyAlignment="0" applyProtection="0"/>
    <xf numFmtId="0" fontId="33" fillId="34" borderId="0" applyNumberFormat="0" applyBorder="0" applyAlignment="0" applyProtection="0"/>
    <xf numFmtId="0" fontId="33" fillId="44" borderId="0" applyNumberFormat="0" applyBorder="0" applyAlignment="0" applyProtection="0"/>
    <xf numFmtId="0" fontId="33" fillId="38" borderId="0" applyNumberFormat="0" applyBorder="0" applyAlignment="0" applyProtection="0"/>
    <xf numFmtId="0" fontId="33" fillId="41" borderId="0" applyNumberFormat="0" applyBorder="0" applyAlignment="0" applyProtection="0"/>
    <xf numFmtId="0" fontId="33" fillId="15" borderId="0" applyNumberFormat="0" applyBorder="0" applyAlignment="0" applyProtection="0"/>
    <xf numFmtId="0" fontId="33" fillId="48" borderId="0" applyNumberFormat="0" applyBorder="0" applyAlignment="0" applyProtection="0"/>
    <xf numFmtId="0" fontId="33" fillId="19" borderId="0" applyNumberFormat="0" applyBorder="0" applyAlignment="0" applyProtection="0"/>
    <xf numFmtId="0" fontId="33" fillId="46" borderId="0" applyNumberFormat="0" applyBorder="0" applyAlignment="0" applyProtection="0"/>
    <xf numFmtId="0" fontId="33" fillId="23" borderId="0" applyNumberFormat="0" applyBorder="0" applyAlignment="0" applyProtection="0"/>
    <xf numFmtId="0" fontId="33" fillId="47" borderId="0" applyNumberFormat="0" applyBorder="0" applyAlignment="0" applyProtection="0"/>
    <xf numFmtId="0" fontId="33" fillId="27" borderId="0" applyNumberFormat="0" applyBorder="0" applyAlignment="0" applyProtection="0"/>
    <xf numFmtId="0" fontId="33" fillId="49" borderId="0" applyNumberFormat="0" applyBorder="0" applyAlignment="0" applyProtection="0"/>
    <xf numFmtId="0" fontId="33" fillId="35" borderId="0" applyNumberFormat="0" applyBorder="0" applyAlignment="0" applyProtection="0"/>
    <xf numFmtId="0" fontId="33" fillId="50" borderId="0" applyNumberFormat="0" applyBorder="0" applyAlignment="0" applyProtection="0"/>
    <xf numFmtId="0" fontId="25" fillId="9" borderId="0" applyNumberFormat="0" applyBorder="0" applyAlignment="0" applyProtection="0"/>
    <xf numFmtId="0" fontId="25" fillId="51" borderId="0" applyNumberFormat="0" applyBorder="0" applyAlignment="0" applyProtection="0"/>
    <xf numFmtId="0" fontId="29" fillId="12" borderId="37" applyNumberFormat="0" applyAlignment="0" applyProtection="0"/>
    <xf numFmtId="0" fontId="54" fillId="52" borderId="3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52" fillId="0" borderId="0"/>
    <xf numFmtId="43" fontId="2" fillId="0" borderId="0" applyFont="0" applyFill="0" applyBorder="0" applyAlignment="0" applyProtection="0"/>
    <xf numFmtId="169" fontId="52" fillId="0" borderId="0"/>
    <xf numFmtId="44" fontId="2" fillId="0" borderId="0" applyFont="0" applyFill="0" applyBorder="0" applyAlignment="0" applyProtection="0"/>
    <xf numFmtId="170" fontId="5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0" fontId="5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8" borderId="0" applyNumberFormat="0" applyBorder="0" applyAlignment="0" applyProtection="0"/>
    <xf numFmtId="0" fontId="24" fillId="44" borderId="0" applyNumberFormat="0" applyBorder="0" applyAlignment="0" applyProtection="0"/>
    <xf numFmtId="0" fontId="55" fillId="0" borderId="45" applyNumberFormat="0" applyFill="0" applyAlignment="0" applyProtection="0"/>
    <xf numFmtId="0" fontId="48" fillId="0" borderId="45" applyNumberFormat="0" applyFill="0" applyAlignment="0" applyProtection="0"/>
    <xf numFmtId="0" fontId="21" fillId="0" borderId="34" applyNumberFormat="0" applyFill="0" applyAlignment="0" applyProtection="0"/>
    <xf numFmtId="0" fontId="48" fillId="0" borderId="45" applyNumberFormat="0" applyFill="0" applyAlignment="0" applyProtection="0"/>
    <xf numFmtId="0" fontId="56" fillId="0" borderId="46" applyNumberFormat="0" applyFill="0" applyAlignment="0" applyProtection="0"/>
    <xf numFmtId="0" fontId="49" fillId="0" borderId="46" applyNumberFormat="0" applyFill="0" applyAlignment="0" applyProtection="0"/>
    <xf numFmtId="0" fontId="22" fillId="0" borderId="35" applyNumberFormat="0" applyFill="0" applyAlignment="0" applyProtection="0"/>
    <xf numFmtId="0" fontId="49"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0" fillId="0" borderId="47" applyNumberFormat="0" applyFill="0" applyAlignment="0" applyProtection="0"/>
    <xf numFmtId="0" fontId="23" fillId="0" borderId="36"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0" fillId="0" borderId="0" applyNumberFormat="0" applyFill="0" applyBorder="0" applyAlignment="0" applyProtection="0"/>
    <xf numFmtId="0" fontId="23" fillId="0" borderId="0" applyNumberFormat="0" applyFill="0" applyBorder="0" applyAlignment="0" applyProtection="0"/>
    <xf numFmtId="0" fontId="27" fillId="11" borderId="37" applyNumberFormat="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45" fillId="0" borderId="48" applyNumberFormat="0" applyFill="0" applyAlignment="0" applyProtection="0"/>
    <xf numFmtId="0" fontId="30" fillId="0" borderId="39" applyNumberFormat="0" applyFill="0" applyAlignment="0" applyProtection="0"/>
    <xf numFmtId="0" fontId="26" fillId="10" borderId="0" applyNumberFormat="0" applyBorder="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Protection="0">
      <alignment vertical="top" wrapText="1"/>
    </xf>
    <xf numFmtId="0" fontId="8" fillId="0" borderId="0"/>
    <xf numFmtId="0" fontId="52" fillId="0" borderId="0"/>
    <xf numFmtId="0" fontId="8" fillId="0" borderId="0"/>
    <xf numFmtId="0" fontId="2" fillId="0" borderId="0"/>
    <xf numFmtId="0" fontId="2" fillId="0" borderId="0"/>
    <xf numFmtId="0" fontId="2" fillId="0" borderId="0"/>
    <xf numFmtId="0" fontId="2" fillId="0" borderId="0"/>
    <xf numFmtId="0" fontId="46" fillId="0" borderId="0" applyNumberFormat="0" applyFill="0" applyBorder="0" applyProtection="0">
      <alignment vertical="top" wrapText="1"/>
    </xf>
    <xf numFmtId="0" fontId="52" fillId="0" borderId="0"/>
    <xf numFmtId="0" fontId="46" fillId="0" borderId="0" applyNumberFormat="0" applyFill="0" applyBorder="0" applyProtection="0">
      <alignment vertical="top" wrapText="1"/>
    </xf>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2" fillId="0" borderId="0"/>
    <xf numFmtId="0" fontId="2"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2" fillId="0" borderId="0"/>
    <xf numFmtId="0" fontId="2"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12" borderId="38" applyNumberFormat="0" applyAlignment="0" applyProtection="0"/>
    <xf numFmtId="0" fontId="28" fillId="52" borderId="3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52" fillId="0" borderId="0"/>
    <xf numFmtId="9" fontId="2"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11" fillId="0" borderId="42" applyNumberFormat="0" applyFill="0" applyAlignment="0" applyProtection="0"/>
    <xf numFmtId="0" fontId="11" fillId="0" borderId="49" applyNumberFormat="0" applyFill="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3" fillId="4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0" borderId="0" applyNumberFormat="0" applyBorder="0" applyAlignment="0" applyProtection="0"/>
    <xf numFmtId="0" fontId="33" fillId="44" borderId="0" applyNumberFormat="0" applyBorder="0" applyAlignment="0" applyProtection="0"/>
    <xf numFmtId="0" fontId="33" fillId="41" borderId="0" applyNumberFormat="0" applyBorder="0" applyAlignment="0" applyProtection="0"/>
    <xf numFmtId="0" fontId="33" fillId="4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25" fillId="51" borderId="0" applyNumberFormat="0" applyBorder="0" applyAlignment="0" applyProtection="0"/>
    <xf numFmtId="0" fontId="54" fillId="52" borderId="37"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4" fillId="44" borderId="0" applyNumberFormat="0" applyBorder="0" applyAlignment="0" applyProtection="0"/>
    <xf numFmtId="0" fontId="48"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55" fillId="0" borderId="45" applyNumberFormat="0" applyFill="0" applyAlignment="0" applyProtection="0"/>
    <xf numFmtId="0" fontId="49"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0" fontId="50" fillId="0" borderId="47" applyNumberFormat="0" applyFill="0" applyAlignment="0" applyProtection="0"/>
    <xf numFmtId="0" fontId="57" fillId="0" borderId="47" applyNumberFormat="0" applyFill="0" applyAlignment="0" applyProtection="0"/>
    <xf numFmtId="0" fontId="57" fillId="0" borderId="47" applyNumberFormat="0" applyFill="0" applyAlignment="0" applyProtection="0"/>
    <xf numFmtId="0" fontId="50"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7" fillId="45" borderId="37" applyNumberFormat="0" applyAlignment="0" applyProtection="0"/>
    <xf numFmtId="0" fontId="45"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0" fontId="60" fillId="10"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1" fillId="14" borderId="41" applyNumberFormat="0" applyFont="0" applyAlignment="0" applyProtection="0"/>
    <xf numFmtId="0" fontId="28" fillId="52" borderId="3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2" fontId="2" fillId="0" borderId="0" applyFont="0" applyFill="0" applyBorder="0" applyAlignment="0" applyProtection="0"/>
    <xf numFmtId="0" fontId="8" fillId="0" borderId="0"/>
    <xf numFmtId="0" fontId="8" fillId="0" borderId="0"/>
    <xf numFmtId="0" fontId="8" fillId="0" borderId="0"/>
    <xf numFmtId="0" fontId="2" fillId="0" borderId="0"/>
    <xf numFmtId="0" fontId="2" fillId="0" borderId="0">
      <alignment vertical="top"/>
    </xf>
    <xf numFmtId="168" fontId="8" fillId="0" borderId="0"/>
    <xf numFmtId="0" fontId="8" fillId="0" borderId="0"/>
    <xf numFmtId="168" fontId="8" fillId="0" borderId="0"/>
    <xf numFmtId="168" fontId="8" fillId="0" borderId="0"/>
    <xf numFmtId="0" fontId="2" fillId="0" borderId="0">
      <alignment vertical="top"/>
    </xf>
    <xf numFmtId="0" fontId="8" fillId="0" borderId="0"/>
    <xf numFmtId="0" fontId="8" fillId="0" borderId="0"/>
    <xf numFmtId="0" fontId="8" fillId="0" borderId="0"/>
    <xf numFmtId="0" fontId="2"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4" fontId="53" fillId="45" borderId="50" applyNumberFormat="0" applyProtection="0">
      <alignment vertical="center"/>
    </xf>
    <xf numFmtId="4" fontId="62" fillId="45" borderId="50" applyNumberFormat="0" applyProtection="0">
      <alignment vertical="center"/>
    </xf>
    <xf numFmtId="4" fontId="53" fillId="45" borderId="50" applyNumberFormat="0" applyProtection="0">
      <alignment horizontal="left" vertical="center" indent="1"/>
    </xf>
    <xf numFmtId="0" fontId="53" fillId="45" borderId="50" applyNumberFormat="0" applyProtection="0">
      <alignment horizontal="left" vertical="top" indent="1"/>
    </xf>
    <xf numFmtId="4" fontId="53" fillId="53" borderId="0" applyNumberFormat="0" applyProtection="0">
      <alignment horizontal="left" vertical="center" indent="1"/>
    </xf>
    <xf numFmtId="4" fontId="47" fillId="40" borderId="50" applyNumberFormat="0" applyProtection="0">
      <alignment horizontal="right" vertical="center"/>
    </xf>
    <xf numFmtId="4" fontId="47" fillId="41" borderId="50" applyNumberFormat="0" applyProtection="0">
      <alignment horizontal="right" vertical="center"/>
    </xf>
    <xf numFmtId="4" fontId="47" fillId="50" borderId="50" applyNumberFormat="0" applyProtection="0">
      <alignment horizontal="right" vertical="center"/>
    </xf>
    <xf numFmtId="4" fontId="47" fillId="47" borderId="50" applyNumberFormat="0" applyProtection="0">
      <alignment horizontal="right" vertical="center"/>
    </xf>
    <xf numFmtId="4" fontId="47" fillId="54" borderId="50" applyNumberFormat="0" applyProtection="0">
      <alignment horizontal="right" vertical="center"/>
    </xf>
    <xf numFmtId="4" fontId="47" fillId="46" borderId="50" applyNumberFormat="0" applyProtection="0">
      <alignment horizontal="right" vertical="center"/>
    </xf>
    <xf numFmtId="4" fontId="47" fillId="55" borderId="50" applyNumberFormat="0" applyProtection="0">
      <alignment horizontal="right" vertical="center"/>
    </xf>
    <xf numFmtId="4" fontId="47" fillId="56" borderId="50" applyNumberFormat="0" applyProtection="0">
      <alignment horizontal="right" vertical="center"/>
    </xf>
    <xf numFmtId="4" fontId="47" fillId="57" borderId="50" applyNumberFormat="0" applyProtection="0">
      <alignment horizontal="right" vertical="center"/>
    </xf>
    <xf numFmtId="4" fontId="53" fillId="58" borderId="51" applyNumberFormat="0" applyProtection="0">
      <alignment horizontal="left" vertical="center" indent="1"/>
    </xf>
    <xf numFmtId="4" fontId="47" fillId="59" borderId="0" applyNumberFormat="0" applyProtection="0">
      <alignment horizontal="left" vertical="center" indent="1"/>
    </xf>
    <xf numFmtId="4" fontId="63" fillId="49" borderId="0" applyNumberFormat="0" applyProtection="0">
      <alignment horizontal="left" vertical="center" indent="1"/>
    </xf>
    <xf numFmtId="4" fontId="47" fillId="53" borderId="50" applyNumberFormat="0" applyProtection="0">
      <alignment horizontal="right" vertical="center"/>
    </xf>
    <xf numFmtId="4" fontId="47" fillId="59" borderId="0" applyNumberFormat="0" applyProtection="0">
      <alignment horizontal="left" vertical="center" indent="1"/>
    </xf>
    <xf numFmtId="4" fontId="47" fillId="53" borderId="0" applyNumberFormat="0" applyProtection="0">
      <alignment horizontal="left" vertical="center" indent="1"/>
    </xf>
    <xf numFmtId="0" fontId="2" fillId="49" borderId="50" applyNumberFormat="0" applyProtection="0">
      <alignment horizontal="left" vertical="center" indent="1"/>
    </xf>
    <xf numFmtId="0" fontId="2" fillId="49" borderId="50" applyNumberFormat="0" applyProtection="0">
      <alignment horizontal="left" vertical="top" indent="1"/>
    </xf>
    <xf numFmtId="0" fontId="2" fillId="53" borderId="50" applyNumberFormat="0" applyProtection="0">
      <alignment horizontal="left" vertical="center" indent="1"/>
    </xf>
    <xf numFmtId="0" fontId="2" fillId="53" borderId="50" applyNumberFormat="0" applyProtection="0">
      <alignment horizontal="left" vertical="top" indent="1"/>
    </xf>
    <xf numFmtId="0" fontId="2" fillId="39" borderId="50" applyNumberFormat="0" applyProtection="0">
      <alignment horizontal="left" vertical="center" indent="1"/>
    </xf>
    <xf numFmtId="0" fontId="2" fillId="39" borderId="50" applyNumberFormat="0" applyProtection="0">
      <alignment horizontal="left" vertical="top" indent="1"/>
    </xf>
    <xf numFmtId="0" fontId="2" fillId="59" borderId="50" applyNumberFormat="0" applyProtection="0">
      <alignment horizontal="left" vertical="center" indent="1"/>
    </xf>
    <xf numFmtId="0" fontId="2" fillId="59" borderId="50" applyNumberFormat="0" applyProtection="0">
      <alignment horizontal="left" vertical="top" indent="1"/>
    </xf>
    <xf numFmtId="0" fontId="2" fillId="52" borderId="43" applyNumberFormat="0">
      <protection locked="0"/>
    </xf>
    <xf numFmtId="4" fontId="47" fillId="42" borderId="50" applyNumberFormat="0" applyProtection="0">
      <alignment vertical="center"/>
    </xf>
    <xf numFmtId="4" fontId="64" fillId="42" borderId="50" applyNumberFormat="0" applyProtection="0">
      <alignment vertical="center"/>
    </xf>
    <xf numFmtId="4" fontId="47" fillId="42" borderId="50" applyNumberFormat="0" applyProtection="0">
      <alignment horizontal="left" vertical="center" indent="1"/>
    </xf>
    <xf numFmtId="0" fontId="47" fillId="42" borderId="50" applyNumberFormat="0" applyProtection="0">
      <alignment horizontal="left" vertical="top" indent="1"/>
    </xf>
    <xf numFmtId="4" fontId="47" fillId="59" borderId="50" applyNumberFormat="0" applyProtection="0">
      <alignment horizontal="right" vertical="center"/>
    </xf>
    <xf numFmtId="4" fontId="64" fillId="59" borderId="50" applyNumberFormat="0" applyProtection="0">
      <alignment horizontal="right" vertical="center"/>
    </xf>
    <xf numFmtId="4" fontId="47" fillId="53" borderId="50" applyNumberFormat="0" applyProtection="0">
      <alignment horizontal="left" vertical="center" indent="1"/>
    </xf>
    <xf numFmtId="0" fontId="47" fillId="53" borderId="50" applyNumberFormat="0" applyProtection="0">
      <alignment horizontal="left" vertical="top" indent="1"/>
    </xf>
    <xf numFmtId="4" fontId="65" fillId="60" borderId="0" applyNumberFormat="0" applyProtection="0">
      <alignment horizontal="left" vertical="center" indent="1"/>
    </xf>
    <xf numFmtId="4" fontId="43" fillId="59" borderId="50" applyNumberFormat="0" applyProtection="0">
      <alignment horizontal="right" vertical="center"/>
    </xf>
    <xf numFmtId="0" fontId="51" fillId="0" borderId="0" applyNumberForma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34" fillId="0" borderId="0" applyFont="0" applyFill="0" applyBorder="0" applyAlignment="0" applyProtection="0"/>
    <xf numFmtId="2" fontId="34" fillId="0" borderId="0" applyFont="0" applyFill="0" applyBorder="0" applyAlignment="0" applyProtection="0"/>
    <xf numFmtId="167" fontId="34" fillId="0" borderId="0" applyFont="0" applyFill="0" applyBorder="0" applyAlignment="0" applyProtection="0"/>
    <xf numFmtId="0" fontId="35" fillId="0" borderId="0" applyNumberFormat="0" applyFill="0" applyBorder="0" applyAlignment="0" applyProtection="0"/>
    <xf numFmtId="0" fontId="8" fillId="0" borderId="0"/>
    <xf numFmtId="44" fontId="2" fillId="0" borderId="0" applyFont="0" applyFill="0" applyBorder="0" applyAlignment="0" applyProtection="0"/>
    <xf numFmtId="9" fontId="2" fillId="0" borderId="0" applyFont="0" applyFill="0" applyBorder="0" applyAlignment="0" applyProtection="0"/>
    <xf numFmtId="3" fontId="34" fillId="0" borderId="0" applyFont="0" applyFill="0" applyBorder="0" applyAlignment="0" applyProtection="0"/>
    <xf numFmtId="0" fontId="36" fillId="0" borderId="0" applyNumberFormat="0" applyFill="0" applyBorder="0" applyAlignment="0" applyProtection="0"/>
    <xf numFmtId="0" fontId="34" fillId="0" borderId="44" applyNumberFormat="0" applyFont="0" applyFill="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3" fontId="34" fillId="0" borderId="0" applyFont="0" applyFill="0" applyBorder="0" applyAlignment="0" applyProtection="0"/>
    <xf numFmtId="44" fontId="2" fillId="0" borderId="0" applyFont="0" applyFill="0" applyBorder="0" applyAlignment="0" applyProtection="0"/>
    <xf numFmtId="170" fontId="52" fillId="0" borderId="0"/>
    <xf numFmtId="44" fontId="2" fillId="0" borderId="0" applyFont="0" applyFill="0" applyBorder="0" applyAlignment="0" applyProtection="0"/>
    <xf numFmtId="167"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8" fillId="0" borderId="45" applyNumberFormat="0" applyFill="0" applyAlignment="0" applyProtection="0"/>
    <xf numFmtId="0" fontId="49" fillId="0" borderId="46" applyNumberFormat="0" applyFill="0" applyAlignment="0" applyProtection="0"/>
    <xf numFmtId="0" fontId="44" fillId="0" borderId="47" applyNumberFormat="0" applyFill="0" applyAlignment="0" applyProtection="0"/>
    <xf numFmtId="0" fontId="42" fillId="0" borderId="0"/>
    <xf numFmtId="0" fontId="2" fillId="0" borderId="0"/>
    <xf numFmtId="0" fontId="1" fillId="0" borderId="0"/>
    <xf numFmtId="0" fontId="42" fillId="0" borderId="0"/>
    <xf numFmtId="0" fontId="42" fillId="0" borderId="0"/>
    <xf numFmtId="0" fontId="42" fillId="0" borderId="0"/>
    <xf numFmtId="0" fontId="42" fillId="0" borderId="0"/>
    <xf numFmtId="0" fontId="2" fillId="0" borderId="0"/>
    <xf numFmtId="9" fontId="2" fillId="0" borderId="0" applyFont="0" applyFill="0" applyBorder="0" applyAlignment="0" applyProtection="0"/>
    <xf numFmtId="9" fontId="52" fillId="0" borderId="0"/>
    <xf numFmtId="9" fontId="2" fillId="0" borderId="0" applyFont="0" applyFill="0" applyBorder="0" applyAlignment="0" applyProtection="0"/>
    <xf numFmtId="9" fontId="1" fillId="0" borderId="0" applyFont="0" applyFill="0" applyBorder="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9" applyNumberFormat="0" applyFill="0" applyAlignment="0" applyProtection="0"/>
    <xf numFmtId="0" fontId="11" fillId="0" borderId="42" applyNumberFormat="0" applyFill="0" applyAlignment="0" applyProtection="0"/>
    <xf numFmtId="44" fontId="2" fillId="0" borderId="0" applyFont="0" applyFill="0" applyBorder="0" applyAlignment="0" applyProtection="0"/>
    <xf numFmtId="43" fontId="2" fillId="0" borderId="0" applyFont="0" applyFill="0" applyBorder="0" applyAlignment="0" applyProtection="0"/>
    <xf numFmtId="0" fontId="8" fillId="0" borderId="0"/>
    <xf numFmtId="168" fontId="2"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16" borderId="0" applyNumberFormat="0" applyBorder="0" applyAlignment="0" applyProtection="0"/>
    <xf numFmtId="0" fontId="8" fillId="17" borderId="0" applyNumberFormat="0" applyBorder="0" applyAlignment="0" applyProtection="0"/>
    <xf numFmtId="0" fontId="2" fillId="0" borderId="0"/>
    <xf numFmtId="0" fontId="2" fillId="0" borderId="0"/>
    <xf numFmtId="0" fontId="8" fillId="20" borderId="0" applyNumberFormat="0" applyBorder="0" applyAlignment="0" applyProtection="0"/>
    <xf numFmtId="0" fontId="2" fillId="0" borderId="0"/>
    <xf numFmtId="0" fontId="2" fillId="0" borderId="0"/>
    <xf numFmtId="0" fontId="8" fillId="24" borderId="0" applyNumberFormat="0" applyBorder="0" applyAlignment="0" applyProtection="0"/>
    <xf numFmtId="0" fontId="8" fillId="25" borderId="0" applyNumberFormat="0" applyBorder="0" applyAlignment="0" applyProtection="0"/>
    <xf numFmtId="0" fontId="2" fillId="0" borderId="0"/>
    <xf numFmtId="0" fontId="2" fillId="0" borderId="0"/>
    <xf numFmtId="0" fontId="8" fillId="28" borderId="0" applyNumberFormat="0" applyBorder="0" applyAlignment="0" applyProtection="0"/>
    <xf numFmtId="0" fontId="8" fillId="29" borderId="0" applyNumberFormat="0" applyBorder="0" applyAlignment="0" applyProtection="0"/>
    <xf numFmtId="0" fontId="2" fillId="0" borderId="0"/>
    <xf numFmtId="0" fontId="8" fillId="33" borderId="0" applyNumberFormat="0" applyBorder="0" applyAlignment="0" applyProtection="0"/>
    <xf numFmtId="0" fontId="2" fillId="0" borderId="0"/>
    <xf numFmtId="0" fontId="2" fillId="0" borderId="0"/>
    <xf numFmtId="0" fontId="8" fillId="36" borderId="0" applyNumberFormat="0" applyBorder="0" applyAlignment="0" applyProtection="0"/>
    <xf numFmtId="0" fontId="8" fillId="37" borderId="0" applyNumberFormat="0" applyBorder="0" applyAlignment="0" applyProtection="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8" fillId="21" borderId="0" applyNumberFormat="0" applyBorder="0" applyAlignment="0" applyProtection="0"/>
    <xf numFmtId="0" fontId="2" fillId="0" borderId="0"/>
    <xf numFmtId="0" fontId="8" fillId="3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2" fillId="0" borderId="0"/>
    <xf numFmtId="0" fontId="2" fillId="0" borderId="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168"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2" fillId="0" borderId="0"/>
    <xf numFmtId="0" fontId="8" fillId="0" borderId="0"/>
    <xf numFmtId="0" fontId="8" fillId="43"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0" fontId="8" fillId="41" borderId="0" applyNumberFormat="0" applyBorder="0" applyAlignment="0" applyProtection="0"/>
    <xf numFmtId="44" fontId="8" fillId="0" borderId="0" applyFont="0" applyFill="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0" borderId="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14" borderId="41" applyNumberFormat="0" applyFont="0" applyAlignment="0" applyProtection="0"/>
    <xf numFmtId="0" fontId="8" fillId="44" borderId="0" applyNumberFormat="0" applyBorder="0" applyAlignment="0" applyProtection="0"/>
    <xf numFmtId="9"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44" borderId="0" applyNumberFormat="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4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0" borderId="0"/>
    <xf numFmtId="0" fontId="8" fillId="42" borderId="0" applyNumberFormat="0" applyBorder="0" applyAlignment="0" applyProtection="0"/>
    <xf numFmtId="0" fontId="8" fillId="14" borderId="41" applyNumberFormat="0" applyFont="0" applyAlignment="0" applyProtection="0"/>
    <xf numFmtId="0" fontId="8" fillId="45"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42" borderId="0" applyNumberFormat="0" applyBorder="0" applyAlignment="0" applyProtection="0"/>
    <xf numFmtId="0" fontId="8" fillId="0" borderId="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45"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42" borderId="0" applyNumberFormat="0" applyBorder="0" applyAlignment="0" applyProtection="0"/>
    <xf numFmtId="44" fontId="8" fillId="0" borderId="0" applyFont="0" applyFill="0" applyBorder="0" applyAlignment="0" applyProtection="0"/>
    <xf numFmtId="0" fontId="8" fillId="44"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43" fontId="8" fillId="0" borderId="0" applyFont="0" applyFill="0" applyBorder="0" applyAlignment="0" applyProtection="0"/>
    <xf numFmtId="0" fontId="8" fillId="44" borderId="0" applyNumberFormat="0" applyBorder="0" applyAlignment="0" applyProtection="0"/>
    <xf numFmtId="44" fontId="8" fillId="0" borderId="0" applyFont="0" applyFill="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0" borderId="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45" borderId="0" applyNumberFormat="0" applyBorder="0" applyAlignment="0" applyProtection="0"/>
    <xf numFmtId="0" fontId="8" fillId="0" borderId="0"/>
    <xf numFmtId="168" fontId="8" fillId="0" borderId="0"/>
    <xf numFmtId="0" fontId="8" fillId="0" borderId="0"/>
    <xf numFmtId="168" fontId="8" fillId="0" borderId="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3" borderId="0" applyNumberFormat="0" applyBorder="0" applyAlignment="0" applyProtection="0"/>
    <xf numFmtId="0" fontId="8" fillId="24"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16"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17"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2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2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6"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17"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7"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0"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8"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2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5"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3" borderId="0" applyNumberFormat="0" applyBorder="0" applyAlignment="0" applyProtection="0"/>
    <xf numFmtId="0" fontId="8" fillId="21"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5" borderId="0" applyNumberFormat="0" applyBorder="0" applyAlignment="0" applyProtection="0"/>
    <xf numFmtId="0" fontId="8" fillId="4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39" borderId="0" applyNumberFormat="0" applyBorder="0" applyAlignment="0" applyProtection="0"/>
    <xf numFmtId="0" fontId="8" fillId="42"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2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29"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33"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3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44" fontId="8" fillId="0" borderId="0" applyFont="0" applyFill="0" applyBorder="0" applyAlignment="0" applyProtection="0"/>
    <xf numFmtId="43" fontId="8" fillId="0" borderId="0" applyFont="0" applyFill="0" applyBorder="0" applyAlignment="0" applyProtection="0"/>
    <xf numFmtId="0" fontId="8" fillId="37" borderId="0" applyNumberFormat="0" applyBorder="0" applyAlignment="0" applyProtection="0"/>
    <xf numFmtId="0" fontId="8" fillId="33" borderId="0" applyNumberFormat="0" applyBorder="0" applyAlignment="0" applyProtection="0"/>
    <xf numFmtId="0" fontId="8" fillId="29" borderId="0" applyNumberFormat="0" applyBorder="0" applyAlignment="0" applyProtection="0"/>
    <xf numFmtId="0" fontId="8" fillId="25"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32" borderId="0" applyNumberFormat="0" applyBorder="0" applyAlignment="0" applyProtection="0"/>
    <xf numFmtId="0" fontId="8" fillId="28" borderId="0" applyNumberFormat="0" applyBorder="0" applyAlignment="0" applyProtection="0"/>
    <xf numFmtId="0" fontId="8" fillId="24" borderId="0" applyNumberFormat="0" applyBorder="0" applyAlignment="0" applyProtection="0"/>
    <xf numFmtId="0" fontId="8" fillId="20" borderId="0" applyNumberFormat="0" applyBorder="0" applyAlignment="0" applyProtection="0"/>
    <xf numFmtId="0" fontId="8" fillId="16" borderId="0" applyNumberFormat="0" applyBorder="0" applyAlignment="0" applyProtection="0"/>
    <xf numFmtId="0" fontId="8" fillId="36" borderId="0" applyNumberFormat="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0" fontId="8" fillId="16"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0" fontId="8" fillId="20" borderId="0" applyNumberFormat="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0" fontId="8" fillId="0" borderId="0"/>
    <xf numFmtId="168" fontId="8" fillId="0" borderId="0"/>
    <xf numFmtId="0" fontId="8" fillId="0" borderId="0"/>
    <xf numFmtId="168"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168"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14" borderId="41" applyNumberFormat="0" applyFont="0" applyAlignment="0" applyProtection="0"/>
    <xf numFmtId="0" fontId="8" fillId="14" borderId="4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14" borderId="41" applyNumberFormat="0" applyFont="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6"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7"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14" borderId="41" applyNumberFormat="0" applyFont="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14" borderId="41" applyNumberFormat="0" applyFont="0" applyAlignment="0" applyProtection="0"/>
    <xf numFmtId="0" fontId="2" fillId="0" borderId="0"/>
    <xf numFmtId="0" fontId="8"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14" borderId="41" applyNumberFormat="0" applyFont="0" applyAlignment="0" applyProtection="0"/>
    <xf numFmtId="9"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7" fontId="42" fillId="0" borderId="0"/>
    <xf numFmtId="43" fontId="1" fillId="0" borderId="0" applyFont="0" applyFill="0" applyBorder="0" applyAlignment="0" applyProtection="0"/>
    <xf numFmtId="0" fontId="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43" fontId="2" fillId="0" borderId="0" applyFont="0" applyFill="0" applyBorder="0" applyAlignment="0" applyProtection="0"/>
    <xf numFmtId="0" fontId="8" fillId="0" borderId="0"/>
    <xf numFmtId="0" fontId="8" fillId="0" borderId="0"/>
    <xf numFmtId="0" fontId="8" fillId="0" borderId="0"/>
    <xf numFmtId="0" fontId="8" fillId="0" borderId="0"/>
    <xf numFmtId="37" fontId="42"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38" fillId="0" borderId="0"/>
    <xf numFmtId="0" fontId="8" fillId="0" borderId="0"/>
    <xf numFmtId="0" fontId="8" fillId="0" borderId="0"/>
    <xf numFmtId="0" fontId="8" fillId="0" borderId="0"/>
    <xf numFmtId="0" fontId="8" fillId="0" borderId="0"/>
    <xf numFmtId="168" fontId="8" fillId="0" borderId="0"/>
    <xf numFmtId="0" fontId="38" fillId="0" borderId="0"/>
    <xf numFmtId="44"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0" fontId="8" fillId="0" borderId="0"/>
    <xf numFmtId="0" fontId="8" fillId="0" borderId="0"/>
    <xf numFmtId="0" fontId="8" fillId="0" borderId="0"/>
    <xf numFmtId="0" fontId="8" fillId="0" borderId="0"/>
    <xf numFmtId="168" fontId="8" fillId="0" borderId="0"/>
    <xf numFmtId="9" fontId="8" fillId="0" borderId="0" applyFont="0" applyFill="0" applyBorder="0" applyAlignment="0" applyProtection="0"/>
    <xf numFmtId="43" fontId="8" fillId="0" borderId="0" applyFont="0" applyFill="0" applyBorder="0" applyAlignment="0" applyProtection="0"/>
    <xf numFmtId="0" fontId="2" fillId="0" borderId="0"/>
    <xf numFmtId="0" fontId="12" fillId="13" borderId="40" applyNumberFormat="0" applyAlignment="0" applyProtection="0"/>
    <xf numFmtId="0" fontId="31" fillId="0" borderId="0" applyNumberFormat="0" applyFill="0" applyBorder="0" applyAlignment="0" applyProtection="0"/>
    <xf numFmtId="0" fontId="8" fillId="14" borderId="41" applyNumberFormat="0" applyFont="0" applyAlignment="0" applyProtection="0"/>
    <xf numFmtId="0" fontId="32" fillId="0" borderId="0" applyNumberFormat="0" applyFill="0" applyBorder="0" applyAlignment="0" applyProtection="0"/>
    <xf numFmtId="0" fontId="33" fillId="31" borderId="0" applyNumberFormat="0" applyBorder="0" applyAlignment="0" applyProtection="0"/>
    <xf numFmtId="37" fontId="38" fillId="0" borderId="0"/>
    <xf numFmtId="0" fontId="38" fillId="0" borderId="0"/>
    <xf numFmtId="0" fontId="38" fillId="0" borderId="0"/>
    <xf numFmtId="0" fontId="38" fillId="0" borderId="0"/>
    <xf numFmtId="0" fontId="38" fillId="0" borderId="0"/>
    <xf numFmtId="0" fontId="67" fillId="0" borderId="0"/>
    <xf numFmtId="0" fontId="67" fillId="0" borderId="0"/>
    <xf numFmtId="0" fontId="68" fillId="0" borderId="34" applyNumberFormat="0" applyFill="0" applyAlignment="0" applyProtection="0"/>
    <xf numFmtId="0" fontId="69" fillId="0" borderId="35" applyNumberFormat="0" applyFill="0" applyAlignment="0" applyProtection="0"/>
    <xf numFmtId="0" fontId="70" fillId="0" borderId="36" applyNumberFormat="0" applyFill="0" applyAlignment="0" applyProtection="0"/>
    <xf numFmtId="0" fontId="70" fillId="0" borderId="0" applyNumberFormat="0" applyFill="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4" fillId="11" borderId="37" applyNumberFormat="0" applyAlignment="0" applyProtection="0"/>
    <xf numFmtId="0" fontId="75" fillId="12" borderId="38" applyNumberFormat="0" applyAlignment="0" applyProtection="0"/>
    <xf numFmtId="0" fontId="76" fillId="12" borderId="37" applyNumberFormat="0" applyAlignment="0" applyProtection="0"/>
    <xf numFmtId="0" fontId="77" fillId="0" borderId="39" applyNumberFormat="0" applyFill="0" applyAlignment="0" applyProtection="0"/>
    <xf numFmtId="0" fontId="78" fillId="13" borderId="40" applyNumberFormat="0" applyAlignment="0" applyProtection="0"/>
    <xf numFmtId="0" fontId="79" fillId="0" borderId="0" applyNumberFormat="0" applyFill="0" applyBorder="0" applyAlignment="0" applyProtection="0"/>
    <xf numFmtId="0" fontId="67" fillId="14" borderId="41" applyNumberFormat="0" applyFont="0" applyAlignment="0" applyProtection="0"/>
    <xf numFmtId="0" fontId="80" fillId="0" borderId="0" applyNumberFormat="0" applyFill="0" applyBorder="0" applyAlignment="0" applyProtection="0"/>
    <xf numFmtId="0" fontId="81" fillId="0" borderId="42" applyNumberFormat="0" applyFill="0" applyAlignment="0" applyProtection="0"/>
    <xf numFmtId="0" fontId="82"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82" fillId="30" borderId="0" applyNumberFormat="0" applyBorder="0" applyAlignment="0" applyProtection="0"/>
    <xf numFmtId="0" fontId="82"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82" fillId="34" borderId="0" applyNumberFormat="0" applyBorder="0" applyAlignment="0" applyProtection="0"/>
    <xf numFmtId="0" fontId="82"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82" fillId="38" borderId="0" applyNumberFormat="0" applyBorder="0" applyAlignment="0" applyProtection="0"/>
    <xf numFmtId="44" fontId="67" fillId="0" borderId="0" applyFont="0" applyFill="0" applyBorder="0" applyAlignment="0" applyProtection="0"/>
    <xf numFmtId="43" fontId="67" fillId="0" borderId="0" applyFont="0" applyFill="0" applyBorder="0" applyAlignment="0" applyProtection="0"/>
    <xf numFmtId="0" fontId="2" fillId="0" borderId="0">
      <alignment vertical="top"/>
    </xf>
    <xf numFmtId="4" fontId="2" fillId="0" borderId="0" applyFont="0" applyFill="0" applyBorder="0" applyAlignment="0" applyProtection="0"/>
    <xf numFmtId="7" fontId="2" fillId="0" borderId="0" applyFont="0" applyFill="0" applyBorder="0" applyAlignment="0" applyProtection="0"/>
    <xf numFmtId="0" fontId="83" fillId="0" borderId="0" applyNumberFormat="0" applyFont="0" applyFill="0" applyAlignment="0" applyProtection="0"/>
    <xf numFmtId="0" fontId="66" fillId="0" borderId="0" applyNumberFormat="0" applyFont="0" applyFill="0" applyAlignment="0" applyProtection="0"/>
    <xf numFmtId="0" fontId="2" fillId="0" borderId="52" applyNumberFormat="0" applyFont="0" applyBorder="0" applyAlignment="0" applyProtection="0"/>
    <xf numFmtId="0" fontId="2" fillId="0" borderId="0">
      <alignment vertical="top"/>
    </xf>
    <xf numFmtId="0" fontId="2" fillId="0" borderId="0">
      <alignment vertical="top"/>
    </xf>
    <xf numFmtId="44" fontId="67" fillId="0" borderId="0" applyFont="0" applyFill="0" applyBorder="0" applyAlignment="0" applyProtection="0"/>
    <xf numFmtId="9" fontId="67" fillId="0" borderId="0" applyFont="0" applyFill="0" applyBorder="0" applyAlignment="0" applyProtection="0"/>
    <xf numFmtId="0" fontId="37" fillId="0" borderId="0" applyNumberFormat="0" applyFill="0" applyBorder="0" applyAlignment="0" applyProtection="0">
      <alignment vertical="top"/>
      <protection locked="0"/>
    </xf>
    <xf numFmtId="43" fontId="2" fillId="0" borderId="0" applyFont="0" applyFill="0" applyBorder="0" applyAlignment="0" applyProtection="0"/>
    <xf numFmtId="0" fontId="84" fillId="0" borderId="0" applyNumberFormat="0" applyFill="0" applyBorder="0" applyAlignment="0" applyProtection="0"/>
    <xf numFmtId="43" fontId="8" fillId="0" borderId="0" applyFont="0" applyFill="0" applyBorder="0" applyAlignment="0" applyProtection="0"/>
    <xf numFmtId="0" fontId="20" fillId="0" borderId="0" applyNumberFormat="0" applyFill="0" applyBorder="0" applyAlignment="0" applyProtection="0"/>
    <xf numFmtId="0" fontId="85" fillId="0" borderId="0"/>
    <xf numFmtId="0" fontId="86" fillId="10"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8" borderId="0" applyNumberFormat="0" applyBorder="0" applyAlignment="0" applyProtection="0"/>
    <xf numFmtId="44" fontId="8" fillId="0" borderId="0" applyFont="0" applyFill="0" applyBorder="0" applyAlignment="0" applyProtection="0"/>
    <xf numFmtId="0" fontId="2" fillId="0" borderId="0"/>
    <xf numFmtId="0" fontId="127" fillId="0" borderId="0"/>
  </cellStyleXfs>
  <cellXfs count="1447">
    <xf numFmtId="0" fontId="0" fillId="0" borderId="0" xfId="0"/>
    <xf numFmtId="0" fontId="11" fillId="0" borderId="0" xfId="0" applyFont="1"/>
    <xf numFmtId="0" fontId="0" fillId="0" borderId="0" xfId="0" applyAlignment="1">
      <alignment wrapText="1"/>
    </xf>
    <xf numFmtId="0" fontId="12" fillId="6" borderId="0" xfId="0" applyFont="1" applyFill="1"/>
    <xf numFmtId="0" fontId="13" fillId="0" borderId="0" xfId="0" applyFont="1" applyAlignment="1">
      <alignment wrapText="1"/>
    </xf>
    <xf numFmtId="43" fontId="8" fillId="0" borderId="0" xfId="4" applyFont="1" applyProtection="1"/>
    <xf numFmtId="0" fontId="0" fillId="0" borderId="0" xfId="0" applyFont="1" applyProtection="1"/>
    <xf numFmtId="0" fontId="0" fillId="0" borderId="0" xfId="0" applyProtection="1"/>
    <xf numFmtId="43" fontId="0" fillId="0" borderId="0" xfId="4" applyFont="1" applyProtection="1"/>
    <xf numFmtId="174" fontId="0" fillId="0" borderId="0" xfId="0" applyNumberFormat="1" applyProtection="1"/>
    <xf numFmtId="172" fontId="0" fillId="0" borderId="0" xfId="0" applyNumberFormat="1" applyProtection="1"/>
    <xf numFmtId="0" fontId="2" fillId="0" borderId="0" xfId="6628"/>
    <xf numFmtId="172" fontId="2" fillId="0" borderId="0" xfId="6628" applyNumberFormat="1"/>
    <xf numFmtId="0" fontId="87" fillId="0" borderId="0" xfId="6628" applyFont="1"/>
    <xf numFmtId="0" fontId="88" fillId="0" borderId="0" xfId="6628" applyFont="1"/>
    <xf numFmtId="0" fontId="89" fillId="0" borderId="0" xfId="6628" applyFont="1"/>
    <xf numFmtId="0" fontId="93" fillId="0" borderId="0" xfId="0" applyFont="1" applyAlignment="1">
      <alignment vertical="center"/>
    </xf>
    <xf numFmtId="0" fontId="97" fillId="0" borderId="0" xfId="8" applyFont="1" applyProtection="1"/>
    <xf numFmtId="0" fontId="97" fillId="0" borderId="0" xfId="8" applyFont="1" applyFill="1" applyProtection="1"/>
    <xf numFmtId="0" fontId="97" fillId="0" borderId="0" xfId="8" applyFont="1" applyFill="1" applyBorder="1" applyProtection="1"/>
    <xf numFmtId="0" fontId="96" fillId="0" borderId="0" xfId="8" applyFont="1" applyProtection="1"/>
    <xf numFmtId="9" fontId="96" fillId="0" borderId="0" xfId="10" applyFont="1" applyProtection="1"/>
    <xf numFmtId="0" fontId="93" fillId="0" borderId="81" xfId="0" applyFont="1" applyBorder="1" applyProtection="1">
      <protection locked="0"/>
    </xf>
    <xf numFmtId="186" fontId="93" fillId="0" borderId="53" xfId="0" applyNumberFormat="1" applyFont="1" applyBorder="1" applyProtection="1">
      <protection locked="0"/>
    </xf>
    <xf numFmtId="5" fontId="93" fillId="0" borderId="53" xfId="13118" applyNumberFormat="1" applyFont="1" applyBorder="1" applyProtection="1">
      <protection locked="0"/>
    </xf>
    <xf numFmtId="172" fontId="2" fillId="0" borderId="0" xfId="6628" applyNumberFormat="1" applyBorder="1"/>
    <xf numFmtId="0" fontId="91" fillId="0" borderId="53" xfId="0" applyFont="1" applyFill="1" applyBorder="1" applyProtection="1"/>
    <xf numFmtId="184" fontId="93" fillId="0" borderId="53" xfId="13118" applyNumberFormat="1" applyFont="1" applyFill="1" applyBorder="1" applyProtection="1"/>
    <xf numFmtId="172" fontId="92" fillId="0" borderId="82" xfId="13118" applyNumberFormat="1" applyFont="1" applyFill="1" applyBorder="1" applyProtection="1"/>
    <xf numFmtId="172" fontId="92" fillId="0" borderId="73" xfId="13118" applyNumberFormat="1" applyFont="1" applyFill="1" applyBorder="1" applyProtection="1"/>
    <xf numFmtId="172" fontId="92" fillId="0" borderId="81" xfId="13118" applyNumberFormat="1" applyFont="1" applyFill="1" applyBorder="1" applyProtection="1"/>
    <xf numFmtId="174" fontId="91" fillId="0" borderId="53" xfId="13118" applyNumberFormat="1" applyFont="1" applyFill="1" applyBorder="1" applyProtection="1"/>
    <xf numFmtId="172" fontId="2" fillId="0" borderId="0" xfId="6628" applyNumberFormat="1" applyFill="1" applyBorder="1"/>
    <xf numFmtId="5" fontId="98" fillId="0" borderId="81" xfId="13118" applyNumberFormat="1" applyFont="1" applyBorder="1" applyProtection="1">
      <protection locked="0"/>
    </xf>
    <xf numFmtId="0" fontId="91" fillId="64" borderId="71" xfId="0" applyFont="1" applyFill="1" applyBorder="1" applyAlignment="1" applyProtection="1">
      <alignment horizontal="center" wrapText="1"/>
    </xf>
    <xf numFmtId="0" fontId="91" fillId="64" borderId="56" xfId="0" applyFont="1" applyFill="1" applyBorder="1" applyAlignment="1" applyProtection="1">
      <alignment horizontal="center" wrapText="1"/>
    </xf>
    <xf numFmtId="0" fontId="91" fillId="64" borderId="80" xfId="0" applyFont="1" applyFill="1" applyBorder="1" applyAlignment="1" applyProtection="1">
      <alignment horizontal="center"/>
    </xf>
    <xf numFmtId="172" fontId="95" fillId="0" borderId="0" xfId="6628" applyNumberFormat="1" applyFont="1"/>
    <xf numFmtId="183" fontId="98" fillId="0" borderId="81" xfId="0" applyNumberFormat="1" applyFont="1" applyBorder="1" applyProtection="1">
      <protection locked="0"/>
    </xf>
    <xf numFmtId="172" fontId="98" fillId="0" borderId="81" xfId="13118" applyNumberFormat="1" applyFont="1" applyFill="1" applyBorder="1" applyProtection="1"/>
    <xf numFmtId="172" fontId="93" fillId="0" borderId="0" xfId="6628" applyNumberFormat="1" applyFont="1"/>
    <xf numFmtId="174" fontId="94" fillId="0" borderId="53" xfId="13118" applyNumberFormat="1" applyFont="1" applyFill="1" applyBorder="1" applyProtection="1"/>
    <xf numFmtId="174" fontId="2" fillId="0" borderId="0" xfId="6628" applyNumberFormat="1"/>
    <xf numFmtId="172" fontId="94" fillId="0" borderId="1" xfId="6628" applyNumberFormat="1" applyFont="1" applyBorder="1"/>
    <xf numFmtId="172" fontId="2" fillId="0" borderId="1" xfId="6628" applyNumberFormat="1" applyBorder="1"/>
    <xf numFmtId="172" fontId="97" fillId="0" borderId="0" xfId="6628" applyNumberFormat="1" applyFont="1"/>
    <xf numFmtId="172" fontId="98" fillId="0" borderId="0" xfId="6628" applyNumberFormat="1" applyFont="1"/>
    <xf numFmtId="174" fontId="93" fillId="0" borderId="53" xfId="6628" applyNumberFormat="1" applyFont="1" applyBorder="1"/>
    <xf numFmtId="0" fontId="91" fillId="0" borderId="93" xfId="0" applyFont="1" applyFill="1" applyBorder="1" applyAlignment="1">
      <alignment vertical="center"/>
    </xf>
    <xf numFmtId="172" fontId="91" fillId="0" borderId="53" xfId="6628" applyNumberFormat="1" applyFont="1" applyBorder="1"/>
    <xf numFmtId="172" fontId="93" fillId="0" borderId="94" xfId="6628" applyNumberFormat="1" applyFont="1" applyBorder="1"/>
    <xf numFmtId="174" fontId="93" fillId="0" borderId="94" xfId="6628" applyNumberFormat="1" applyFont="1" applyBorder="1"/>
    <xf numFmtId="0" fontId="99" fillId="0" borderId="0" xfId="8" applyFont="1" applyAlignment="1" applyProtection="1">
      <alignment horizontal="right"/>
    </xf>
    <xf numFmtId="166" fontId="99" fillId="0" borderId="0" xfId="6" applyNumberFormat="1" applyFont="1" applyFill="1" applyAlignment="1" applyProtection="1">
      <alignment horizontal="center"/>
    </xf>
    <xf numFmtId="166" fontId="99" fillId="0" borderId="0" xfId="6" applyNumberFormat="1" applyFont="1" applyFill="1" applyBorder="1" applyProtection="1"/>
    <xf numFmtId="0" fontId="99" fillId="0" borderId="0" xfId="8" applyFont="1" applyFill="1" applyAlignment="1" applyProtection="1">
      <alignment horizontal="right"/>
    </xf>
    <xf numFmtId="174" fontId="99" fillId="0" borderId="0" xfId="8" applyNumberFormat="1" applyFont="1" applyFill="1" applyBorder="1" applyProtection="1"/>
    <xf numFmtId="166" fontId="99" fillId="0" borderId="53" xfId="6" applyNumberFormat="1" applyFont="1" applyFill="1" applyBorder="1" applyAlignment="1" applyProtection="1">
      <alignment horizontal="center"/>
    </xf>
    <xf numFmtId="43" fontId="93" fillId="0" borderId="53" xfId="4" applyFont="1" applyBorder="1" applyProtection="1"/>
    <xf numFmtId="172" fontId="99" fillId="0" borderId="53" xfId="5" applyNumberFormat="1" applyFont="1" applyBorder="1" applyAlignment="1" applyProtection="1">
      <alignment horizontal="center"/>
    </xf>
    <xf numFmtId="174" fontId="99" fillId="0" borderId="53" xfId="5" applyNumberFormat="1" applyFont="1" applyBorder="1" applyAlignment="1" applyProtection="1">
      <alignment horizontal="right"/>
    </xf>
    <xf numFmtId="0" fontId="89" fillId="0" borderId="0" xfId="0" applyFont="1" applyProtection="1"/>
    <xf numFmtId="0" fontId="88" fillId="0" borderId="0" xfId="0" applyFont="1" applyProtection="1"/>
    <xf numFmtId="0" fontId="90" fillId="66" borderId="0" xfId="0" applyFont="1" applyFill="1" applyProtection="1"/>
    <xf numFmtId="0" fontId="66" fillId="7" borderId="0" xfId="0" applyFont="1" applyFill="1" applyProtection="1"/>
    <xf numFmtId="0" fontId="90" fillId="66" borderId="0" xfId="0" applyFont="1" applyFill="1"/>
    <xf numFmtId="0" fontId="101" fillId="66" borderId="0" xfId="0" quotePrefix="1" applyFont="1" applyFill="1"/>
    <xf numFmtId="43" fontId="90" fillId="66" borderId="0" xfId="4" applyFont="1" applyFill="1" applyProtection="1"/>
    <xf numFmtId="43" fontId="16" fillId="7" borderId="0" xfId="4" applyFont="1" applyFill="1" applyProtection="1"/>
    <xf numFmtId="0" fontId="15" fillId="0" borderId="0" xfId="6628" applyFont="1"/>
    <xf numFmtId="0" fontId="100" fillId="7" borderId="0" xfId="6628" applyFont="1" applyFill="1"/>
    <xf numFmtId="0" fontId="66" fillId="7" borderId="0" xfId="6628" applyFont="1" applyFill="1"/>
    <xf numFmtId="0" fontId="94" fillId="0" borderId="94" xfId="0" applyFont="1" applyBorder="1" applyAlignment="1">
      <alignment vertical="center"/>
    </xf>
    <xf numFmtId="0" fontId="14" fillId="0" borderId="0" xfId="8" applyFont="1" applyAlignment="1" applyProtection="1">
      <alignment horizontal="center"/>
    </xf>
    <xf numFmtId="175" fontId="0" fillId="0" borderId="0" xfId="0" applyNumberFormat="1" applyProtection="1"/>
    <xf numFmtId="3" fontId="98" fillId="4" borderId="98" xfId="11" applyNumberFormat="1" applyFont="1" applyBorder="1" applyAlignment="1" applyProtection="1">
      <alignment horizontal="center"/>
      <protection locked="0"/>
    </xf>
    <xf numFmtId="0" fontId="0" fillId="0" borderId="1" xfId="0" applyBorder="1" applyProtection="1"/>
    <xf numFmtId="5" fontId="14" fillId="0" borderId="1" xfId="8" applyNumberFormat="1" applyFont="1" applyFill="1" applyBorder="1" applyAlignment="1" applyProtection="1">
      <alignment horizontal="center"/>
    </xf>
    <xf numFmtId="0" fontId="0" fillId="0" borderId="1" xfId="0" applyBorder="1" applyAlignment="1" applyProtection="1">
      <alignment horizontal="center"/>
    </xf>
    <xf numFmtId="43" fontId="0" fillId="0" borderId="1" xfId="4" applyFont="1" applyBorder="1" applyAlignment="1" applyProtection="1">
      <alignment horizontal="center" wrapText="1"/>
    </xf>
    <xf numFmtId="172" fontId="98" fillId="4" borderId="3" xfId="11" applyNumberFormat="1" applyFont="1" applyAlignment="1" applyProtection="1">
      <alignment horizontal="center"/>
      <protection locked="0"/>
    </xf>
    <xf numFmtId="172" fontId="99" fillId="0" borderId="0" xfId="8" applyNumberFormat="1" applyFont="1" applyFill="1" applyBorder="1" applyProtection="1"/>
    <xf numFmtId="172" fontId="98" fillId="4" borderId="55" xfId="11" applyNumberFormat="1" applyFont="1" applyBorder="1" applyAlignment="1" applyProtection="1">
      <alignment horizontal="center"/>
      <protection locked="0"/>
    </xf>
    <xf numFmtId="175" fontId="0" fillId="0" borderId="1" xfId="0" applyNumberFormat="1" applyBorder="1" applyProtection="1"/>
    <xf numFmtId="0" fontId="102" fillId="0" borderId="0" xfId="0" applyFont="1" applyProtection="1"/>
    <xf numFmtId="0" fontId="103" fillId="0" borderId="0" xfId="8" applyFont="1" applyAlignment="1" applyProtection="1">
      <alignment horizontal="center"/>
    </xf>
    <xf numFmtId="0" fontId="14" fillId="0" borderId="0" xfId="8" applyFont="1" applyAlignment="1" applyProtection="1">
      <alignment horizontal="left"/>
    </xf>
    <xf numFmtId="172" fontId="99" fillId="0" borderId="0" xfId="6" applyNumberFormat="1" applyFont="1" applyFill="1" applyAlignment="1" applyProtection="1">
      <alignment horizontal="right"/>
    </xf>
    <xf numFmtId="172" fontId="99" fillId="0" borderId="0" xfId="6" applyNumberFormat="1" applyFont="1" applyFill="1" applyBorder="1" applyAlignment="1" applyProtection="1">
      <alignment horizontal="right"/>
    </xf>
    <xf numFmtId="0" fontId="104" fillId="0" borderId="0" xfId="8" applyFont="1" applyAlignment="1" applyProtection="1">
      <alignment horizontal="right"/>
    </xf>
    <xf numFmtId="172" fontId="104" fillId="0" borderId="0" xfId="6" applyNumberFormat="1" applyFont="1" applyFill="1" applyAlignment="1" applyProtection="1">
      <alignment horizontal="right"/>
    </xf>
    <xf numFmtId="172" fontId="104" fillId="0" borderId="0" xfId="6" applyNumberFormat="1" applyFont="1" applyFill="1" applyBorder="1" applyAlignment="1" applyProtection="1">
      <alignment horizontal="right"/>
    </xf>
    <xf numFmtId="172" fontId="105" fillId="4" borderId="3" xfId="11" applyNumberFormat="1" applyFont="1" applyAlignment="1" applyProtection="1">
      <alignment horizontal="center"/>
      <protection locked="0"/>
    </xf>
    <xf numFmtId="172" fontId="104" fillId="0" borderId="0" xfId="8" applyNumberFormat="1" applyFont="1" applyFill="1" applyBorder="1" applyProtection="1"/>
    <xf numFmtId="175" fontId="11" fillId="0" borderId="0" xfId="0" applyNumberFormat="1" applyFont="1" applyProtection="1"/>
    <xf numFmtId="189" fontId="99" fillId="0" borderId="0" xfId="8" applyNumberFormat="1" applyFont="1" applyFill="1" applyBorder="1" applyProtection="1"/>
    <xf numFmtId="0" fontId="103" fillId="0" borderId="1" xfId="8" applyFont="1" applyBorder="1" applyAlignment="1" applyProtection="1">
      <alignment horizontal="center" wrapText="1"/>
    </xf>
    <xf numFmtId="172" fontId="0" fillId="0" borderId="0" xfId="0" applyNumberFormat="1" applyAlignment="1" applyProtection="1">
      <alignment horizontal="right"/>
    </xf>
    <xf numFmtId="0" fontId="0" fillId="0" borderId="1" xfId="0" applyBorder="1" applyAlignment="1" applyProtection="1">
      <alignment horizontal="right" wrapText="1"/>
    </xf>
    <xf numFmtId="43" fontId="0" fillId="0" borderId="53" xfId="4" applyFont="1" applyBorder="1" applyProtection="1"/>
    <xf numFmtId="0" fontId="15" fillId="7" borderId="0" xfId="6628" applyFont="1" applyFill="1"/>
    <xf numFmtId="0" fontId="104" fillId="65" borderId="0" xfId="8" applyFont="1" applyFill="1" applyAlignment="1" applyProtection="1">
      <alignment horizontal="right"/>
    </xf>
    <xf numFmtId="172" fontId="104" fillId="65" borderId="0" xfId="6" applyNumberFormat="1" applyFont="1" applyFill="1" applyAlignment="1" applyProtection="1">
      <alignment horizontal="right"/>
    </xf>
    <xf numFmtId="172" fontId="104" fillId="65" borderId="0" xfId="6" applyNumberFormat="1" applyFont="1" applyFill="1" applyBorder="1" applyAlignment="1" applyProtection="1">
      <alignment horizontal="right"/>
    </xf>
    <xf numFmtId="172" fontId="105" fillId="65" borderId="3" xfId="11" applyNumberFormat="1" applyFont="1" applyFill="1" applyAlignment="1" applyProtection="1">
      <alignment horizontal="center"/>
      <protection locked="0"/>
    </xf>
    <xf numFmtId="172" fontId="104" fillId="65" borderId="0" xfId="8" applyNumberFormat="1" applyFont="1" applyFill="1" applyBorder="1" applyProtection="1"/>
    <xf numFmtId="172" fontId="0" fillId="65" borderId="0" xfId="0" applyNumberFormat="1" applyFill="1" applyAlignment="1" applyProtection="1">
      <alignment horizontal="right"/>
    </xf>
    <xf numFmtId="175" fontId="11" fillId="65" borderId="0" xfId="0" applyNumberFormat="1" applyFont="1" applyFill="1" applyProtection="1"/>
    <xf numFmtId="43" fontId="0" fillId="0" borderId="19" xfId="4" applyFont="1" applyBorder="1" applyAlignment="1" applyProtection="1">
      <alignment horizontal="center"/>
    </xf>
    <xf numFmtId="43" fontId="0" fillId="0" borderId="18" xfId="4" applyFont="1" applyBorder="1" applyAlignment="1" applyProtection="1">
      <alignment horizontal="center" wrapText="1"/>
    </xf>
    <xf numFmtId="172" fontId="0" fillId="0" borderId="0" xfId="0" applyNumberFormat="1"/>
    <xf numFmtId="0" fontId="0" fillId="0" borderId="1" xfId="0" applyBorder="1" applyAlignment="1">
      <alignment horizontal="center"/>
    </xf>
    <xf numFmtId="0" fontId="0" fillId="0" borderId="53" xfId="0" applyBorder="1"/>
    <xf numFmtId="174" fontId="0" fillId="0" borderId="0" xfId="0" applyNumberFormat="1"/>
    <xf numFmtId="174" fontId="97" fillId="0" borderId="21" xfId="8" applyNumberFormat="1" applyFont="1" applyBorder="1" applyProtection="1"/>
    <xf numFmtId="38" fontId="97" fillId="0" borderId="21" xfId="8" applyNumberFormat="1" applyFont="1" applyBorder="1" applyProtection="1"/>
    <xf numFmtId="38" fontId="97" fillId="2" borderId="24" xfId="6" applyNumberFormat="1" applyFont="1" applyFill="1" applyBorder="1" applyProtection="1">
      <protection locked="0"/>
    </xf>
    <xf numFmtId="174" fontId="96" fillId="0" borderId="23" xfId="6" applyNumberFormat="1" applyFont="1" applyBorder="1" applyAlignment="1" applyProtection="1">
      <alignment horizontal="right"/>
    </xf>
    <xf numFmtId="38" fontId="97" fillId="0" borderId="25" xfId="6" applyNumberFormat="1" applyFont="1" applyBorder="1" applyProtection="1"/>
    <xf numFmtId="0" fontId="97" fillId="0" borderId="21" xfId="8" applyFont="1" applyBorder="1" applyProtection="1"/>
    <xf numFmtId="175" fontId="96" fillId="0" borderId="22" xfId="10" applyNumberFormat="1" applyFont="1" applyBorder="1" applyProtection="1"/>
    <xf numFmtId="175" fontId="96" fillId="0" borderId="18" xfId="10" applyNumberFormat="1" applyFont="1" applyBorder="1" applyProtection="1"/>
    <xf numFmtId="174" fontId="96" fillId="0" borderId="75" xfId="6" applyNumberFormat="1" applyFont="1" applyBorder="1" applyProtection="1"/>
    <xf numFmtId="174" fontId="96" fillId="0" borderId="26" xfId="6" applyNumberFormat="1" applyFont="1" applyBorder="1" applyProtection="1"/>
    <xf numFmtId="38" fontId="97" fillId="0" borderId="30" xfId="8" applyNumberFormat="1" applyFont="1" applyFill="1" applyBorder="1" applyProtection="1"/>
    <xf numFmtId="9" fontId="97" fillId="0" borderId="22" xfId="10" applyFont="1" applyBorder="1" applyProtection="1"/>
    <xf numFmtId="44" fontId="97" fillId="0" borderId="0" xfId="8" applyNumberFormat="1" applyFont="1" applyFill="1" applyBorder="1" applyProtection="1"/>
    <xf numFmtId="173" fontId="97" fillId="0" borderId="0" xfId="8" applyNumberFormat="1" applyFont="1" applyProtection="1"/>
    <xf numFmtId="172" fontId="97" fillId="0" borderId="21" xfId="8" applyNumberFormat="1" applyFont="1" applyBorder="1" applyProtection="1"/>
    <xf numFmtId="0" fontId="107" fillId="0" borderId="0" xfId="0" applyFont="1" applyProtection="1"/>
    <xf numFmtId="0" fontId="94" fillId="0" borderId="0" xfId="0" applyFont="1" applyProtection="1"/>
    <xf numFmtId="0" fontId="94" fillId="65" borderId="17" xfId="0" applyFont="1" applyFill="1" applyBorder="1" applyProtection="1"/>
    <xf numFmtId="0" fontId="94" fillId="65" borderId="13" xfId="0" applyFont="1" applyFill="1" applyBorder="1" applyProtection="1"/>
    <xf numFmtId="0" fontId="94" fillId="65" borderId="14" xfId="0" applyFont="1" applyFill="1" applyBorder="1" applyProtection="1"/>
    <xf numFmtId="0" fontId="94" fillId="0" borderId="0" xfId="0" applyFont="1" applyFill="1" applyProtection="1"/>
    <xf numFmtId="0" fontId="94" fillId="0" borderId="0" xfId="0" applyFont="1" applyAlignment="1" applyProtection="1">
      <alignment horizontal="center"/>
    </xf>
    <xf numFmtId="0" fontId="94" fillId="65" borderId="15" xfId="0" applyFont="1" applyFill="1" applyBorder="1" applyProtection="1"/>
    <xf numFmtId="0" fontId="94" fillId="65" borderId="16" xfId="0" applyFont="1" applyFill="1" applyBorder="1" applyProtection="1"/>
    <xf numFmtId="0" fontId="94" fillId="0" borderId="19" xfId="0" applyFont="1" applyBorder="1" applyAlignment="1" applyProtection="1">
      <alignment horizontal="center"/>
    </xf>
    <xf numFmtId="0" fontId="94" fillId="0" borderId="1" xfId="0" applyFont="1" applyBorder="1" applyAlignment="1" applyProtection="1">
      <alignment horizontal="center"/>
    </xf>
    <xf numFmtId="0" fontId="94" fillId="0" borderId="18" xfId="0" applyFont="1" applyBorder="1" applyAlignment="1" applyProtection="1">
      <alignment horizontal="center"/>
    </xf>
    <xf numFmtId="0" fontId="93" fillId="0" borderId="0" xfId="0" applyFont="1" applyProtection="1"/>
    <xf numFmtId="174" fontId="94" fillId="0" borderId="0" xfId="0" applyNumberFormat="1" applyFont="1" applyFill="1" applyBorder="1" applyAlignment="1" applyProtection="1">
      <alignment horizontal="center"/>
    </xf>
    <xf numFmtId="8" fontId="94" fillId="0" borderId="0" xfId="0" applyNumberFormat="1" applyFont="1" applyProtection="1"/>
    <xf numFmtId="0" fontId="94" fillId="0" borderId="5" xfId="0" applyFont="1" applyBorder="1" applyProtection="1"/>
    <xf numFmtId="177" fontId="94" fillId="0" borderId="6" xfId="0" applyNumberFormat="1" applyFont="1" applyBorder="1" applyAlignment="1" applyProtection="1">
      <alignment horizontal="center"/>
    </xf>
    <xf numFmtId="10" fontId="93" fillId="3" borderId="0" xfId="9" applyNumberFormat="1" applyFont="1" applyFill="1" applyBorder="1" applyAlignment="1" applyProtection="1">
      <alignment horizontal="left"/>
    </xf>
    <xf numFmtId="0" fontId="94" fillId="0" borderId="6" xfId="0" applyFont="1" applyBorder="1" applyProtection="1"/>
    <xf numFmtId="0" fontId="94" fillId="0" borderId="6" xfId="0" applyFont="1" applyFill="1" applyBorder="1" applyProtection="1"/>
    <xf numFmtId="0" fontId="108" fillId="66" borderId="0" xfId="0" applyFont="1" applyFill="1" applyProtection="1"/>
    <xf numFmtId="0" fontId="93" fillId="0" borderId="0" xfId="0" applyFont="1" applyFill="1" applyProtection="1"/>
    <xf numFmtId="0" fontId="96" fillId="0" borderId="0" xfId="6628" applyFont="1"/>
    <xf numFmtId="0" fontId="108" fillId="7" borderId="0" xfId="0" applyFont="1" applyFill="1" applyProtection="1"/>
    <xf numFmtId="0" fontId="94" fillId="7" borderId="0" xfId="0" applyFont="1" applyFill="1" applyProtection="1"/>
    <xf numFmtId="0" fontId="96" fillId="0" borderId="0" xfId="0" applyFont="1" applyProtection="1"/>
    <xf numFmtId="0" fontId="104" fillId="0" borderId="0" xfId="0" applyFont="1" applyProtection="1"/>
    <xf numFmtId="0" fontId="94" fillId="0" borderId="95" xfId="0" applyFont="1" applyFill="1" applyBorder="1" applyAlignment="1" applyProtection="1">
      <alignment horizontal="center"/>
    </xf>
    <xf numFmtId="0" fontId="94" fillId="0" borderId="96" xfId="0" applyFont="1" applyFill="1" applyBorder="1" applyAlignment="1" applyProtection="1">
      <alignment horizontal="center"/>
    </xf>
    <xf numFmtId="0" fontId="94" fillId="0" borderId="97" xfId="0" applyFont="1" applyFill="1" applyBorder="1" applyAlignment="1" applyProtection="1">
      <alignment horizontal="center"/>
    </xf>
    <xf numFmtId="0" fontId="93" fillId="3" borderId="0" xfId="0" applyFont="1" applyFill="1" applyBorder="1" applyProtection="1"/>
    <xf numFmtId="0" fontId="93" fillId="0" borderId="0" xfId="0" applyFont="1" applyAlignment="1" applyProtection="1">
      <alignment horizontal="center"/>
    </xf>
    <xf numFmtId="0" fontId="93" fillId="0" borderId="0" xfId="0" applyFont="1" applyAlignment="1" applyProtection="1">
      <alignment wrapText="1"/>
    </xf>
    <xf numFmtId="0" fontId="93" fillId="0" borderId="0" xfId="0" applyFont="1" applyAlignment="1" applyProtection="1">
      <alignment horizontal="center" wrapText="1"/>
    </xf>
    <xf numFmtId="178" fontId="93" fillId="0" borderId="0" xfId="0" applyNumberFormat="1" applyFont="1" applyAlignment="1" applyProtection="1">
      <alignment horizontal="center"/>
    </xf>
    <xf numFmtId="0" fontId="93" fillId="0" borderId="0" xfId="0" applyFont="1" applyAlignment="1" applyProtection="1">
      <alignment horizontal="left" wrapText="1"/>
    </xf>
    <xf numFmtId="8" fontId="93" fillId="3" borderId="0" xfId="0" applyNumberFormat="1" applyFont="1" applyFill="1" applyBorder="1" applyProtection="1"/>
    <xf numFmtId="6" fontId="93" fillId="0" borderId="0" xfId="0" applyNumberFormat="1" applyFont="1" applyAlignment="1" applyProtection="1">
      <alignment horizontal="center"/>
    </xf>
    <xf numFmtId="6" fontId="93" fillId="0" borderId="0" xfId="0" applyNumberFormat="1" applyFont="1" applyProtection="1"/>
    <xf numFmtId="0" fontId="93" fillId="0" borderId="0" xfId="0" applyFont="1" applyFill="1" applyBorder="1" applyProtection="1"/>
    <xf numFmtId="0" fontId="93" fillId="0" borderId="0" xfId="0" applyFont="1" applyAlignment="1" applyProtection="1"/>
    <xf numFmtId="0" fontId="94" fillId="0" borderId="0" xfId="0" applyFont="1" applyFill="1" applyBorder="1" applyProtection="1"/>
    <xf numFmtId="0" fontId="94" fillId="3" borderId="0" xfId="0" applyFont="1" applyFill="1" applyBorder="1" applyProtection="1"/>
    <xf numFmtId="6" fontId="94" fillId="0" borderId="0" xfId="0" applyNumberFormat="1" applyFont="1" applyBorder="1" applyAlignment="1" applyProtection="1">
      <alignment horizontal="center" wrapText="1"/>
    </xf>
    <xf numFmtId="3" fontId="94" fillId="0" borderId="0" xfId="11" applyNumberFormat="1" applyFont="1" applyFill="1" applyBorder="1" applyAlignment="1" applyProtection="1">
      <alignment horizontal="center"/>
    </xf>
    <xf numFmtId="0" fontId="94" fillId="0" borderId="0" xfId="0" applyFont="1" applyFill="1" applyBorder="1" applyAlignment="1" applyProtection="1">
      <alignment horizontal="center" wrapText="1"/>
    </xf>
    <xf numFmtId="0" fontId="94" fillId="0" borderId="0" xfId="0" applyFont="1" applyFill="1" applyBorder="1" applyAlignment="1" applyProtection="1">
      <alignment horizontal="center"/>
    </xf>
    <xf numFmtId="8" fontId="93" fillId="0" borderId="0" xfId="0" applyNumberFormat="1" applyFont="1" applyProtection="1"/>
    <xf numFmtId="8" fontId="94" fillId="0" borderId="0" xfId="11" applyNumberFormat="1" applyFont="1" applyFill="1" applyBorder="1" applyAlignment="1" applyProtection="1">
      <alignment horizontal="center"/>
    </xf>
    <xf numFmtId="165" fontId="94" fillId="0" borderId="0" xfId="0" applyNumberFormat="1" applyFont="1" applyFill="1" applyBorder="1" applyAlignment="1" applyProtection="1">
      <alignment horizontal="center"/>
    </xf>
    <xf numFmtId="172" fontId="93" fillId="0" borderId="0" xfId="0" applyNumberFormat="1" applyFont="1" applyProtection="1"/>
    <xf numFmtId="172" fontId="93" fillId="0" borderId="0" xfId="0" applyNumberFormat="1" applyFont="1" applyAlignment="1" applyProtection="1">
      <alignment horizontal="center"/>
    </xf>
    <xf numFmtId="0" fontId="94" fillId="0" borderId="53" xfId="0" applyFont="1" applyBorder="1" applyProtection="1"/>
    <xf numFmtId="172" fontId="94" fillId="0" borderId="53" xfId="0" applyNumberFormat="1" applyFont="1" applyBorder="1" applyAlignment="1" applyProtection="1">
      <alignment horizontal="center"/>
    </xf>
    <xf numFmtId="165" fontId="93" fillId="0" borderId="0" xfId="0" applyNumberFormat="1" applyFont="1" applyAlignment="1" applyProtection="1">
      <alignment horizontal="center"/>
    </xf>
    <xf numFmtId="0" fontId="93" fillId="0" borderId="6" xfId="0" applyFont="1" applyBorder="1" applyProtection="1"/>
    <xf numFmtId="0" fontId="93" fillId="0" borderId="6" xfId="0" applyFont="1" applyFill="1" applyBorder="1" applyProtection="1"/>
    <xf numFmtId="0" fontId="93" fillId="3" borderId="4" xfId="0" applyFont="1" applyFill="1" applyBorder="1" applyProtection="1"/>
    <xf numFmtId="0" fontId="93" fillId="3" borderId="7" xfId="0" applyFont="1" applyFill="1" applyBorder="1" applyProtection="1"/>
    <xf numFmtId="0" fontId="93" fillId="3" borderId="8" xfId="0" applyFont="1" applyFill="1" applyBorder="1" applyProtection="1"/>
    <xf numFmtId="165" fontId="93" fillId="3" borderId="0" xfId="0" applyNumberFormat="1" applyFont="1" applyFill="1" applyBorder="1" applyAlignment="1" applyProtection="1">
      <alignment horizontal="center" vertical="top"/>
    </xf>
    <xf numFmtId="0" fontId="93" fillId="3" borderId="9" xfId="0" applyFont="1" applyFill="1" applyBorder="1" applyProtection="1"/>
    <xf numFmtId="165" fontId="93" fillId="3" borderId="10" xfId="0" applyNumberFormat="1" applyFont="1" applyFill="1" applyBorder="1" applyAlignment="1" applyProtection="1">
      <alignment horizontal="center" vertical="top"/>
    </xf>
    <xf numFmtId="0" fontId="93" fillId="3" borderId="10" xfId="0" applyFont="1" applyFill="1" applyBorder="1" applyProtection="1"/>
    <xf numFmtId="164" fontId="93" fillId="3" borderId="0" xfId="0" applyNumberFormat="1" applyFont="1" applyFill="1" applyBorder="1" applyProtection="1"/>
    <xf numFmtId="164" fontId="94" fillId="0" borderId="0" xfId="0" applyNumberFormat="1" applyFont="1" applyFill="1" applyBorder="1" applyAlignment="1" applyProtection="1">
      <alignment horizontal="left"/>
    </xf>
    <xf numFmtId="172" fontId="93" fillId="0" borderId="0" xfId="0" applyNumberFormat="1" applyFont="1" applyAlignment="1" applyProtection="1">
      <alignment horizontal="center" vertical="top"/>
    </xf>
    <xf numFmtId="172" fontId="93" fillId="0" borderId="0" xfId="0" applyNumberFormat="1" applyFont="1" applyFill="1" applyAlignment="1" applyProtection="1">
      <alignment horizontal="center" vertical="top"/>
    </xf>
    <xf numFmtId="0" fontId="93" fillId="0" borderId="0" xfId="0" applyFont="1" applyBorder="1" applyProtection="1"/>
    <xf numFmtId="172" fontId="93" fillId="0" borderId="0" xfId="0" applyNumberFormat="1" applyFont="1" applyBorder="1" applyAlignment="1" applyProtection="1">
      <alignment horizontal="center" vertical="top"/>
    </xf>
    <xf numFmtId="174" fontId="93" fillId="0" borderId="0" xfId="0" applyNumberFormat="1" applyFont="1" applyProtection="1"/>
    <xf numFmtId="0" fontId="107" fillId="0" borderId="0" xfId="0" applyFont="1"/>
    <xf numFmtId="0" fontId="94" fillId="0" borderId="0" xfId="0" applyFont="1" applyAlignment="1">
      <alignment horizontal="center"/>
    </xf>
    <xf numFmtId="5" fontId="94" fillId="0" borderId="32" xfId="0" applyNumberFormat="1" applyFont="1" applyBorder="1" applyAlignment="1">
      <alignment horizontal="center" vertical="top"/>
    </xf>
    <xf numFmtId="175" fontId="94" fillId="0" borderId="32" xfId="0" applyNumberFormat="1" applyFont="1" applyBorder="1" applyAlignment="1">
      <alignment horizontal="center" vertical="top"/>
    </xf>
    <xf numFmtId="0" fontId="94" fillId="61" borderId="0" xfId="0" applyFont="1" applyFill="1"/>
    <xf numFmtId="165" fontId="94" fillId="0" borderId="32" xfId="0" applyNumberFormat="1" applyFont="1" applyBorder="1" applyAlignment="1">
      <alignment horizontal="center" vertical="top"/>
    </xf>
    <xf numFmtId="165" fontId="94" fillId="0" borderId="0" xfId="0" applyNumberFormat="1" applyFont="1" applyAlignment="1">
      <alignment horizontal="center" vertical="top"/>
    </xf>
    <xf numFmtId="175" fontId="94" fillId="0" borderId="0" xfId="0" applyNumberFormat="1" applyFont="1" applyAlignment="1">
      <alignment horizontal="center" vertical="top"/>
    </xf>
    <xf numFmtId="6" fontId="94" fillId="0" borderId="6" xfId="0" applyNumberFormat="1" applyFont="1" applyBorder="1" applyAlignment="1">
      <alignment horizontal="center"/>
    </xf>
    <xf numFmtId="175" fontId="94" fillId="0" borderId="6" xfId="0" applyNumberFormat="1" applyFont="1" applyBorder="1" applyAlignment="1">
      <alignment horizontal="center"/>
    </xf>
    <xf numFmtId="5" fontId="94" fillId="0" borderId="6" xfId="0" applyNumberFormat="1" applyFont="1" applyBorder="1" applyAlignment="1">
      <alignment horizontal="center"/>
    </xf>
    <xf numFmtId="165" fontId="109" fillId="0" borderId="0" xfId="0" applyNumberFormat="1" applyFont="1" applyAlignment="1">
      <alignment horizontal="center"/>
    </xf>
    <xf numFmtId="165" fontId="110" fillId="0" borderId="0" xfId="0" applyNumberFormat="1" applyFont="1" applyAlignment="1">
      <alignment horizontal="center"/>
    </xf>
    <xf numFmtId="175" fontId="94" fillId="0" borderId="6" xfId="0" applyNumberFormat="1" applyFont="1" applyFill="1" applyBorder="1" applyAlignment="1">
      <alignment horizontal="center"/>
    </xf>
    <xf numFmtId="179" fontId="94" fillId="0" borderId="6" xfId="0" applyNumberFormat="1" applyFont="1" applyBorder="1" applyAlignment="1">
      <alignment horizontal="center"/>
    </xf>
    <xf numFmtId="0" fontId="108" fillId="66" borderId="0" xfId="0" applyFont="1" applyFill="1"/>
    <xf numFmtId="0" fontId="108" fillId="0" borderId="0" xfId="0" applyFont="1" applyFill="1"/>
    <xf numFmtId="0" fontId="93" fillId="0" borderId="0" xfId="0" applyFont="1"/>
    <xf numFmtId="0" fontId="94" fillId="7" borderId="0" xfId="0" applyFont="1" applyFill="1"/>
    <xf numFmtId="0" fontId="94" fillId="0" borderId="0" xfId="0" applyFont="1" applyFill="1"/>
    <xf numFmtId="0" fontId="96" fillId="0" borderId="0" xfId="0" applyFont="1"/>
    <xf numFmtId="0" fontId="93" fillId="0" borderId="0" xfId="0" applyFont="1" applyFill="1"/>
    <xf numFmtId="0" fontId="104" fillId="0" borderId="0" xfId="0" applyFont="1"/>
    <xf numFmtId="0" fontId="94" fillId="0" borderId="0" xfId="0" applyFont="1"/>
    <xf numFmtId="0" fontId="94" fillId="0" borderId="77" xfId="0" applyFont="1" applyFill="1" applyBorder="1" applyAlignment="1">
      <alignment horizontal="center"/>
    </xf>
    <xf numFmtId="0" fontId="94" fillId="0" borderId="78" xfId="0" applyFont="1" applyFill="1" applyBorder="1" applyAlignment="1">
      <alignment horizontal="center"/>
    </xf>
    <xf numFmtId="0" fontId="94" fillId="0" borderId="56" xfId="0" applyFont="1" applyFill="1" applyBorder="1" applyAlignment="1">
      <alignment horizontal="center"/>
    </xf>
    <xf numFmtId="0" fontId="94" fillId="0" borderId="68" xfId="0" applyFont="1" applyFill="1" applyBorder="1" applyAlignment="1">
      <alignment horizontal="center"/>
    </xf>
    <xf numFmtId="0" fontId="94" fillId="0" borderId="79" xfId="0" applyFont="1" applyFill="1" applyBorder="1" applyAlignment="1">
      <alignment horizontal="center"/>
    </xf>
    <xf numFmtId="0" fontId="94" fillId="0" borderId="0" xfId="0" applyFont="1" applyFill="1" applyBorder="1" applyAlignment="1">
      <alignment horizontal="center"/>
    </xf>
    <xf numFmtId="0" fontId="94" fillId="0" borderId="1" xfId="0" applyFont="1" applyFill="1" applyBorder="1" applyAlignment="1">
      <alignment horizontal="center"/>
    </xf>
    <xf numFmtId="172" fontId="93" fillId="0" borderId="0" xfId="0" applyNumberFormat="1" applyFont="1" applyFill="1" applyBorder="1" applyAlignment="1">
      <alignment horizontal="center"/>
    </xf>
    <xf numFmtId="0" fontId="93" fillId="0" borderId="0" xfId="0" applyFont="1" applyFill="1" applyBorder="1" applyAlignment="1">
      <alignment horizontal="center"/>
    </xf>
    <xf numFmtId="1" fontId="93" fillId="0" borderId="0" xfId="0" applyNumberFormat="1" applyFont="1" applyFill="1" applyBorder="1" applyAlignment="1">
      <alignment horizontal="center"/>
    </xf>
    <xf numFmtId="3" fontId="93" fillId="0" borderId="0" xfId="0" applyNumberFormat="1" applyFont="1" applyAlignment="1">
      <alignment horizontal="center" vertical="top"/>
    </xf>
    <xf numFmtId="1" fontId="94" fillId="0" borderId="0" xfId="0" applyNumberFormat="1" applyFont="1" applyFill="1" applyAlignment="1">
      <alignment horizontal="center" vertical="top"/>
    </xf>
    <xf numFmtId="172" fontId="93" fillId="0" borderId="53" xfId="0" applyNumberFormat="1" applyFont="1" applyFill="1" applyBorder="1" applyAlignment="1">
      <alignment horizontal="center"/>
    </xf>
    <xf numFmtId="1" fontId="93" fillId="0" borderId="0" xfId="0" applyNumberFormat="1" applyFont="1" applyBorder="1" applyAlignment="1">
      <alignment horizontal="center" vertical="top"/>
    </xf>
    <xf numFmtId="172" fontId="94" fillId="0" borderId="53" xfId="0" applyNumberFormat="1" applyFont="1" applyFill="1" applyBorder="1" applyAlignment="1">
      <alignment horizontal="center"/>
    </xf>
    <xf numFmtId="172" fontId="94" fillId="0" borderId="0" xfId="0" applyNumberFormat="1" applyFont="1" applyFill="1" applyBorder="1" applyAlignment="1">
      <alignment horizontal="center"/>
    </xf>
    <xf numFmtId="177" fontId="93" fillId="0" borderId="0" xfId="0" applyNumberFormat="1" applyFont="1" applyAlignment="1">
      <alignment horizontal="center" vertical="top"/>
    </xf>
    <xf numFmtId="177" fontId="93" fillId="0" borderId="0" xfId="0" applyNumberFormat="1" applyFont="1" applyFill="1" applyAlignment="1">
      <alignment horizontal="center" vertical="top"/>
    </xf>
    <xf numFmtId="172" fontId="93" fillId="0" borderId="0" xfId="0" applyNumberFormat="1" applyFont="1" applyFill="1" applyAlignment="1">
      <alignment horizontal="center" vertical="top"/>
    </xf>
    <xf numFmtId="177" fontId="93" fillId="0" borderId="53" xfId="0" applyNumberFormat="1" applyFont="1" applyFill="1" applyBorder="1" applyAlignment="1">
      <alignment horizontal="center" vertical="top"/>
    </xf>
    <xf numFmtId="0" fontId="94" fillId="0" borderId="0" xfId="0" applyFont="1" applyFill="1" applyBorder="1"/>
    <xf numFmtId="1" fontId="93" fillId="0" borderId="0" xfId="0" applyNumberFormat="1" applyFont="1" applyFill="1" applyAlignment="1">
      <alignment horizontal="center" vertical="top"/>
    </xf>
    <xf numFmtId="164" fontId="93" fillId="0" borderId="0" xfId="0" applyNumberFormat="1" applyFont="1" applyAlignment="1">
      <alignment horizontal="center" vertical="top"/>
    </xf>
    <xf numFmtId="0" fontId="94" fillId="64" borderId="0" xfId="0" applyFont="1" applyFill="1"/>
    <xf numFmtId="164" fontId="94" fillId="64" borderId="0" xfId="0" applyNumberFormat="1" applyFont="1" applyFill="1" applyAlignment="1">
      <alignment horizontal="center" vertical="top"/>
    </xf>
    <xf numFmtId="164" fontId="93" fillId="64" borderId="0" xfId="0" applyNumberFormat="1" applyFont="1" applyFill="1" applyAlignment="1">
      <alignment horizontal="center" vertical="top"/>
    </xf>
    <xf numFmtId="5" fontId="93" fillId="0" borderId="0" xfId="0" applyNumberFormat="1" applyFont="1" applyAlignment="1">
      <alignment horizontal="center" vertical="top"/>
    </xf>
    <xf numFmtId="175" fontId="93" fillId="0" borderId="0" xfId="0" applyNumberFormat="1" applyFont="1" applyAlignment="1">
      <alignment horizontal="center" vertical="top"/>
    </xf>
    <xf numFmtId="172" fontId="93" fillId="0" borderId="0" xfId="0" applyNumberFormat="1" applyFont="1" applyAlignment="1">
      <alignment horizontal="center" vertical="top"/>
    </xf>
    <xf numFmtId="165" fontId="93" fillId="0" borderId="0" xfId="0" applyNumberFormat="1" applyFont="1"/>
    <xf numFmtId="165" fontId="93" fillId="61" borderId="0" xfId="0" applyNumberFormat="1" applyFont="1" applyFill="1"/>
    <xf numFmtId="165" fontId="93" fillId="0" borderId="0" xfId="0" applyNumberFormat="1" applyFont="1" applyAlignment="1">
      <alignment horizontal="center" vertical="top"/>
    </xf>
    <xf numFmtId="172" fontId="93" fillId="0" borderId="0" xfId="0" applyNumberFormat="1" applyFont="1" applyBorder="1" applyAlignment="1">
      <alignment horizontal="center" vertical="top"/>
    </xf>
    <xf numFmtId="175" fontId="93" fillId="0" borderId="0" xfId="0" applyNumberFormat="1" applyFont="1" applyBorder="1" applyAlignment="1">
      <alignment horizontal="center" vertical="top"/>
    </xf>
    <xf numFmtId="0" fontId="94" fillId="0" borderId="5" xfId="0" applyFont="1" applyBorder="1" applyAlignment="1">
      <alignment horizontal="left"/>
    </xf>
    <xf numFmtId="5" fontId="93" fillId="0" borderId="0" xfId="0" applyNumberFormat="1" applyFont="1"/>
    <xf numFmtId="7" fontId="93" fillId="0" borderId="0" xfId="0" applyNumberFormat="1" applyFont="1"/>
    <xf numFmtId="0" fontId="110" fillId="0" borderId="0" xfId="0" applyFont="1" applyFill="1" applyBorder="1"/>
    <xf numFmtId="6" fontId="93" fillId="0" borderId="0" xfId="0" applyNumberFormat="1" applyFont="1" applyAlignment="1">
      <alignment horizontal="center"/>
    </xf>
    <xf numFmtId="0" fontId="106" fillId="64" borderId="1" xfId="0" applyFont="1" applyFill="1" applyBorder="1"/>
    <xf numFmtId="0" fontId="93" fillId="64" borderId="1" xfId="0" applyFont="1" applyFill="1" applyBorder="1"/>
    <xf numFmtId="165" fontId="93" fillId="0" borderId="0" xfId="0" applyNumberFormat="1" applyFont="1" applyFill="1"/>
    <xf numFmtId="0" fontId="106" fillId="0" borderId="0" xfId="0" applyFont="1"/>
    <xf numFmtId="0" fontId="106" fillId="63" borderId="1" xfId="0" applyFont="1" applyFill="1" applyBorder="1"/>
    <xf numFmtId="0" fontId="93" fillId="63" borderId="1" xfId="0" applyFont="1" applyFill="1" applyBorder="1"/>
    <xf numFmtId="0" fontId="110" fillId="0" borderId="0" xfId="0" quotePrefix="1" applyFont="1"/>
    <xf numFmtId="6" fontId="109" fillId="0" borderId="0" xfId="0" applyNumberFormat="1" applyFont="1" applyAlignment="1">
      <alignment horizontal="center"/>
    </xf>
    <xf numFmtId="180" fontId="110" fillId="0" borderId="0" xfId="0" applyNumberFormat="1" applyFont="1" applyAlignment="1">
      <alignment horizontal="center"/>
    </xf>
    <xf numFmtId="0" fontId="109" fillId="0" borderId="0" xfId="0" quotePrefix="1" applyFont="1"/>
    <xf numFmtId="0" fontId="94" fillId="0" borderId="1" xfId="0" applyFont="1" applyBorder="1" applyAlignment="1">
      <alignment horizontal="center"/>
    </xf>
    <xf numFmtId="0" fontId="94" fillId="0" borderId="18" xfId="0" applyFont="1" applyBorder="1" applyAlignment="1">
      <alignment horizontal="center"/>
    </xf>
    <xf numFmtId="0" fontId="93" fillId="0" borderId="1" xfId="0" applyFont="1" applyBorder="1"/>
    <xf numFmtId="0" fontId="93" fillId="0" borderId="0" xfId="0" applyFont="1" applyAlignment="1">
      <alignment horizontal="left" indent="1"/>
    </xf>
    <xf numFmtId="0" fontId="94" fillId="0" borderId="0" xfId="0" applyFont="1" applyAlignment="1">
      <alignment horizontal="right"/>
    </xf>
    <xf numFmtId="0" fontId="94" fillId="0" borderId="0" xfId="0" applyFont="1" applyFill="1" applyAlignment="1">
      <alignment horizontal="center"/>
    </xf>
    <xf numFmtId="0" fontId="94" fillId="0" borderId="53" xfId="0" applyFont="1" applyBorder="1"/>
    <xf numFmtId="0" fontId="93" fillId="0" borderId="0" xfId="0" applyFont="1" applyBorder="1" applyAlignment="1">
      <alignment horizontal="left" indent="1"/>
    </xf>
    <xf numFmtId="0" fontId="104" fillId="0" borderId="0" xfId="7" applyFont="1" applyFill="1" applyBorder="1" applyAlignment="1" applyProtection="1">
      <alignment horizontal="right" wrapText="1" indent="1"/>
    </xf>
    <xf numFmtId="0" fontId="93" fillId="0" borderId="0" xfId="0" applyFont="1" applyFill="1" applyBorder="1"/>
    <xf numFmtId="0" fontId="104" fillId="0" borderId="0" xfId="7" applyFont="1" applyBorder="1" applyAlignment="1" applyProtection="1">
      <alignment horizontal="right" wrapText="1" indent="1"/>
    </xf>
    <xf numFmtId="0" fontId="112" fillId="0" borderId="0" xfId="7" applyFont="1" applyBorder="1" applyAlignment="1" applyProtection="1">
      <alignment wrapText="1"/>
    </xf>
    <xf numFmtId="0" fontId="93" fillId="3" borderId="0" xfId="0" applyFont="1" applyFill="1" applyBorder="1"/>
    <xf numFmtId="164" fontId="93" fillId="3" borderId="0" xfId="0" applyNumberFormat="1" applyFont="1" applyFill="1" applyBorder="1" applyAlignment="1">
      <alignment horizontal="center" vertical="top"/>
    </xf>
    <xf numFmtId="0" fontId="93" fillId="3" borderId="1" xfId="0" applyFont="1" applyFill="1" applyBorder="1"/>
    <xf numFmtId="164" fontId="93" fillId="3" borderId="1" xfId="0" applyNumberFormat="1" applyFont="1" applyFill="1" applyBorder="1" applyAlignment="1">
      <alignment horizontal="center" vertical="top"/>
    </xf>
    <xf numFmtId="0" fontId="93" fillId="0" borderId="1" xfId="0" applyFont="1" applyFill="1" applyBorder="1"/>
    <xf numFmtId="0" fontId="93" fillId="3" borderId="68" xfId="0" applyFont="1" applyFill="1" applyBorder="1"/>
    <xf numFmtId="164" fontId="93" fillId="3" borderId="68" xfId="0" applyNumberFormat="1" applyFont="1" applyFill="1" applyBorder="1" applyAlignment="1">
      <alignment horizontal="center" vertical="top"/>
    </xf>
    <xf numFmtId="0" fontId="93" fillId="3" borderId="53" xfId="0" applyFont="1" applyFill="1" applyBorder="1"/>
    <xf numFmtId="0" fontId="93" fillId="3" borderId="67" xfId="0" applyFont="1" applyFill="1" applyBorder="1"/>
    <xf numFmtId="164" fontId="93" fillId="3" borderId="67" xfId="0" applyNumberFormat="1" applyFont="1" applyFill="1" applyBorder="1" applyAlignment="1">
      <alignment horizontal="center" vertical="top"/>
    </xf>
    <xf numFmtId="0" fontId="93" fillId="0" borderId="67" xfId="0" applyFont="1" applyFill="1" applyBorder="1"/>
    <xf numFmtId="0" fontId="94" fillId="3" borderId="53" xfId="0" applyFont="1" applyFill="1" applyBorder="1"/>
    <xf numFmtId="0" fontId="94" fillId="3" borderId="53" xfId="0" applyFont="1" applyFill="1" applyBorder="1" applyAlignment="1">
      <alignment horizontal="center"/>
    </xf>
    <xf numFmtId="172" fontId="94" fillId="3" borderId="53" xfId="0" applyNumberFormat="1" applyFont="1" applyFill="1" applyBorder="1" applyAlignment="1">
      <alignment horizontal="center"/>
    </xf>
    <xf numFmtId="0" fontId="94" fillId="3" borderId="0" xfId="0" applyFont="1" applyFill="1" applyBorder="1"/>
    <xf numFmtId="0" fontId="94" fillId="3" borderId="0" xfId="0" applyFont="1" applyFill="1" applyBorder="1" applyAlignment="1">
      <alignment horizontal="right"/>
    </xf>
    <xf numFmtId="0" fontId="94" fillId="3" borderId="0" xfId="0" applyFont="1" applyFill="1" applyBorder="1" applyAlignment="1">
      <alignment horizontal="center"/>
    </xf>
    <xf numFmtId="0" fontId="94" fillId="0" borderId="1" xfId="0" applyFont="1" applyFill="1" applyBorder="1" applyAlignment="1">
      <alignment horizontal="right"/>
    </xf>
    <xf numFmtId="9" fontId="93" fillId="3" borderId="0" xfId="9" applyFont="1" applyFill="1" applyBorder="1" applyAlignment="1">
      <alignment horizontal="center" vertical="top"/>
    </xf>
    <xf numFmtId="0" fontId="94" fillId="0" borderId="1" xfId="0" applyFont="1" applyFill="1" applyBorder="1" applyAlignment="1">
      <alignment horizontal="right" wrapText="1"/>
    </xf>
    <xf numFmtId="172" fontId="93" fillId="0" borderId="0" xfId="0" applyNumberFormat="1" applyFont="1"/>
    <xf numFmtId="0" fontId="104" fillId="0" borderId="0" xfId="7" applyFont="1" applyFill="1" applyBorder="1" applyAlignment="1" applyProtection="1">
      <alignment horizontal="right" wrapText="1"/>
    </xf>
    <xf numFmtId="0" fontId="106" fillId="0" borderId="0" xfId="0" applyFont="1" applyProtection="1"/>
    <xf numFmtId="0" fontId="104" fillId="0" borderId="0" xfId="7" applyFont="1" applyBorder="1" applyAlignment="1" applyProtection="1">
      <alignment horizontal="right" wrapText="1"/>
    </xf>
    <xf numFmtId="0" fontId="109" fillId="0" borderId="0" xfId="0" applyFont="1" applyProtection="1"/>
    <xf numFmtId="44" fontId="94" fillId="0" borderId="0" xfId="6" applyFont="1" applyAlignment="1" applyProtection="1">
      <alignment horizontal="center"/>
    </xf>
    <xf numFmtId="44" fontId="96" fillId="0" borderId="0" xfId="6" applyFont="1" applyProtection="1"/>
    <xf numFmtId="0" fontId="96" fillId="0" borderId="27" xfId="8" applyFont="1" applyBorder="1" applyAlignment="1" applyProtection="1">
      <alignment horizontal="center" wrapText="1"/>
    </xf>
    <xf numFmtId="44" fontId="97" fillId="0" borderId="27" xfId="6" applyFont="1" applyBorder="1" applyAlignment="1" applyProtection="1">
      <alignment horizontal="center"/>
    </xf>
    <xf numFmtId="44" fontId="97" fillId="67" borderId="27" xfId="6" applyFont="1" applyFill="1" applyBorder="1" applyAlignment="1" applyProtection="1">
      <alignment horizontal="center"/>
    </xf>
    <xf numFmtId="0" fontId="96" fillId="0" borderId="28" xfId="8" applyFont="1" applyBorder="1" applyAlignment="1" applyProtection="1">
      <alignment horizontal="center" wrapText="1"/>
    </xf>
    <xf numFmtId="44" fontId="96" fillId="0" borderId="28" xfId="6" applyFont="1" applyBorder="1" applyAlignment="1" applyProtection="1">
      <alignment horizontal="center"/>
    </xf>
    <xf numFmtId="44" fontId="96" fillId="67" borderId="28" xfId="6" applyFont="1" applyFill="1" applyBorder="1" applyAlignment="1" applyProtection="1">
      <alignment horizontal="center"/>
    </xf>
    <xf numFmtId="0" fontId="96" fillId="64" borderId="0" xfId="8" applyFont="1" applyFill="1" applyProtection="1"/>
    <xf numFmtId="0" fontId="96" fillId="64" borderId="20" xfId="8" applyFont="1" applyFill="1" applyBorder="1" applyAlignment="1" applyProtection="1">
      <alignment horizontal="center" wrapText="1"/>
    </xf>
    <xf numFmtId="44" fontId="96" fillId="64" borderId="31" xfId="6" applyFont="1" applyFill="1" applyBorder="1" applyAlignment="1" applyProtection="1">
      <alignment horizontal="center"/>
    </xf>
    <xf numFmtId="44" fontId="96" fillId="64" borderId="20" xfId="6" applyFont="1" applyFill="1" applyBorder="1" applyAlignment="1" applyProtection="1">
      <alignment horizontal="center"/>
    </xf>
    <xf numFmtId="44" fontId="97" fillId="0" borderId="21" xfId="6" applyFont="1" applyBorder="1" applyAlignment="1" applyProtection="1"/>
    <xf numFmtId="44" fontId="97" fillId="0" borderId="24" xfId="6" applyFont="1" applyBorder="1" applyAlignment="1" applyProtection="1">
      <alignment horizontal="right"/>
    </xf>
    <xf numFmtId="44" fontId="97" fillId="0" borderId="24" xfId="6" applyFont="1" applyBorder="1" applyAlignment="1" applyProtection="1"/>
    <xf numFmtId="0" fontId="96" fillId="61" borderId="0" xfId="8" applyFont="1" applyFill="1" applyProtection="1"/>
    <xf numFmtId="0" fontId="97" fillId="61" borderId="21" xfId="8" applyFont="1" applyFill="1" applyBorder="1" applyProtection="1"/>
    <xf numFmtId="44" fontId="97" fillId="61" borderId="21" xfId="6" applyFont="1" applyFill="1" applyBorder="1" applyProtection="1"/>
    <xf numFmtId="44" fontId="97" fillId="61" borderId="24" xfId="6" applyFont="1" applyFill="1" applyBorder="1" applyProtection="1"/>
    <xf numFmtId="0" fontId="94" fillId="0" borderId="0" xfId="8" applyFont="1" applyAlignment="1" applyProtection="1">
      <alignment horizontal="center"/>
    </xf>
    <xf numFmtId="44" fontId="97" fillId="0" borderId="1" xfId="8" applyNumberFormat="1" applyFont="1" applyBorder="1" applyProtection="1"/>
    <xf numFmtId="44" fontId="97" fillId="0" borderId="1" xfId="6" applyFont="1" applyBorder="1" applyProtection="1"/>
    <xf numFmtId="38" fontId="97" fillId="0" borderId="21" xfId="6" applyNumberFormat="1" applyFont="1" applyBorder="1" applyProtection="1"/>
    <xf numFmtId="38" fontId="97" fillId="0" borderId="24" xfId="6" applyNumberFormat="1" applyFont="1" applyBorder="1" applyProtection="1"/>
    <xf numFmtId="38" fontId="97" fillId="7" borderId="21" xfId="6" applyNumberFormat="1" applyFont="1" applyFill="1" applyBorder="1" applyProtection="1"/>
    <xf numFmtId="38" fontId="97" fillId="0" borderId="22" xfId="8" applyNumberFormat="1" applyFont="1" applyBorder="1" applyProtection="1"/>
    <xf numFmtId="38" fontId="97" fillId="0" borderId="19" xfId="6" applyNumberFormat="1" applyFont="1" applyBorder="1" applyProtection="1"/>
    <xf numFmtId="38" fontId="97" fillId="0" borderId="22" xfId="6" applyNumberFormat="1" applyFont="1" applyBorder="1" applyProtection="1"/>
    <xf numFmtId="38" fontId="96" fillId="0" borderId="26" xfId="6" applyNumberFormat="1" applyFont="1" applyBorder="1" applyProtection="1"/>
    <xf numFmtId="44" fontId="96" fillId="0" borderId="0" xfId="6" applyFont="1" applyBorder="1" applyProtection="1"/>
    <xf numFmtId="0" fontId="96" fillId="62" borderId="0" xfId="8" applyFont="1" applyFill="1" applyProtection="1"/>
    <xf numFmtId="44" fontId="96" fillId="62" borderId="0" xfId="6" applyFont="1" applyFill="1" applyBorder="1" applyProtection="1"/>
    <xf numFmtId="173" fontId="96" fillId="62" borderId="0" xfId="6" applyNumberFormat="1" applyFont="1" applyFill="1" applyBorder="1" applyProtection="1"/>
    <xf numFmtId="0" fontId="96" fillId="64" borderId="0" xfId="8" applyFont="1" applyFill="1" applyBorder="1" applyProtection="1"/>
    <xf numFmtId="0" fontId="96" fillId="64" borderId="0" xfId="8" applyFont="1" applyFill="1" applyBorder="1" applyAlignment="1" applyProtection="1">
      <alignment horizontal="center" wrapText="1"/>
    </xf>
    <xf numFmtId="44" fontId="96" fillId="64" borderId="0" xfId="6" applyFont="1" applyFill="1" applyBorder="1" applyAlignment="1" applyProtection="1">
      <alignment horizontal="center"/>
    </xf>
    <xf numFmtId="175" fontId="97" fillId="0" borderId="24" xfId="6" applyNumberFormat="1" applyFont="1" applyFill="1" applyBorder="1" applyProtection="1">
      <protection locked="0"/>
    </xf>
    <xf numFmtId="175" fontId="97" fillId="0" borderId="21" xfId="6" applyNumberFormat="1" applyFont="1" applyFill="1" applyBorder="1" applyProtection="1">
      <protection locked="0"/>
    </xf>
    <xf numFmtId="175" fontId="97" fillId="0" borderId="21" xfId="6" applyNumberFormat="1" applyFont="1" applyFill="1" applyBorder="1" applyAlignment="1" applyProtection="1">
      <protection locked="0"/>
    </xf>
    <xf numFmtId="175" fontId="97" fillId="0" borderId="24" xfId="6" applyNumberFormat="1" applyFont="1" applyFill="1" applyBorder="1" applyAlignment="1" applyProtection="1">
      <protection locked="0"/>
    </xf>
    <xf numFmtId="0" fontId="97" fillId="0" borderId="0" xfId="8" applyFont="1" applyFill="1" applyProtection="1">
      <protection locked="0"/>
    </xf>
    <xf numFmtId="0" fontId="96" fillId="0" borderId="0" xfId="8" applyFont="1" applyFill="1" applyProtection="1"/>
    <xf numFmtId="175" fontId="97" fillId="0" borderId="23" xfId="6" applyNumberFormat="1" applyFont="1" applyFill="1" applyBorder="1" applyAlignment="1" applyProtection="1">
      <alignment horizontal="right"/>
    </xf>
    <xf numFmtId="38" fontId="97" fillId="0" borderId="29" xfId="6" applyNumberFormat="1" applyFont="1" applyFill="1" applyBorder="1" applyProtection="1"/>
    <xf numFmtId="44" fontId="97" fillId="0" borderId="24" xfId="6" applyFont="1" applyFill="1" applyBorder="1" applyAlignment="1" applyProtection="1">
      <alignment horizontal="right"/>
    </xf>
    <xf numFmtId="44" fontId="97" fillId="0" borderId="21" xfId="6" applyFont="1" applyFill="1" applyBorder="1" applyAlignment="1" applyProtection="1"/>
    <xf numFmtId="44" fontId="97" fillId="0" borderId="24" xfId="6" applyFont="1" applyFill="1" applyBorder="1" applyAlignment="1" applyProtection="1"/>
    <xf numFmtId="44" fontId="97" fillId="64" borderId="24" xfId="6" applyFont="1" applyFill="1" applyBorder="1" applyProtection="1"/>
    <xf numFmtId="44" fontId="97" fillId="64" borderId="21" xfId="6" applyFont="1" applyFill="1" applyBorder="1" applyProtection="1"/>
    <xf numFmtId="9" fontId="97" fillId="0" borderId="0" xfId="10" applyFont="1" applyProtection="1"/>
    <xf numFmtId="180" fontId="93" fillId="0" borderId="0" xfId="0" applyNumberFormat="1" applyFont="1" applyProtection="1"/>
    <xf numFmtId="0" fontId="93" fillId="0" borderId="0" xfId="0" quotePrefix="1" applyFont="1" applyProtection="1"/>
    <xf numFmtId="0" fontId="94" fillId="0" borderId="53" xfId="0" applyFont="1" applyFill="1" applyBorder="1"/>
    <xf numFmtId="182" fontId="94" fillId="0" borderId="53" xfId="0" applyNumberFormat="1" applyFont="1" applyBorder="1" applyAlignment="1">
      <alignment horizontal="center" vertical="top"/>
    </xf>
    <xf numFmtId="0" fontId="94" fillId="0" borderId="70" xfId="0" applyFont="1" applyBorder="1" applyAlignment="1">
      <alignment horizontal="center"/>
    </xf>
    <xf numFmtId="0" fontId="94" fillId="3" borderId="4" xfId="0" applyFont="1" applyFill="1" applyBorder="1"/>
    <xf numFmtId="10" fontId="93" fillId="3" borderId="7" xfId="9" applyNumberFormat="1" applyFont="1" applyFill="1" applyBorder="1" applyAlignment="1">
      <alignment horizontal="left" vertical="top"/>
    </xf>
    <xf numFmtId="10" fontId="93" fillId="0" borderId="7" xfId="9" applyNumberFormat="1" applyFont="1" applyFill="1" applyBorder="1" applyAlignment="1">
      <alignment horizontal="left" vertical="top"/>
    </xf>
    <xf numFmtId="0" fontId="110" fillId="3" borderId="8" xfId="0" applyFont="1" applyFill="1" applyBorder="1"/>
    <xf numFmtId="10" fontId="93" fillId="3" borderId="0" xfId="9" applyNumberFormat="1" applyFont="1" applyFill="1" applyBorder="1" applyAlignment="1">
      <alignment horizontal="left" vertical="top"/>
    </xf>
    <xf numFmtId="10" fontId="93" fillId="0" borderId="0" xfId="9" applyNumberFormat="1" applyFont="1" applyFill="1" applyBorder="1" applyAlignment="1">
      <alignment horizontal="left" vertical="top"/>
    </xf>
    <xf numFmtId="0" fontId="94" fillId="3" borderId="8" xfId="0" applyFont="1" applyFill="1" applyBorder="1"/>
    <xf numFmtId="172" fontId="94" fillId="0" borderId="53" xfId="0" applyNumberFormat="1" applyFont="1" applyFill="1" applyBorder="1" applyAlignment="1">
      <alignment horizontal="center" vertical="top"/>
    </xf>
    <xf numFmtId="0" fontId="94" fillId="0" borderId="0" xfId="0" applyFont="1" applyFill="1" applyAlignment="1">
      <alignment horizontal="left"/>
    </xf>
    <xf numFmtId="0" fontId="94" fillId="0" borderId="5" xfId="0" applyFont="1" applyFill="1" applyBorder="1"/>
    <xf numFmtId="172" fontId="94" fillId="0" borderId="6" xfId="0" applyNumberFormat="1" applyFont="1" applyFill="1" applyBorder="1" applyAlignment="1">
      <alignment horizontal="center"/>
    </xf>
    <xf numFmtId="0" fontId="94" fillId="0" borderId="0" xfId="0" applyFont="1" applyFill="1" applyProtection="1">
      <protection hidden="1"/>
    </xf>
    <xf numFmtId="0" fontId="94" fillId="0" borderId="0" xfId="0" applyFont="1" applyFill="1" applyBorder="1" applyProtection="1">
      <protection hidden="1"/>
    </xf>
    <xf numFmtId="0" fontId="94" fillId="0" borderId="0" xfId="0" applyFont="1" applyBorder="1"/>
    <xf numFmtId="164" fontId="94" fillId="0" borderId="0" xfId="0" applyNumberFormat="1" applyFont="1" applyFill="1" applyBorder="1" applyAlignment="1">
      <alignment horizontal="center"/>
    </xf>
    <xf numFmtId="0" fontId="109" fillId="0" borderId="0" xfId="0" applyFont="1"/>
    <xf numFmtId="0" fontId="94" fillId="0" borderId="5" xfId="0" applyFont="1" applyBorder="1"/>
    <xf numFmtId="0" fontId="94" fillId="0" borderId="6" xfId="0" applyFont="1" applyBorder="1"/>
    <xf numFmtId="0" fontId="109" fillId="0" borderId="0" xfId="0" applyFont="1" applyBorder="1"/>
    <xf numFmtId="0" fontId="109" fillId="0" borderId="0" xfId="0" applyFont="1" applyFill="1" applyBorder="1"/>
    <xf numFmtId="0" fontId="93" fillId="0" borderId="0" xfId="0" applyFont="1" applyBorder="1"/>
    <xf numFmtId="10" fontId="93" fillId="3" borderId="0" xfId="9" applyNumberFormat="1" applyFont="1" applyFill="1" applyBorder="1" applyAlignment="1">
      <alignment horizontal="center" vertical="top"/>
    </xf>
    <xf numFmtId="0" fontId="94" fillId="3" borderId="9" xfId="0" applyFont="1" applyFill="1" applyBorder="1"/>
    <xf numFmtId="165" fontId="93" fillId="5" borderId="3" xfId="11" applyNumberFormat="1" applyFont="1" applyFill="1" applyAlignment="1">
      <alignment horizontal="center" vertical="top"/>
    </xf>
    <xf numFmtId="0" fontId="93" fillId="3" borderId="0" xfId="0" applyFont="1" applyFill="1" applyBorder="1" applyAlignment="1">
      <alignment horizontal="center" vertical="top"/>
    </xf>
    <xf numFmtId="0" fontId="93" fillId="0" borderId="0" xfId="0" applyFont="1" applyFill="1" applyBorder="1" applyAlignment="1">
      <alignment horizontal="left"/>
    </xf>
    <xf numFmtId="0" fontId="93" fillId="3" borderId="0" xfId="0" applyFont="1" applyFill="1" applyBorder="1" applyAlignment="1">
      <alignment horizontal="center"/>
    </xf>
    <xf numFmtId="164" fontId="93" fillId="0" borderId="0" xfId="0" applyNumberFormat="1" applyFont="1" applyBorder="1" applyAlignment="1">
      <alignment horizontal="center" vertical="top"/>
    </xf>
    <xf numFmtId="182" fontId="93" fillId="0" borderId="0" xfId="0" applyNumberFormat="1" applyFont="1" applyAlignment="1">
      <alignment horizontal="right" vertical="top"/>
    </xf>
    <xf numFmtId="172" fontId="93" fillId="0" borderId="0" xfId="0" applyNumberFormat="1" applyFont="1" applyAlignment="1">
      <alignment horizontal="right" vertical="top"/>
    </xf>
    <xf numFmtId="172" fontId="93" fillId="0" borderId="0" xfId="0" applyNumberFormat="1" applyFont="1" applyBorder="1" applyAlignment="1">
      <alignment horizontal="right" vertical="top"/>
    </xf>
    <xf numFmtId="182" fontId="93" fillId="0" borderId="0" xfId="0" applyNumberFormat="1" applyFont="1" applyBorder="1" applyAlignment="1">
      <alignment horizontal="right" vertical="top"/>
    </xf>
    <xf numFmtId="182" fontId="93" fillId="0" borderId="0" xfId="0" applyNumberFormat="1" applyFont="1" applyBorder="1" applyAlignment="1" applyProtection="1">
      <alignment horizontal="right" vertical="top"/>
    </xf>
    <xf numFmtId="182" fontId="94" fillId="0" borderId="0" xfId="0" applyNumberFormat="1" applyFont="1" applyAlignment="1">
      <alignment horizontal="center" vertical="top"/>
    </xf>
    <xf numFmtId="0" fontId="94" fillId="61" borderId="0" xfId="0" applyFont="1" applyFill="1" applyAlignment="1">
      <alignment horizontal="center"/>
    </xf>
    <xf numFmtId="0" fontId="93" fillId="3" borderId="7" xfId="0" applyFont="1" applyFill="1" applyBorder="1"/>
    <xf numFmtId="9" fontId="94" fillId="3" borderId="7" xfId="9" applyNumberFormat="1" applyFont="1" applyFill="1" applyBorder="1" applyAlignment="1">
      <alignment horizontal="center" vertical="top"/>
    </xf>
    <xf numFmtId="9" fontId="94" fillId="3" borderId="0" xfId="9" applyNumberFormat="1" applyFont="1" applyFill="1" applyBorder="1" applyAlignment="1">
      <alignment horizontal="center" vertical="top"/>
    </xf>
    <xf numFmtId="0" fontId="93" fillId="3" borderId="8" xfId="0" applyFont="1" applyFill="1" applyBorder="1"/>
    <xf numFmtId="165" fontId="94" fillId="3" borderId="0" xfId="9" applyNumberFormat="1" applyFont="1" applyFill="1" applyBorder="1" applyAlignment="1">
      <alignment horizontal="center" vertical="top"/>
    </xf>
    <xf numFmtId="172" fontId="93" fillId="3" borderId="0" xfId="0" applyNumberFormat="1" applyFont="1" applyFill="1" applyBorder="1" applyAlignment="1">
      <alignment horizontal="center" vertical="top"/>
    </xf>
    <xf numFmtId="172" fontId="93" fillId="0" borderId="0" xfId="0" applyNumberFormat="1" applyFont="1" applyFill="1" applyBorder="1" applyAlignment="1">
      <alignment horizontal="center" vertical="top"/>
    </xf>
    <xf numFmtId="0" fontId="93" fillId="3" borderId="9" xfId="0" applyFont="1" applyFill="1" applyBorder="1"/>
    <xf numFmtId="0" fontId="93" fillId="3" borderId="10" xfId="0" applyFont="1" applyFill="1" applyBorder="1"/>
    <xf numFmtId="0" fontId="93" fillId="0" borderId="10" xfId="0" applyFont="1" applyFill="1" applyBorder="1"/>
    <xf numFmtId="164" fontId="93" fillId="0" borderId="0" xfId="0" applyNumberFormat="1" applyFont="1" applyFill="1" applyBorder="1" applyAlignment="1">
      <alignment horizontal="center"/>
    </xf>
    <xf numFmtId="0" fontId="93" fillId="0" borderId="0" xfId="0" applyFont="1" applyFill="1" applyAlignment="1">
      <alignment horizontal="center" wrapText="1"/>
    </xf>
    <xf numFmtId="165" fontId="93" fillId="0" borderId="0" xfId="0" applyNumberFormat="1" applyFont="1" applyFill="1" applyBorder="1" applyAlignment="1">
      <alignment horizontal="center" vertical="top"/>
    </xf>
    <xf numFmtId="182" fontId="93" fillId="0" borderId="0" xfId="0" applyNumberFormat="1" applyFont="1" applyFill="1" applyBorder="1" applyAlignment="1">
      <alignment horizontal="center"/>
    </xf>
    <xf numFmtId="0" fontId="93" fillId="0" borderId="53" xfId="0" applyFont="1" applyFill="1" applyBorder="1"/>
    <xf numFmtId="182" fontId="93" fillId="0" borderId="53" xfId="0" applyNumberFormat="1" applyFont="1" applyFill="1" applyBorder="1" applyAlignment="1">
      <alignment horizontal="center"/>
    </xf>
    <xf numFmtId="182" fontId="93" fillId="0" borderId="0" xfId="0" applyNumberFormat="1" applyFont="1" applyFill="1" applyBorder="1"/>
    <xf numFmtId="182" fontId="93" fillId="0" borderId="53" xfId="0" applyNumberFormat="1" applyFont="1" applyFill="1" applyBorder="1"/>
    <xf numFmtId="164" fontId="93" fillId="4" borderId="3" xfId="11" applyNumberFormat="1" applyFont="1" applyAlignment="1" applyProtection="1">
      <alignment horizontal="center"/>
      <protection locked="0"/>
    </xf>
    <xf numFmtId="1" fontId="94" fillId="3" borderId="0" xfId="11" applyNumberFormat="1" applyFont="1" applyFill="1" applyBorder="1" applyAlignment="1">
      <alignment horizontal="center"/>
    </xf>
    <xf numFmtId="164" fontId="94" fillId="3" borderId="0" xfId="11" applyNumberFormat="1" applyFont="1" applyFill="1" applyBorder="1" applyAlignment="1">
      <alignment horizontal="center"/>
    </xf>
    <xf numFmtId="1" fontId="94" fillId="0" borderId="0" xfId="0" applyNumberFormat="1" applyFont="1" applyFill="1" applyBorder="1" applyAlignment="1">
      <alignment horizontal="center"/>
    </xf>
    <xf numFmtId="1" fontId="94" fillId="0" borderId="53" xfId="0" applyNumberFormat="1" applyFont="1" applyFill="1" applyBorder="1" applyAlignment="1">
      <alignment horizontal="center"/>
    </xf>
    <xf numFmtId="0" fontId="108" fillId="63" borderId="0" xfId="0" applyFont="1" applyFill="1"/>
    <xf numFmtId="1" fontId="94" fillId="0" borderId="0" xfId="0" applyNumberFormat="1" applyFont="1" applyFill="1" applyBorder="1" applyAlignment="1">
      <alignment horizontal="left"/>
    </xf>
    <xf numFmtId="174" fontId="93" fillId="0" borderId="0" xfId="0" applyNumberFormat="1" applyFont="1" applyFill="1" applyBorder="1" applyAlignment="1">
      <alignment horizontal="center"/>
    </xf>
    <xf numFmtId="172" fontId="93" fillId="0" borderId="1" xfId="0" applyNumberFormat="1" applyFont="1" applyFill="1" applyBorder="1" applyAlignment="1">
      <alignment horizontal="center"/>
    </xf>
    <xf numFmtId="172" fontId="93" fillId="0" borderId="0" xfId="0" applyNumberFormat="1" applyFont="1" applyFill="1" applyBorder="1"/>
    <xf numFmtId="0" fontId="93" fillId="0" borderId="0" xfId="0" applyFont="1" applyFill="1" applyBorder="1" applyProtection="1">
      <protection hidden="1"/>
    </xf>
    <xf numFmtId="1" fontId="94" fillId="0" borderId="0" xfId="0" applyNumberFormat="1" applyFont="1" applyFill="1" applyBorder="1" applyAlignment="1" applyProtection="1">
      <alignment horizontal="center"/>
      <protection hidden="1"/>
    </xf>
    <xf numFmtId="172" fontId="93" fillId="0" borderId="0" xfId="0" applyNumberFormat="1" applyFont="1" applyFill="1" applyBorder="1" applyAlignment="1" applyProtection="1">
      <alignment horizontal="center"/>
      <protection hidden="1"/>
    </xf>
    <xf numFmtId="0" fontId="93" fillId="0" borderId="0" xfId="0" applyFont="1" applyProtection="1">
      <protection hidden="1"/>
    </xf>
    <xf numFmtId="0" fontId="93" fillId="0" borderId="0" xfId="0" applyFont="1" applyFill="1" applyProtection="1">
      <protection hidden="1"/>
    </xf>
    <xf numFmtId="172" fontId="93" fillId="0" borderId="0" xfId="0" applyNumberFormat="1" applyFont="1" applyBorder="1"/>
    <xf numFmtId="172" fontId="94" fillId="4" borderId="3" xfId="11" applyNumberFormat="1" applyFont="1" applyAlignment="1" applyProtection="1">
      <alignment horizontal="center"/>
      <protection locked="0"/>
    </xf>
    <xf numFmtId="165" fontId="94" fillId="4" borderId="3" xfId="11" applyNumberFormat="1" applyFont="1" applyAlignment="1" applyProtection="1">
      <alignment horizontal="center"/>
      <protection locked="0"/>
    </xf>
    <xf numFmtId="0" fontId="93" fillId="0" borderId="6" xfId="0" applyFont="1" applyBorder="1"/>
    <xf numFmtId="0" fontId="93" fillId="0" borderId="0" xfId="0" applyFont="1" applyFill="1" applyAlignment="1">
      <alignment horizontal="left"/>
    </xf>
    <xf numFmtId="165" fontId="93" fillId="0" borderId="0" xfId="0" applyNumberFormat="1" applyFont="1" applyBorder="1"/>
    <xf numFmtId="165" fontId="94" fillId="0" borderId="0" xfId="11" applyNumberFormat="1" applyFont="1" applyFill="1" applyBorder="1" applyAlignment="1">
      <alignment horizontal="center"/>
    </xf>
    <xf numFmtId="0" fontId="93" fillId="0" borderId="0" xfId="0" applyFont="1" applyFill="1" applyAlignment="1">
      <alignment wrapText="1"/>
    </xf>
    <xf numFmtId="164" fontId="93" fillId="4" borderId="3" xfId="11" applyNumberFormat="1" applyFont="1" applyAlignment="1" applyProtection="1">
      <alignment horizontal="center" wrapText="1"/>
      <protection locked="0"/>
    </xf>
    <xf numFmtId="0" fontId="93" fillId="0" borderId="0" xfId="0" applyFont="1" applyAlignment="1">
      <alignment wrapText="1"/>
    </xf>
    <xf numFmtId="0" fontId="93" fillId="3" borderId="4" xfId="0" applyFont="1" applyFill="1" applyBorder="1"/>
    <xf numFmtId="0" fontId="93" fillId="0" borderId="0" xfId="0" applyFont="1" applyAlignment="1">
      <alignment horizontal="center"/>
    </xf>
    <xf numFmtId="9" fontId="93" fillId="3" borderId="7" xfId="9" applyFont="1" applyFill="1" applyBorder="1" applyAlignment="1">
      <alignment horizontal="center"/>
    </xf>
    <xf numFmtId="165" fontId="94" fillId="3" borderId="0" xfId="0" applyNumberFormat="1" applyFont="1" applyFill="1" applyBorder="1" applyAlignment="1">
      <alignment horizontal="center" vertical="top"/>
    </xf>
    <xf numFmtId="0" fontId="93" fillId="3" borderId="10" xfId="0" applyFont="1" applyFill="1" applyBorder="1" applyAlignment="1">
      <alignment horizontal="center"/>
    </xf>
    <xf numFmtId="191" fontId="94" fillId="0" borderId="1" xfId="0" applyNumberFormat="1" applyFont="1" applyBorder="1" applyAlignment="1" applyProtection="1">
      <alignment horizontal="center"/>
    </xf>
    <xf numFmtId="0" fontId="94" fillId="0" borderId="56" xfId="0" applyFont="1" applyBorder="1" applyAlignment="1" applyProtection="1">
      <alignment horizontal="center"/>
    </xf>
    <xf numFmtId="174" fontId="93" fillId="0" borderId="0" xfId="0" applyNumberFormat="1" applyFont="1" applyFill="1" applyProtection="1"/>
    <xf numFmtId="172" fontId="93" fillId="0" borderId="0" xfId="0" applyNumberFormat="1" applyFont="1" applyFill="1" applyProtection="1"/>
    <xf numFmtId="191" fontId="94" fillId="0" borderId="19" xfId="0" applyNumberFormat="1" applyFont="1" applyBorder="1" applyAlignment="1" applyProtection="1">
      <alignment horizontal="center"/>
    </xf>
    <xf numFmtId="191" fontId="94" fillId="0" borderId="18" xfId="0" applyNumberFormat="1" applyFont="1" applyBorder="1" applyAlignment="1" applyProtection="1">
      <alignment horizontal="center"/>
    </xf>
    <xf numFmtId="0" fontId="94" fillId="0" borderId="19" xfId="0" quotePrefix="1" applyFont="1" applyBorder="1" applyAlignment="1" applyProtection="1">
      <alignment horizontal="center"/>
    </xf>
    <xf numFmtId="174" fontId="93" fillId="0" borderId="53" xfId="0" applyNumberFormat="1" applyFont="1" applyFill="1" applyBorder="1" applyProtection="1"/>
    <xf numFmtId="0" fontId="93" fillId="0" borderId="53" xfId="0" applyFont="1" applyFill="1" applyBorder="1" applyProtection="1"/>
    <xf numFmtId="0" fontId="113" fillId="66" borderId="0" xfId="0" applyFont="1" applyFill="1" applyProtection="1"/>
    <xf numFmtId="0" fontId="63" fillId="66" borderId="0" xfId="0" applyFont="1" applyFill="1" applyProtection="1"/>
    <xf numFmtId="0" fontId="63" fillId="7" borderId="0" xfId="0" applyFont="1" applyFill="1" applyProtection="1"/>
    <xf numFmtId="0" fontId="114" fillId="7" borderId="0" xfId="0" applyFont="1" applyFill="1" applyProtection="1"/>
    <xf numFmtId="0" fontId="93" fillId="0" borderId="1" xfId="0" applyFont="1" applyFill="1" applyBorder="1" applyProtection="1"/>
    <xf numFmtId="0" fontId="94" fillId="0" borderId="0" xfId="0" applyFont="1" applyBorder="1" applyProtection="1"/>
    <xf numFmtId="172" fontId="94" fillId="0" borderId="0" xfId="0" applyNumberFormat="1" applyFont="1" applyBorder="1" applyAlignment="1" applyProtection="1">
      <alignment horizontal="center"/>
    </xf>
    <xf numFmtId="0" fontId="94" fillId="0" borderId="0" xfId="0" applyFont="1" applyFill="1" applyAlignment="1">
      <alignment horizontal="right"/>
    </xf>
    <xf numFmtId="0" fontId="97" fillId="0" borderId="0" xfId="0" applyFont="1" applyFill="1" applyProtection="1"/>
    <xf numFmtId="0" fontId="94" fillId="0" borderId="0" xfId="8" applyFont="1" applyAlignment="1" applyProtection="1">
      <alignment horizontal="left"/>
    </xf>
    <xf numFmtId="0" fontId="96" fillId="0" borderId="27" xfId="8" applyFont="1" applyFill="1" applyBorder="1" applyAlignment="1" applyProtection="1">
      <alignment horizontal="center" wrapText="1"/>
    </xf>
    <xf numFmtId="44" fontId="97" fillId="0" borderId="27" xfId="6" applyFont="1" applyFill="1" applyBorder="1" applyAlignment="1" applyProtection="1">
      <alignment horizontal="center"/>
    </xf>
    <xf numFmtId="0" fontId="96" fillId="0" borderId="28" xfId="8" applyFont="1" applyFill="1" applyBorder="1" applyAlignment="1" applyProtection="1">
      <alignment horizontal="center" wrapText="1"/>
    </xf>
    <xf numFmtId="44" fontId="96" fillId="0" borderId="28" xfId="6" applyFont="1" applyFill="1" applyBorder="1" applyAlignment="1" applyProtection="1">
      <alignment horizontal="center"/>
    </xf>
    <xf numFmtId="0" fontId="115" fillId="0" borderId="0" xfId="0" applyFont="1" applyProtection="1"/>
    <xf numFmtId="44" fontId="97" fillId="0" borderId="101" xfId="8" applyNumberFormat="1" applyFont="1" applyFill="1" applyBorder="1" applyProtection="1"/>
    <xf numFmtId="44" fontId="97" fillId="0" borderId="56" xfId="8" applyNumberFormat="1" applyFont="1" applyFill="1" applyBorder="1" applyProtection="1"/>
    <xf numFmtId="44" fontId="97" fillId="0" borderId="72" xfId="8" applyNumberFormat="1" applyFont="1" applyFill="1" applyBorder="1" applyProtection="1"/>
    <xf numFmtId="44" fontId="97" fillId="0" borderId="102" xfId="8" applyNumberFormat="1" applyFont="1" applyFill="1" applyBorder="1" applyProtection="1"/>
    <xf numFmtId="173" fontId="97" fillId="0" borderId="102" xfId="8" applyNumberFormat="1" applyFont="1" applyBorder="1" applyProtection="1"/>
    <xf numFmtId="172" fontId="97" fillId="0" borderId="72" xfId="8" applyNumberFormat="1" applyFont="1" applyBorder="1" applyProtection="1"/>
    <xf numFmtId="172" fontId="97" fillId="0" borderId="102" xfId="8" applyNumberFormat="1" applyFont="1" applyBorder="1" applyProtection="1"/>
    <xf numFmtId="9" fontId="97" fillId="0" borderId="25" xfId="9" applyFont="1" applyFill="1" applyBorder="1" applyProtection="1"/>
    <xf numFmtId="38" fontId="97" fillId="0" borderId="24" xfId="6" applyNumberFormat="1" applyFont="1" applyFill="1" applyBorder="1" applyProtection="1"/>
    <xf numFmtId="9" fontId="97" fillId="0" borderId="21" xfId="9" applyFont="1" applyFill="1" applyBorder="1" applyProtection="1"/>
    <xf numFmtId="9" fontId="97" fillId="0" borderId="24" xfId="9" applyFont="1" applyFill="1" applyBorder="1" applyProtection="1"/>
    <xf numFmtId="0" fontId="106" fillId="0" borderId="0" xfId="8" applyFont="1" applyFill="1" applyProtection="1"/>
    <xf numFmtId="9" fontId="97" fillId="0" borderId="30" xfId="9" applyFont="1" applyBorder="1" applyProtection="1"/>
    <xf numFmtId="9" fontId="97" fillId="0" borderId="21" xfId="10" applyFont="1" applyBorder="1" applyProtection="1"/>
    <xf numFmtId="10" fontId="97" fillId="0" borderId="21" xfId="10" applyNumberFormat="1" applyFont="1" applyBorder="1" applyProtection="1"/>
    <xf numFmtId="44" fontId="97" fillId="0" borderId="22" xfId="8" applyNumberFormat="1" applyFont="1" applyFill="1" applyBorder="1" applyProtection="1"/>
    <xf numFmtId="10" fontId="97" fillId="0" borderId="22" xfId="9" applyNumberFormat="1" applyFont="1" applyBorder="1" applyProtection="1"/>
    <xf numFmtId="0" fontId="93" fillId="0" borderId="0" xfId="0" applyFont="1" applyFill="1" applyAlignment="1">
      <alignment horizontal="center" wrapText="1"/>
    </xf>
    <xf numFmtId="0" fontId="116" fillId="0" borderId="0" xfId="0" applyFont="1"/>
    <xf numFmtId="0" fontId="89" fillId="0" borderId="0" xfId="0" applyFont="1"/>
    <xf numFmtId="0" fontId="88" fillId="0" borderId="0" xfId="0" applyFont="1"/>
    <xf numFmtId="0" fontId="87" fillId="0" borderId="0" xfId="0" applyFont="1"/>
    <xf numFmtId="0" fontId="66" fillId="7" borderId="0" xfId="0" applyFont="1" applyFill="1"/>
    <xf numFmtId="0" fontId="16" fillId="7" borderId="0" xfId="0" applyFont="1" applyFill="1"/>
    <xf numFmtId="172" fontId="97" fillId="0" borderId="0" xfId="8" applyNumberFormat="1" applyFont="1" applyProtection="1"/>
    <xf numFmtId="0" fontId="110" fillId="0" borderId="5" xfId="0" applyFont="1" applyBorder="1" applyAlignment="1">
      <alignment horizontal="left"/>
    </xf>
    <xf numFmtId="174" fontId="94" fillId="0" borderId="6" xfId="0" applyNumberFormat="1" applyFont="1" applyBorder="1" applyAlignment="1">
      <alignment horizontal="center"/>
    </xf>
    <xf numFmtId="1" fontId="93" fillId="0" borderId="0" xfId="0" applyNumberFormat="1" applyFont="1" applyFill="1" applyBorder="1" applyAlignment="1">
      <alignment horizontal="left"/>
    </xf>
    <xf numFmtId="0" fontId="94" fillId="0" borderId="68" xfId="0" applyFont="1" applyBorder="1"/>
    <xf numFmtId="0" fontId="113" fillId="66" borderId="0" xfId="0" applyFont="1" applyFill="1"/>
    <xf numFmtId="0" fontId="63" fillId="7" borderId="0" xfId="0" applyFont="1" applyFill="1"/>
    <xf numFmtId="175" fontId="93" fillId="0" borderId="0" xfId="0" applyNumberFormat="1" applyFont="1" applyFill="1" applyBorder="1" applyAlignment="1">
      <alignment horizontal="center"/>
    </xf>
    <xf numFmtId="0" fontId="110" fillId="3" borderId="0" xfId="0" applyFont="1" applyFill="1" applyBorder="1"/>
    <xf numFmtId="1" fontId="93" fillId="0" borderId="103" xfId="0" applyNumberFormat="1" applyFont="1" applyFill="1" applyBorder="1" applyAlignment="1">
      <alignment horizontal="left"/>
    </xf>
    <xf numFmtId="172" fontId="93" fillId="0" borderId="53" xfId="0" applyNumberFormat="1" applyFont="1" applyBorder="1" applyAlignment="1">
      <alignment horizontal="center" vertical="top"/>
    </xf>
    <xf numFmtId="172" fontId="93" fillId="0" borderId="68" xfId="0" applyNumberFormat="1" applyFont="1" applyBorder="1" applyAlignment="1">
      <alignment horizontal="center" vertical="top"/>
    </xf>
    <xf numFmtId="174" fontId="93" fillId="0" borderId="53" xfId="0" applyNumberFormat="1" applyFont="1" applyBorder="1" applyAlignment="1">
      <alignment horizontal="center" vertical="top"/>
    </xf>
    <xf numFmtId="0" fontId="94" fillId="0" borderId="103" xfId="0" applyFont="1" applyFill="1" applyBorder="1" applyAlignment="1">
      <alignment horizontal="center"/>
    </xf>
    <xf numFmtId="0" fontId="94" fillId="0" borderId="104" xfId="0" applyFont="1" applyBorder="1"/>
    <xf numFmtId="0" fontId="94" fillId="0" borderId="104" xfId="0" applyFont="1" applyFill="1" applyBorder="1"/>
    <xf numFmtId="164" fontId="93" fillId="0" borderId="104" xfId="0" applyNumberFormat="1" applyFont="1" applyBorder="1" applyAlignment="1">
      <alignment horizontal="center" vertical="top"/>
    </xf>
    <xf numFmtId="174" fontId="110" fillId="0" borderId="0" xfId="0" applyNumberFormat="1" applyFont="1" applyAlignment="1">
      <alignment horizontal="center"/>
    </xf>
    <xf numFmtId="0" fontId="117" fillId="66" borderId="0" xfId="0" quotePrefix="1" applyFont="1" applyFill="1"/>
    <xf numFmtId="172" fontId="93" fillId="3" borderId="0" xfId="13330" applyNumberFormat="1" applyFont="1" applyFill="1" applyBorder="1" applyAlignment="1">
      <alignment horizontal="center" vertical="top"/>
    </xf>
    <xf numFmtId="0" fontId="94" fillId="0" borderId="107" xfId="0" applyFont="1" applyBorder="1"/>
    <xf numFmtId="0" fontId="93" fillId="0" borderId="103" xfId="0" applyFont="1" applyBorder="1"/>
    <xf numFmtId="0" fontId="93" fillId="0" borderId="105" xfId="0" applyFont="1" applyBorder="1"/>
    <xf numFmtId="0" fontId="94" fillId="0" borderId="19" xfId="0" applyFont="1" applyBorder="1" applyAlignment="1">
      <alignment horizontal="center"/>
    </xf>
    <xf numFmtId="0" fontId="106" fillId="0" borderId="0" xfId="0" applyFont="1" applyFill="1"/>
    <xf numFmtId="175" fontId="98" fillId="2" borderId="67" xfId="0" applyNumberFormat="1" applyFont="1" applyFill="1" applyBorder="1"/>
    <xf numFmtId="0" fontId="98" fillId="2" borderId="61" xfId="0" applyFont="1" applyFill="1" applyBorder="1" applyAlignment="1" applyProtection="1">
      <alignment horizontal="center" vertical="top"/>
      <protection locked="0"/>
    </xf>
    <xf numFmtId="0" fontId="98" fillId="2" borderId="62" xfId="0" applyFont="1" applyFill="1" applyBorder="1" applyAlignment="1" applyProtection="1">
      <alignment horizontal="center" vertical="top"/>
      <protection locked="0"/>
    </xf>
    <xf numFmtId="1" fontId="98" fillId="2" borderId="62" xfId="0" applyNumberFormat="1" applyFont="1" applyFill="1" applyBorder="1" applyAlignment="1" applyProtection="1">
      <alignment horizontal="center" vertical="top"/>
      <protection locked="0"/>
    </xf>
    <xf numFmtId="1" fontId="98" fillId="2" borderId="63" xfId="0" applyNumberFormat="1" applyFont="1" applyFill="1" applyBorder="1" applyAlignment="1" applyProtection="1">
      <alignment horizontal="center" vertical="top"/>
      <protection locked="0"/>
    </xf>
    <xf numFmtId="0" fontId="98" fillId="2" borderId="112" xfId="0" applyFont="1" applyFill="1" applyBorder="1" applyAlignment="1" applyProtection="1">
      <alignment horizontal="center" vertical="top"/>
      <protection locked="0"/>
    </xf>
    <xf numFmtId="172" fontId="94" fillId="3" borderId="103" xfId="0" applyNumberFormat="1" applyFont="1" applyFill="1" applyBorder="1" applyAlignment="1">
      <alignment horizontal="center"/>
    </xf>
    <xf numFmtId="9" fontId="93" fillId="0" borderId="0" xfId="9" applyFont="1" applyFill="1" applyBorder="1" applyAlignment="1">
      <alignment horizontal="center" vertical="top"/>
    </xf>
    <xf numFmtId="0" fontId="94" fillId="0" borderId="103" xfId="0" applyFont="1" applyBorder="1"/>
    <xf numFmtId="0" fontId="94" fillId="0" borderId="107" xfId="0" applyFont="1" applyBorder="1" applyAlignment="1">
      <alignment horizontal="center"/>
    </xf>
    <xf numFmtId="182" fontId="93" fillId="0" borderId="0" xfId="0" applyNumberFormat="1" applyFont="1" applyBorder="1" applyAlignment="1">
      <alignment horizontal="center" vertical="top"/>
    </xf>
    <xf numFmtId="182" fontId="94" fillId="0" borderId="103" xfId="0" applyNumberFormat="1" applyFont="1" applyBorder="1" applyAlignment="1">
      <alignment horizontal="center" vertical="top"/>
    </xf>
    <xf numFmtId="174" fontId="93" fillId="0" borderId="0" xfId="0" applyNumberFormat="1" applyFont="1" applyFill="1" applyBorder="1"/>
    <xf numFmtId="174" fontId="111" fillId="0" borderId="103" xfId="0" applyNumberFormat="1" applyFont="1" applyFill="1" applyBorder="1"/>
    <xf numFmtId="165" fontId="93" fillId="4" borderId="99" xfId="11" applyNumberFormat="1" applyFont="1" applyBorder="1" applyAlignment="1" applyProtection="1">
      <alignment horizontal="center" vertical="top"/>
      <protection locked="0"/>
    </xf>
    <xf numFmtId="1" fontId="93" fillId="0" borderId="0" xfId="0" applyNumberFormat="1" applyFont="1" applyFill="1" applyAlignment="1">
      <alignment horizontal="left"/>
    </xf>
    <xf numFmtId="1" fontId="93" fillId="0" borderId="53" xfId="0" applyNumberFormat="1" applyFont="1" applyFill="1" applyBorder="1" applyAlignment="1">
      <alignment horizontal="left"/>
    </xf>
    <xf numFmtId="1" fontId="109" fillId="0" borderId="0" xfId="0" applyNumberFormat="1" applyFont="1" applyFill="1" applyBorder="1" applyAlignment="1">
      <alignment horizontal="left"/>
    </xf>
    <xf numFmtId="1" fontId="93" fillId="0" borderId="68" xfId="0" applyNumberFormat="1" applyFont="1" applyFill="1" applyBorder="1" applyAlignment="1">
      <alignment horizontal="left"/>
    </xf>
    <xf numFmtId="177" fontId="93" fillId="0" borderId="53" xfId="0" applyNumberFormat="1" applyFont="1" applyFill="1" applyBorder="1" applyAlignment="1">
      <alignment horizontal="left"/>
    </xf>
    <xf numFmtId="1" fontId="94" fillId="0" borderId="53" xfId="0" applyNumberFormat="1" applyFont="1" applyFill="1" applyBorder="1" applyAlignment="1">
      <alignment horizontal="left"/>
    </xf>
    <xf numFmtId="172" fontId="93" fillId="0" borderId="104" xfId="0" applyNumberFormat="1" applyFont="1" applyFill="1" applyBorder="1" applyAlignment="1">
      <alignment horizontal="center"/>
    </xf>
    <xf numFmtId="3" fontId="93" fillId="0" borderId="103" xfId="0" applyNumberFormat="1" applyFont="1" applyBorder="1" applyAlignment="1">
      <alignment horizontal="center" vertical="top"/>
    </xf>
    <xf numFmtId="165" fontId="105" fillId="4" borderId="3" xfId="11" applyNumberFormat="1" applyFont="1" applyAlignment="1" applyProtection="1">
      <alignment horizontal="center"/>
      <protection locked="0"/>
    </xf>
    <xf numFmtId="0" fontId="94" fillId="0" borderId="103" xfId="0" applyFont="1" applyFill="1" applyBorder="1"/>
    <xf numFmtId="1" fontId="94" fillId="0" borderId="103" xfId="0" applyNumberFormat="1" applyFont="1" applyFill="1" applyBorder="1" applyAlignment="1">
      <alignment horizontal="center"/>
    </xf>
    <xf numFmtId="172" fontId="93" fillId="0" borderId="103" xfId="0" applyNumberFormat="1" applyFont="1" applyFill="1" applyBorder="1" applyAlignment="1">
      <alignment horizontal="center"/>
    </xf>
    <xf numFmtId="172" fontId="94" fillId="0" borderId="103" xfId="0" applyNumberFormat="1" applyFont="1" applyFill="1" applyBorder="1" applyAlignment="1">
      <alignment horizontal="center"/>
    </xf>
    <xf numFmtId="174" fontId="93" fillId="0" borderId="0" xfId="0" applyNumberFormat="1" applyFont="1"/>
    <xf numFmtId="174" fontId="93" fillId="0" borderId="0" xfId="0" applyNumberFormat="1" applyFont="1" applyAlignment="1">
      <alignment horizontal="center" vertical="top"/>
    </xf>
    <xf numFmtId="174" fontId="108" fillId="0" borderId="103" xfId="0" applyNumberFormat="1" applyFont="1" applyFill="1" applyBorder="1"/>
    <xf numFmtId="0" fontId="98" fillId="2" borderId="67" xfId="0" applyFont="1" applyFill="1" applyBorder="1" applyProtection="1"/>
    <xf numFmtId="0" fontId="98" fillId="2" borderId="67" xfId="0" applyFont="1" applyFill="1" applyBorder="1" applyAlignment="1">
      <alignment vertical="center"/>
    </xf>
    <xf numFmtId="0" fontId="93" fillId="0" borderId="18" xfId="0" applyFont="1" applyBorder="1" applyProtection="1"/>
    <xf numFmtId="0" fontId="118" fillId="0" borderId="0" xfId="0" applyFont="1" applyAlignment="1" applyProtection="1">
      <alignment horizontal="center"/>
    </xf>
    <xf numFmtId="174" fontId="94" fillId="0" borderId="6" xfId="0" applyNumberFormat="1" applyFont="1" applyFill="1" applyBorder="1" applyAlignment="1">
      <alignment horizontal="right"/>
    </xf>
    <xf numFmtId="174" fontId="93" fillId="0" borderId="0" xfId="0" applyNumberFormat="1" applyFont="1" applyFill="1" applyAlignment="1">
      <alignment horizontal="right"/>
    </xf>
    <xf numFmtId="174" fontId="108" fillId="63" borderId="0" xfId="0" applyNumberFormat="1" applyFont="1" applyFill="1" applyAlignment="1">
      <alignment horizontal="right"/>
    </xf>
    <xf numFmtId="174" fontId="93" fillId="0" borderId="0" xfId="0" applyNumberFormat="1" applyFont="1" applyFill="1" applyAlignment="1" applyProtection="1">
      <alignment horizontal="right"/>
      <protection hidden="1"/>
    </xf>
    <xf numFmtId="174" fontId="94" fillId="0" borderId="0" xfId="0" applyNumberFormat="1" applyFont="1" applyFill="1" applyBorder="1" applyAlignment="1" applyProtection="1">
      <alignment horizontal="right"/>
      <protection hidden="1"/>
    </xf>
    <xf numFmtId="174" fontId="93" fillId="0" borderId="0" xfId="0" applyNumberFormat="1" applyFont="1" applyFill="1" applyBorder="1" applyAlignment="1" applyProtection="1">
      <alignment horizontal="right"/>
      <protection hidden="1"/>
    </xf>
    <xf numFmtId="174" fontId="94" fillId="0" borderId="0" xfId="0" applyNumberFormat="1" applyFont="1" applyBorder="1" applyAlignment="1">
      <alignment horizontal="right"/>
    </xf>
    <xf numFmtId="174" fontId="94" fillId="0" borderId="0" xfId="0" applyNumberFormat="1" applyFont="1" applyFill="1" applyBorder="1" applyAlignment="1">
      <alignment horizontal="right"/>
    </xf>
    <xf numFmtId="174" fontId="93" fillId="0" borderId="0" xfId="0" applyNumberFormat="1" applyFont="1" applyFill="1" applyBorder="1" applyAlignment="1">
      <alignment horizontal="right"/>
    </xf>
    <xf numFmtId="174" fontId="93" fillId="0" borderId="0" xfId="0" applyNumberFormat="1" applyFont="1" applyBorder="1" applyAlignment="1">
      <alignment horizontal="right"/>
    </xf>
    <xf numFmtId="174" fontId="94" fillId="0" borderId="53" xfId="0" applyNumberFormat="1" applyFont="1" applyBorder="1" applyAlignment="1">
      <alignment horizontal="right"/>
    </xf>
    <xf numFmtId="174" fontId="109" fillId="0" borderId="0" xfId="0" applyNumberFormat="1" applyFont="1" applyAlignment="1">
      <alignment horizontal="right"/>
    </xf>
    <xf numFmtId="174" fontId="93" fillId="0" borderId="0" xfId="0" applyNumberFormat="1" applyFont="1" applyAlignment="1">
      <alignment horizontal="right"/>
    </xf>
    <xf numFmtId="174" fontId="105" fillId="4" borderId="3" xfId="11" applyNumberFormat="1" applyFont="1" applyAlignment="1" applyProtection="1">
      <alignment horizontal="right"/>
      <protection locked="0"/>
    </xf>
    <xf numFmtId="174" fontId="94" fillId="4" borderId="3" xfId="11" applyNumberFormat="1" applyFont="1" applyAlignment="1" applyProtection="1">
      <alignment horizontal="right"/>
      <protection locked="0"/>
    </xf>
    <xf numFmtId="174" fontId="94" fillId="0" borderId="6" xfId="0" applyNumberFormat="1" applyFont="1" applyBorder="1" applyAlignment="1">
      <alignment horizontal="right"/>
    </xf>
    <xf numFmtId="174" fontId="93" fillId="0" borderId="6" xfId="0" applyNumberFormat="1" applyFont="1" applyBorder="1" applyAlignment="1">
      <alignment horizontal="right"/>
    </xf>
    <xf numFmtId="174" fontId="94" fillId="0" borderId="0" xfId="0" applyNumberFormat="1" applyFont="1" applyAlignment="1">
      <alignment horizontal="right"/>
    </xf>
    <xf numFmtId="174" fontId="109" fillId="0" borderId="0" xfId="0" applyNumberFormat="1" applyFont="1" applyBorder="1" applyAlignment="1">
      <alignment horizontal="right"/>
    </xf>
    <xf numFmtId="174" fontId="94" fillId="0" borderId="0" xfId="11" applyNumberFormat="1" applyFont="1" applyFill="1" applyBorder="1" applyAlignment="1">
      <alignment horizontal="right"/>
    </xf>
    <xf numFmtId="174" fontId="93" fillId="3" borderId="7" xfId="0" applyNumberFormat="1" applyFont="1" applyFill="1" applyBorder="1" applyAlignment="1">
      <alignment horizontal="right"/>
    </xf>
    <xf numFmtId="174" fontId="93" fillId="3" borderId="0" xfId="0" applyNumberFormat="1" applyFont="1" applyFill="1" applyBorder="1" applyAlignment="1">
      <alignment horizontal="right"/>
    </xf>
    <xf numFmtId="174" fontId="93" fillId="3" borderId="10" xfId="0" applyNumberFormat="1" applyFont="1" applyFill="1" applyBorder="1" applyAlignment="1">
      <alignment horizontal="right"/>
    </xf>
    <xf numFmtId="174" fontId="93" fillId="0" borderId="1" xfId="0" applyNumberFormat="1" applyFont="1" applyBorder="1" applyAlignment="1">
      <alignment horizontal="right"/>
    </xf>
    <xf numFmtId="174" fontId="93" fillId="3" borderId="7" xfId="9" applyNumberFormat="1" applyFont="1" applyFill="1" applyBorder="1" applyAlignment="1">
      <alignment horizontal="right"/>
    </xf>
    <xf numFmtId="174" fontId="94" fillId="3" borderId="0" xfId="0" applyNumberFormat="1" applyFont="1" applyFill="1" applyBorder="1" applyAlignment="1">
      <alignment horizontal="right" vertical="top"/>
    </xf>
    <xf numFmtId="172" fontId="93" fillId="0" borderId="0" xfId="0" applyNumberFormat="1" applyFont="1" applyFill="1" applyBorder="1" applyAlignment="1">
      <alignment horizontal="right"/>
    </xf>
    <xf numFmtId="172" fontId="93" fillId="0" borderId="1" xfId="0" applyNumberFormat="1" applyFont="1" applyFill="1" applyBorder="1" applyAlignment="1">
      <alignment horizontal="right"/>
    </xf>
    <xf numFmtId="172" fontId="93" fillId="0" borderId="53" xfId="0" applyNumberFormat="1" applyFont="1" applyFill="1" applyBorder="1" applyAlignment="1">
      <alignment horizontal="right"/>
    </xf>
    <xf numFmtId="0" fontId="94" fillId="0" borderId="0" xfId="0" applyFont="1" applyFill="1" applyBorder="1"/>
    <xf numFmtId="175" fontId="93" fillId="0" borderId="0" xfId="0" applyNumberFormat="1" applyFont="1" applyFill="1" applyBorder="1" applyAlignment="1">
      <alignment horizontal="center" vertical="top"/>
    </xf>
    <xf numFmtId="175" fontId="93" fillId="0" borderId="0" xfId="0" applyNumberFormat="1" applyFont="1" applyFill="1" applyAlignment="1">
      <alignment horizontal="center" vertical="top"/>
    </xf>
    <xf numFmtId="174" fontId="93" fillId="0" borderId="3" xfId="11" applyNumberFormat="1" applyFont="1" applyFill="1" applyAlignment="1" applyProtection="1">
      <alignment horizontal="right"/>
      <protection locked="0"/>
    </xf>
    <xf numFmtId="172" fontId="94" fillId="0" borderId="0" xfId="0" applyNumberFormat="1" applyFont="1" applyFill="1" applyAlignment="1">
      <alignment horizontal="center"/>
    </xf>
    <xf numFmtId="180" fontId="94" fillId="0" borderId="0" xfId="0" applyNumberFormat="1" applyFont="1" applyFill="1" applyAlignment="1">
      <alignment horizontal="center"/>
    </xf>
    <xf numFmtId="6" fontId="93" fillId="0" borderId="0" xfId="0" applyNumberFormat="1" applyFont="1" applyFill="1" applyAlignment="1">
      <alignment horizontal="center"/>
    </xf>
    <xf numFmtId="0" fontId="98" fillId="0" borderId="0" xfId="0" applyFont="1" applyFill="1" applyBorder="1"/>
    <xf numFmtId="172" fontId="93" fillId="0" borderId="0" xfId="0" applyNumberFormat="1" applyFont="1" applyFill="1" applyBorder="1" applyAlignment="1" applyProtection="1">
      <alignment horizontal="center" vertical="top"/>
      <protection locked="0"/>
    </xf>
    <xf numFmtId="188" fontId="93" fillId="0" borderId="0" xfId="7" applyNumberFormat="1" applyFont="1" applyFill="1" applyBorder="1" applyAlignment="1" applyProtection="1">
      <alignment horizontal="center" wrapText="1"/>
    </xf>
    <xf numFmtId="0" fontId="93" fillId="0" borderId="0" xfId="7" applyFont="1" applyFill="1" applyBorder="1" applyAlignment="1" applyProtection="1">
      <alignment horizontal="left" wrapText="1"/>
    </xf>
    <xf numFmtId="0" fontId="94" fillId="0" borderId="1" xfId="0" applyFont="1" applyFill="1" applyBorder="1"/>
    <xf numFmtId="0" fontId="93" fillId="0" borderId="67" xfId="0" applyFont="1" applyBorder="1"/>
    <xf numFmtId="9" fontId="94" fillId="2" borderId="126" xfId="9" applyFont="1" applyFill="1" applyBorder="1" applyAlignment="1" applyProtection="1">
      <alignment horizontal="center" vertical="top"/>
      <protection locked="0"/>
    </xf>
    <xf numFmtId="172" fontId="94" fillId="2" borderId="126" xfId="9" applyNumberFormat="1" applyFont="1" applyFill="1" applyBorder="1" applyAlignment="1" applyProtection="1">
      <alignment horizontal="center" vertical="top"/>
      <protection locked="0"/>
    </xf>
    <xf numFmtId="0" fontId="105" fillId="0" borderId="0" xfId="0" applyFont="1" applyFill="1" applyBorder="1" applyAlignment="1">
      <alignment horizontal="left"/>
    </xf>
    <xf numFmtId="188" fontId="98" fillId="0" borderId="0" xfId="7" applyNumberFormat="1" applyFont="1" applyFill="1" applyBorder="1" applyAlignment="1" applyProtection="1">
      <alignment horizontal="center" wrapText="1"/>
    </xf>
    <xf numFmtId="0" fontId="98" fillId="0" borderId="0" xfId="7" applyFont="1" applyFill="1" applyBorder="1" applyAlignment="1" applyProtection="1">
      <alignment horizontal="left" wrapText="1"/>
    </xf>
    <xf numFmtId="0" fontId="98" fillId="0" borderId="0" xfId="0" applyFont="1" applyFill="1" applyBorder="1" applyAlignment="1">
      <alignment horizontal="left"/>
    </xf>
    <xf numFmtId="0" fontId="93" fillId="3" borderId="103" xfId="0" applyFont="1" applyFill="1" applyBorder="1"/>
    <xf numFmtId="172" fontId="93" fillId="3" borderId="103" xfId="0" applyNumberFormat="1" applyFont="1" applyFill="1" applyBorder="1"/>
    <xf numFmtId="174" fontId="97" fillId="0" borderId="0" xfId="8" applyNumberFormat="1" applyFont="1" applyFill="1" applyProtection="1"/>
    <xf numFmtId="172" fontId="97" fillId="0" borderId="0" xfId="8" applyNumberFormat="1" applyFont="1" applyFill="1" applyProtection="1"/>
    <xf numFmtId="172" fontId="93" fillId="0" borderId="0" xfId="0" quotePrefix="1" applyNumberFormat="1" applyFont="1" applyFill="1"/>
    <xf numFmtId="172" fontId="93" fillId="0" borderId="0" xfId="0" applyNumberFormat="1" applyFont="1" applyFill="1"/>
    <xf numFmtId="174" fontId="93" fillId="0" borderId="0" xfId="0" applyNumberFormat="1" applyFont="1" applyFill="1"/>
    <xf numFmtId="1" fontId="98" fillId="4" borderId="3" xfId="11" applyNumberFormat="1" applyFont="1" applyAlignment="1" applyProtection="1">
      <alignment horizontal="center"/>
      <protection locked="0"/>
    </xf>
    <xf numFmtId="174" fontId="98" fillId="4" borderId="3" xfId="11" applyNumberFormat="1" applyFont="1" applyAlignment="1" applyProtection="1">
      <alignment horizontal="center"/>
      <protection locked="0"/>
    </xf>
    <xf numFmtId="1" fontId="98" fillId="0" borderId="0" xfId="0" applyNumberFormat="1" applyFont="1" applyFill="1" applyBorder="1" applyAlignment="1">
      <alignment horizontal="center"/>
    </xf>
    <xf numFmtId="0" fontId="98" fillId="0" borderId="0" xfId="0" applyFont="1" applyFill="1" applyBorder="1" applyAlignment="1">
      <alignment horizontal="center"/>
    </xf>
    <xf numFmtId="0" fontId="98" fillId="0" borderId="0" xfId="0" applyFont="1" applyFill="1"/>
    <xf numFmtId="174" fontId="98" fillId="0" borderId="0" xfId="0" applyNumberFormat="1" applyFont="1" applyFill="1" applyBorder="1" applyAlignment="1">
      <alignment horizontal="center"/>
    </xf>
    <xf numFmtId="0" fontId="98" fillId="4" borderId="3" xfId="11" applyFont="1" applyAlignment="1" applyProtection="1">
      <protection locked="0"/>
    </xf>
    <xf numFmtId="1" fontId="98" fillId="2" borderId="3" xfId="0" applyNumberFormat="1" applyFont="1" applyFill="1" applyBorder="1" applyAlignment="1" applyProtection="1">
      <alignment horizontal="center"/>
      <protection locked="0"/>
    </xf>
    <xf numFmtId="165" fontId="98" fillId="4" borderId="3" xfId="11" applyNumberFormat="1" applyFont="1" applyBorder="1" applyAlignment="1" applyProtection="1">
      <alignment horizontal="center" vertical="top"/>
      <protection locked="0"/>
    </xf>
    <xf numFmtId="10" fontId="98" fillId="4" borderId="3" xfId="11" applyNumberFormat="1" applyFont="1" applyBorder="1" applyAlignment="1" applyProtection="1">
      <alignment horizontal="center" vertical="top"/>
      <protection locked="0"/>
    </xf>
    <xf numFmtId="9" fontId="98" fillId="4" borderId="3" xfId="11" applyNumberFormat="1" applyFont="1" applyBorder="1" applyAlignment="1" applyProtection="1">
      <alignment horizontal="center" vertical="top"/>
      <protection locked="0"/>
    </xf>
    <xf numFmtId="165" fontId="98" fillId="2" borderId="3" xfId="11" applyNumberFormat="1" applyFont="1" applyFill="1" applyAlignment="1" applyProtection="1">
      <alignment horizontal="center" vertical="top"/>
    </xf>
    <xf numFmtId="165" fontId="98" fillId="4" borderId="3" xfId="11" applyNumberFormat="1" applyFont="1" applyAlignment="1" applyProtection="1">
      <alignment horizontal="center" vertical="top"/>
      <protection locked="0"/>
    </xf>
    <xf numFmtId="164" fontId="98" fillId="4" borderId="3" xfId="11" applyNumberFormat="1" applyFont="1" applyFill="1" applyAlignment="1" applyProtection="1">
      <alignment horizontal="center" vertical="top"/>
      <protection locked="0"/>
    </xf>
    <xf numFmtId="2" fontId="98" fillId="4" borderId="3" xfId="11" applyNumberFormat="1" applyFont="1" applyAlignment="1" applyProtection="1">
      <alignment horizontal="center" vertical="top"/>
      <protection locked="0"/>
    </xf>
    <xf numFmtId="172" fontId="98" fillId="4" borderId="99" xfId="11" applyNumberFormat="1" applyFont="1" applyBorder="1" applyAlignment="1" applyProtection="1">
      <alignment horizontal="center"/>
      <protection locked="0"/>
    </xf>
    <xf numFmtId="172" fontId="98" fillId="4" borderId="99" xfId="11" applyNumberFormat="1" applyFont="1" applyBorder="1" applyAlignment="1" applyProtection="1">
      <alignment horizontal="center" vertical="top"/>
      <protection locked="0"/>
    </xf>
    <xf numFmtId="182" fontId="98" fillId="4" borderId="99" xfId="11" applyNumberFormat="1" applyFont="1" applyBorder="1" applyAlignment="1" applyProtection="1">
      <alignment horizontal="center" vertical="top"/>
      <protection locked="0"/>
    </xf>
    <xf numFmtId="0" fontId="98" fillId="4" borderId="99" xfId="11" applyFont="1" applyBorder="1" applyAlignment="1" applyProtection="1">
      <protection locked="0"/>
    </xf>
    <xf numFmtId="1" fontId="98" fillId="4" borderId="99" xfId="11" applyNumberFormat="1" applyFont="1" applyBorder="1" applyAlignment="1" applyProtection="1">
      <alignment horizontal="center"/>
      <protection locked="0"/>
    </xf>
    <xf numFmtId="0" fontId="98" fillId="4" borderId="99" xfId="11" applyFont="1" applyBorder="1" applyAlignment="1"/>
    <xf numFmtId="1" fontId="98" fillId="4" borderId="99" xfId="11" applyNumberFormat="1" applyFont="1" applyBorder="1" applyAlignment="1">
      <alignment horizontal="center"/>
    </xf>
    <xf numFmtId="0" fontId="93" fillId="0" borderId="1" xfId="0" applyFont="1" applyFill="1" applyBorder="1" applyAlignment="1">
      <alignment horizontal="center" wrapText="1"/>
    </xf>
    <xf numFmtId="172" fontId="96" fillId="0" borderId="26" xfId="8" applyNumberFormat="1" applyFont="1" applyBorder="1" applyProtection="1"/>
    <xf numFmtId="0" fontId="96" fillId="0" borderId="28" xfId="8" quotePrefix="1" applyFont="1" applyBorder="1" applyAlignment="1" applyProtection="1">
      <alignment horizontal="center" wrapText="1"/>
    </xf>
    <xf numFmtId="176" fontId="94" fillId="0" borderId="0" xfId="0" applyNumberFormat="1" applyFont="1" applyAlignment="1" applyProtection="1">
      <alignment horizontal="center"/>
    </xf>
    <xf numFmtId="174" fontId="97" fillId="0" borderId="0" xfId="8" applyNumberFormat="1" applyFont="1" applyProtection="1"/>
    <xf numFmtId="174" fontId="96" fillId="0" borderId="94" xfId="8" applyNumberFormat="1" applyFont="1" applyBorder="1" applyProtection="1"/>
    <xf numFmtId="174" fontId="93" fillId="0" borderId="53" xfId="0" applyNumberFormat="1" applyFont="1" applyFill="1" applyBorder="1" applyAlignment="1">
      <alignment horizontal="center" vertical="top"/>
    </xf>
    <xf numFmtId="0" fontId="94" fillId="0" borderId="1" xfId="0" applyFont="1" applyBorder="1"/>
    <xf numFmtId="183" fontId="98" fillId="2" borderId="82" xfId="0" applyNumberFormat="1" applyFont="1" applyFill="1" applyBorder="1" applyProtection="1">
      <protection locked="0"/>
    </xf>
    <xf numFmtId="5" fontId="98" fillId="2" borderId="82" xfId="13118" applyNumberFormat="1" applyFont="1" applyFill="1" applyBorder="1" applyProtection="1">
      <protection locked="0"/>
    </xf>
    <xf numFmtId="183" fontId="98" fillId="2" borderId="73" xfId="0" applyNumberFormat="1" applyFont="1" applyFill="1" applyBorder="1" applyProtection="1">
      <protection locked="0"/>
    </xf>
    <xf numFmtId="5" fontId="98" fillId="2" borderId="73" xfId="13118" applyNumberFormat="1" applyFont="1" applyFill="1" applyBorder="1" applyProtection="1">
      <protection locked="0"/>
    </xf>
    <xf numFmtId="172" fontId="98" fillId="2" borderId="99" xfId="0" applyNumberFormat="1" applyFont="1" applyFill="1" applyBorder="1" applyAlignment="1" applyProtection="1">
      <alignment horizontal="center" vertical="top"/>
      <protection locked="0"/>
    </xf>
    <xf numFmtId="9" fontId="105" fillId="2" borderId="62" xfId="9" applyFont="1" applyFill="1" applyBorder="1" applyAlignment="1" applyProtection="1">
      <alignment horizontal="center" vertical="top"/>
      <protection locked="0"/>
    </xf>
    <xf numFmtId="9" fontId="105" fillId="2" borderId="3" xfId="9" applyFont="1" applyFill="1" applyBorder="1" applyAlignment="1" applyProtection="1">
      <alignment horizontal="center" vertical="top"/>
      <protection locked="0"/>
    </xf>
    <xf numFmtId="9" fontId="105" fillId="2" borderId="126" xfId="9" applyFont="1" applyFill="1" applyBorder="1" applyAlignment="1" applyProtection="1">
      <alignment horizontal="center" vertical="top"/>
      <protection locked="0"/>
    </xf>
    <xf numFmtId="9" fontId="105" fillId="2" borderId="113" xfId="9" applyFont="1" applyFill="1" applyBorder="1" applyAlignment="1" applyProtection="1">
      <alignment horizontal="center" vertical="top"/>
      <protection locked="0"/>
    </xf>
    <xf numFmtId="172" fontId="105" fillId="2" borderId="126" xfId="9" applyNumberFormat="1" applyFont="1" applyFill="1" applyBorder="1" applyAlignment="1" applyProtection="1">
      <alignment horizontal="center" vertical="top"/>
      <protection locked="0"/>
    </xf>
    <xf numFmtId="172" fontId="105" fillId="2" borderId="113" xfId="9" applyNumberFormat="1" applyFont="1" applyFill="1" applyBorder="1" applyAlignment="1" applyProtection="1">
      <alignment horizontal="center" vertical="top"/>
      <protection locked="0"/>
    </xf>
    <xf numFmtId="193" fontId="93" fillId="0" borderId="0" xfId="0" applyNumberFormat="1" applyFont="1" applyFill="1" applyBorder="1" applyAlignment="1">
      <alignment horizontal="left"/>
    </xf>
    <xf numFmtId="172" fontId="96" fillId="0" borderId="128" xfId="8" applyNumberFormat="1" applyFont="1" applyBorder="1"/>
    <xf numFmtId="172" fontId="97" fillId="0" borderId="6" xfId="8" applyNumberFormat="1" applyFont="1" applyBorder="1"/>
    <xf numFmtId="172" fontId="119" fillId="0" borderId="130" xfId="8" applyNumberFormat="1" applyFont="1" applyBorder="1"/>
    <xf numFmtId="0" fontId="104" fillId="0" borderId="131" xfId="33111" applyFont="1" applyFill="1" applyBorder="1" applyAlignment="1">
      <alignment horizontal="center" vertical="center" wrapText="1"/>
    </xf>
    <xf numFmtId="0" fontId="104" fillId="0" borderId="132" xfId="33111" applyFont="1" applyFill="1" applyBorder="1" applyAlignment="1">
      <alignment horizontal="center" vertical="center" wrapText="1"/>
    </xf>
    <xf numFmtId="0" fontId="104" fillId="0" borderId="133" xfId="33111" applyFont="1" applyFill="1" applyBorder="1" applyAlignment="1">
      <alignment horizontal="center" vertical="center" wrapText="1"/>
    </xf>
    <xf numFmtId="0" fontId="120" fillId="0" borderId="133" xfId="33111" applyFont="1" applyFill="1" applyBorder="1" applyAlignment="1">
      <alignment horizontal="center" vertical="center" wrapText="1"/>
    </xf>
    <xf numFmtId="0" fontId="104" fillId="0" borderId="128" xfId="33111" applyFont="1" applyFill="1" applyBorder="1" applyAlignment="1">
      <alignment horizontal="left"/>
    </xf>
    <xf numFmtId="0" fontId="104" fillId="0" borderId="6" xfId="33111" applyFont="1" applyFill="1" applyBorder="1" applyAlignment="1"/>
    <xf numFmtId="0" fontId="104" fillId="0" borderId="129" xfId="33111" applyFont="1" applyFill="1" applyBorder="1" applyAlignment="1"/>
    <xf numFmtId="172" fontId="98" fillId="4" borderId="99" xfId="11" applyNumberFormat="1" applyFont="1" applyBorder="1" applyAlignment="1" applyProtection="1">
      <alignment horizontal="right"/>
      <protection locked="0"/>
    </xf>
    <xf numFmtId="172" fontId="98" fillId="4" borderId="99" xfId="11" applyNumberFormat="1" applyFont="1" applyBorder="1" applyAlignment="1">
      <alignment horizontal="right"/>
    </xf>
    <xf numFmtId="172" fontId="98" fillId="4" borderId="3" xfId="11" applyNumberFormat="1" applyFont="1" applyAlignment="1" applyProtection="1">
      <alignment horizontal="right"/>
      <protection locked="0"/>
    </xf>
    <xf numFmtId="0" fontId="93" fillId="0" borderId="0" xfId="0" applyFont="1" applyAlignment="1">
      <alignment horizontal="left"/>
    </xf>
    <xf numFmtId="0" fontId="94" fillId="0" borderId="115" xfId="0" applyFont="1" applyFill="1" applyBorder="1" applyAlignment="1" applyProtection="1">
      <alignment horizontal="center"/>
    </xf>
    <xf numFmtId="0" fontId="94" fillId="0" borderId="22" xfId="0" applyFont="1" applyFill="1" applyBorder="1" applyAlignment="1" applyProtection="1">
      <alignment horizontal="center"/>
    </xf>
    <xf numFmtId="174" fontId="93" fillId="0" borderId="0" xfId="0" applyNumberFormat="1" applyFont="1" applyAlignment="1" applyProtection="1">
      <alignment horizontal="right" wrapText="1"/>
    </xf>
    <xf numFmtId="172" fontId="93" fillId="0" borderId="0" xfId="0" applyNumberFormat="1" applyFont="1" applyAlignment="1" applyProtection="1">
      <alignment horizontal="right" wrapText="1"/>
    </xf>
    <xf numFmtId="172" fontId="94" fillId="7" borderId="53" xfId="0" applyNumberFormat="1" applyFont="1" applyFill="1" applyBorder="1" applyAlignment="1" applyProtection="1">
      <alignment horizontal="center"/>
    </xf>
    <xf numFmtId="172" fontId="94" fillId="7" borderId="0" xfId="0" applyNumberFormat="1" applyFont="1" applyFill="1" applyBorder="1" applyAlignment="1" applyProtection="1">
      <alignment horizontal="center"/>
    </xf>
    <xf numFmtId="0" fontId="94" fillId="0" borderId="1" xfId="0" applyFont="1" applyBorder="1"/>
    <xf numFmtId="0" fontId="0" fillId="0" borderId="0" xfId="0" applyAlignment="1">
      <alignment horizontal="center"/>
    </xf>
    <xf numFmtId="172" fontId="93" fillId="3" borderId="0" xfId="0" applyNumberFormat="1" applyFont="1" applyFill="1" applyBorder="1"/>
    <xf numFmtId="0" fontId="94" fillId="0" borderId="0" xfId="0" applyFont="1" applyBorder="1" applyAlignment="1">
      <alignment horizontal="left" indent="1"/>
    </xf>
    <xf numFmtId="172" fontId="91" fillId="0" borderId="93" xfId="0" applyNumberFormat="1" applyFont="1" applyFill="1" applyBorder="1" applyAlignment="1">
      <alignment horizontal="center"/>
    </xf>
    <xf numFmtId="172" fontId="91" fillId="0" borderId="116" xfId="0" applyNumberFormat="1" applyFont="1" applyFill="1" applyBorder="1" applyAlignment="1">
      <alignment horizontal="center"/>
    </xf>
    <xf numFmtId="0" fontId="94" fillId="64" borderId="1" xfId="0" applyFont="1" applyFill="1" applyBorder="1"/>
    <xf numFmtId="0" fontId="108" fillId="0" borderId="0" xfId="6628" applyFont="1" applyFill="1"/>
    <xf numFmtId="0" fontId="93" fillId="0" borderId="107" xfId="0" applyFont="1" applyBorder="1" applyProtection="1"/>
    <xf numFmtId="0" fontId="94" fillId="0" borderId="103" xfId="0" applyFont="1" applyBorder="1" applyAlignment="1" applyProtection="1">
      <alignment horizontal="center"/>
    </xf>
    <xf numFmtId="0" fontId="93" fillId="0" borderId="103" xfId="0" applyFont="1" applyBorder="1" applyProtection="1"/>
    <xf numFmtId="191" fontId="94" fillId="0" borderId="116" xfId="0" applyNumberFormat="1" applyFont="1" applyBorder="1" applyAlignment="1" applyProtection="1">
      <alignment horizontal="center"/>
    </xf>
    <xf numFmtId="0" fontId="93" fillId="0" borderId="103" xfId="0" applyFont="1" applyFill="1" applyBorder="1" applyProtection="1"/>
    <xf numFmtId="192" fontId="94" fillId="0" borderId="116" xfId="0" applyNumberFormat="1" applyFont="1" applyBorder="1" applyAlignment="1" applyProtection="1">
      <alignment horizontal="center"/>
    </xf>
    <xf numFmtId="192" fontId="94" fillId="0" borderId="114" xfId="0" applyNumberFormat="1" applyFont="1" applyBorder="1" applyAlignment="1" applyProtection="1">
      <alignment horizontal="center"/>
    </xf>
    <xf numFmtId="0" fontId="108" fillId="0" borderId="19" xfId="0" applyFont="1" applyBorder="1" applyProtection="1"/>
    <xf numFmtId="0" fontId="94" fillId="0" borderId="1" xfId="0" applyFont="1" applyFill="1" applyBorder="1" applyProtection="1"/>
    <xf numFmtId="0" fontId="94" fillId="61" borderId="1" xfId="0" applyFont="1" applyFill="1" applyBorder="1"/>
    <xf numFmtId="164" fontId="94" fillId="61" borderId="1" xfId="0" applyNumberFormat="1" applyFont="1" applyFill="1" applyBorder="1" applyAlignment="1">
      <alignment horizontal="center" vertical="top"/>
    </xf>
    <xf numFmtId="165" fontId="93" fillId="61" borderId="1" xfId="0" applyNumberFormat="1" applyFont="1" applyFill="1" applyBorder="1"/>
    <xf numFmtId="165" fontId="94" fillId="61" borderId="1" xfId="0" applyNumberFormat="1" applyFont="1" applyFill="1" applyBorder="1" applyAlignment="1">
      <alignment horizontal="center"/>
    </xf>
    <xf numFmtId="0" fontId="106" fillId="64" borderId="0" xfId="0" applyFont="1" applyFill="1"/>
    <xf numFmtId="172" fontId="94" fillId="3" borderId="0" xfId="13330" applyNumberFormat="1" applyFont="1" applyFill="1" applyBorder="1" applyAlignment="1">
      <alignment horizontal="center" vertical="top"/>
    </xf>
    <xf numFmtId="0" fontId="109" fillId="3" borderId="0" xfId="0" applyFont="1" applyFill="1" applyBorder="1"/>
    <xf numFmtId="0" fontId="94" fillId="0" borderId="1" xfId="0" applyFont="1" applyBorder="1"/>
    <xf numFmtId="172" fontId="91" fillId="0" borderId="93" xfId="0" applyNumberFormat="1" applyFont="1" applyFill="1" applyBorder="1" applyAlignment="1">
      <alignment horizontal="left"/>
    </xf>
    <xf numFmtId="172" fontId="91" fillId="0" borderId="116" xfId="0" applyNumberFormat="1" applyFont="1" applyFill="1" applyBorder="1" applyAlignment="1">
      <alignment horizontal="left"/>
    </xf>
    <xf numFmtId="0" fontId="94" fillId="0" borderId="1" xfId="0" applyFont="1" applyFill="1" applyBorder="1"/>
    <xf numFmtId="0" fontId="94" fillId="0" borderId="103" xfId="0" applyFont="1" applyFill="1" applyBorder="1" applyProtection="1">
      <protection hidden="1"/>
    </xf>
    <xf numFmtId="174" fontId="93" fillId="0" borderId="103" xfId="0" applyNumberFormat="1" applyFont="1" applyFill="1" applyBorder="1" applyAlignment="1" applyProtection="1">
      <alignment horizontal="right"/>
      <protection hidden="1"/>
    </xf>
    <xf numFmtId="0" fontId="93" fillId="0" borderId="103" xfId="0" applyFont="1" applyFill="1" applyBorder="1" applyProtection="1">
      <protection hidden="1"/>
    </xf>
    <xf numFmtId="172" fontId="94" fillId="0" borderId="53" xfId="0" applyNumberFormat="1" applyFont="1" applyFill="1" applyBorder="1" applyAlignment="1" applyProtection="1">
      <alignment horizontal="center"/>
    </xf>
    <xf numFmtId="1" fontId="98" fillId="4" borderId="3" xfId="11" applyNumberFormat="1" applyFont="1" applyAlignment="1" applyProtection="1">
      <alignment horizontal="left"/>
      <protection locked="0"/>
    </xf>
    <xf numFmtId="172" fontId="93" fillId="0" borderId="0" xfId="0" applyNumberFormat="1" applyFont="1" applyFill="1" applyAlignment="1">
      <alignment horizontal="left"/>
    </xf>
    <xf numFmtId="174" fontId="93" fillId="0" borderId="103" xfId="0" applyNumberFormat="1" applyFont="1" applyFill="1" applyBorder="1" applyAlignment="1">
      <alignment horizontal="right"/>
    </xf>
    <xf numFmtId="174" fontId="94" fillId="0" borderId="103" xfId="0" applyNumberFormat="1" applyFont="1" applyFill="1" applyBorder="1" applyAlignment="1">
      <alignment horizontal="right"/>
    </xf>
    <xf numFmtId="172" fontId="94" fillId="0" borderId="103" xfId="0" applyNumberFormat="1" applyFont="1" applyFill="1" applyBorder="1" applyAlignment="1">
      <alignment horizontal="left"/>
    </xf>
    <xf numFmtId="174" fontId="94" fillId="0" borderId="53" xfId="0" applyNumberFormat="1" applyFont="1" applyFill="1" applyBorder="1" applyAlignment="1">
      <alignment horizontal="right"/>
    </xf>
    <xf numFmtId="0" fontId="93" fillId="63" borderId="0" xfId="0" applyFont="1" applyFill="1"/>
    <xf numFmtId="182" fontId="93" fillId="63" borderId="0" xfId="0" applyNumberFormat="1" applyFont="1" applyFill="1" applyBorder="1"/>
    <xf numFmtId="0" fontId="93" fillId="63" borderId="0" xfId="0" applyFont="1" applyFill="1" applyBorder="1" applyProtection="1"/>
    <xf numFmtId="172" fontId="93" fillId="63" borderId="0" xfId="0" applyNumberFormat="1" applyFont="1" applyFill="1" applyBorder="1" applyAlignment="1">
      <alignment horizontal="center" vertical="top"/>
    </xf>
    <xf numFmtId="0" fontId="94" fillId="63" borderId="0" xfId="0" applyFont="1" applyFill="1" applyBorder="1"/>
    <xf numFmtId="0" fontId="94" fillId="63" borderId="0" xfId="0" applyFont="1" applyFill="1" applyBorder="1" applyAlignment="1">
      <alignment horizontal="right"/>
    </xf>
    <xf numFmtId="0" fontId="94" fillId="63" borderId="0" xfId="0" applyFont="1" applyFill="1" applyBorder="1" applyAlignment="1">
      <alignment horizontal="center"/>
    </xf>
    <xf numFmtId="0" fontId="93" fillId="63" borderId="0" xfId="0" applyFont="1" applyFill="1" applyBorder="1" applyAlignment="1">
      <alignment horizontal="center" wrapText="1"/>
    </xf>
    <xf numFmtId="0" fontId="94" fillId="3" borderId="103" xfId="0" applyFont="1" applyFill="1" applyBorder="1"/>
    <xf numFmtId="172" fontId="93" fillId="3" borderId="103" xfId="0" applyNumberFormat="1" applyFont="1" applyFill="1" applyBorder="1" applyAlignment="1">
      <alignment horizontal="center" vertical="top"/>
    </xf>
    <xf numFmtId="0" fontId="93" fillId="0" borderId="0" xfId="0" applyFont="1" applyFill="1" applyAlignment="1">
      <alignment horizontal="center"/>
    </xf>
    <xf numFmtId="0" fontId="98" fillId="0" borderId="0" xfId="0" applyFont="1" applyFill="1" applyAlignment="1">
      <alignment horizontal="center"/>
    </xf>
    <xf numFmtId="174" fontId="93" fillId="0" borderId="1" xfId="0" applyNumberFormat="1" applyFont="1" applyFill="1" applyBorder="1" applyAlignment="1">
      <alignment horizontal="right"/>
    </xf>
    <xf numFmtId="0" fontId="93" fillId="0" borderId="103" xfId="0" applyFont="1" applyFill="1" applyBorder="1"/>
    <xf numFmtId="172" fontId="93" fillId="0" borderId="0" xfId="0" applyNumberFormat="1" applyFont="1" applyFill="1" applyBorder="1" applyAlignment="1">
      <alignment horizontal="left"/>
    </xf>
    <xf numFmtId="0" fontId="94" fillId="0" borderId="94" xfId="0" applyFont="1" applyFill="1" applyBorder="1"/>
    <xf numFmtId="174" fontId="94" fillId="0" borderId="94" xfId="0" applyNumberFormat="1" applyFont="1" applyFill="1" applyBorder="1" applyAlignment="1">
      <alignment horizontal="right"/>
    </xf>
    <xf numFmtId="0" fontId="94" fillId="0" borderId="1" xfId="0" applyFont="1" applyFill="1" applyBorder="1"/>
    <xf numFmtId="164" fontId="93" fillId="63" borderId="0" xfId="0" applyNumberFormat="1" applyFont="1" applyFill="1" applyBorder="1" applyAlignment="1" applyProtection="1">
      <alignment horizontal="center"/>
    </xf>
    <xf numFmtId="172" fontId="94" fillId="63" borderId="0" xfId="0" applyNumberFormat="1" applyFont="1" applyFill="1" applyBorder="1" applyAlignment="1">
      <alignment horizontal="center" vertical="top"/>
    </xf>
    <xf numFmtId="0" fontId="93" fillId="63" borderId="0" xfId="0" applyFont="1" applyFill="1" applyBorder="1"/>
    <xf numFmtId="182" fontId="93" fillId="63" borderId="0" xfId="0" applyNumberFormat="1" applyFont="1" applyFill="1" applyBorder="1" applyAlignment="1">
      <alignment horizontal="center"/>
    </xf>
    <xf numFmtId="174" fontId="94" fillId="0" borderId="103" xfId="0" applyNumberFormat="1" applyFont="1" applyFill="1" applyBorder="1" applyAlignment="1" applyProtection="1">
      <alignment horizontal="right"/>
      <protection hidden="1"/>
    </xf>
    <xf numFmtId="165" fontId="93" fillId="0" borderId="0" xfId="11" applyNumberFormat="1" applyFont="1" applyFill="1" applyBorder="1" applyAlignment="1">
      <alignment horizontal="center" vertical="top"/>
    </xf>
    <xf numFmtId="165" fontId="93" fillId="0" borderId="0" xfId="11" applyNumberFormat="1" applyFont="1" applyFill="1" applyBorder="1" applyAlignment="1" applyProtection="1">
      <alignment horizontal="center" vertical="top"/>
    </xf>
    <xf numFmtId="0" fontId="93" fillId="0" borderId="0" xfId="0" applyFont="1" applyFill="1" applyBorder="1" applyAlignment="1">
      <alignment horizontal="center" wrapText="1"/>
    </xf>
    <xf numFmtId="182" fontId="93" fillId="0" borderId="103" xfId="0" applyNumberFormat="1" applyFont="1" applyFill="1" applyBorder="1" applyAlignment="1">
      <alignment horizontal="center"/>
    </xf>
    <xf numFmtId="182" fontId="93" fillId="0" borderId="103" xfId="0" applyNumberFormat="1" applyFont="1" applyFill="1" applyBorder="1"/>
    <xf numFmtId="174" fontId="98" fillId="0" borderId="0" xfId="0" applyNumberFormat="1" applyFont="1" applyFill="1" applyBorder="1"/>
    <xf numFmtId="172" fontId="93" fillId="0" borderId="103" xfId="0" applyNumberFormat="1" applyFont="1" applyFill="1" applyBorder="1" applyAlignment="1">
      <alignment horizontal="left"/>
    </xf>
    <xf numFmtId="172" fontId="94" fillId="0" borderId="0" xfId="0" applyNumberFormat="1" applyFont="1" applyFill="1" applyBorder="1" applyAlignment="1">
      <alignment horizontal="left"/>
    </xf>
    <xf numFmtId="0" fontId="108" fillId="0" borderId="1" xfId="0" applyFont="1" applyFill="1" applyBorder="1"/>
    <xf numFmtId="174" fontId="94" fillId="0" borderId="1" xfId="0" applyNumberFormat="1" applyFont="1" applyFill="1" applyBorder="1" applyAlignment="1">
      <alignment horizontal="right"/>
    </xf>
    <xf numFmtId="1" fontId="94" fillId="0" borderId="1" xfId="0" applyNumberFormat="1" applyFont="1" applyFill="1" applyBorder="1" applyAlignment="1">
      <alignment horizontal="center"/>
    </xf>
    <xf numFmtId="172" fontId="93" fillId="0" borderId="1" xfId="0" applyNumberFormat="1" applyFont="1" applyFill="1" applyBorder="1" applyAlignment="1">
      <alignment horizontal="center" vertical="top"/>
    </xf>
    <xf numFmtId="0" fontId="108" fillId="0" borderId="103" xfId="0" applyFont="1" applyBorder="1"/>
    <xf numFmtId="174" fontId="94" fillId="0" borderId="103" xfId="0" applyNumberFormat="1" applyFont="1" applyBorder="1" applyAlignment="1">
      <alignment horizontal="right"/>
    </xf>
    <xf numFmtId="0" fontId="94" fillId="0" borderId="103" xfId="0" applyFont="1" applyBorder="1" applyProtection="1">
      <protection hidden="1"/>
    </xf>
    <xf numFmtId="174" fontId="94" fillId="0" borderId="103" xfId="0" applyNumberFormat="1" applyFont="1" applyBorder="1" applyAlignment="1" applyProtection="1">
      <alignment horizontal="right"/>
      <protection hidden="1"/>
    </xf>
    <xf numFmtId="0" fontId="93" fillId="0" borderId="103" xfId="0" applyFont="1" applyBorder="1" applyProtection="1">
      <protection hidden="1"/>
    </xf>
    <xf numFmtId="172" fontId="93" fillId="0" borderId="0" xfId="0" applyNumberFormat="1" applyFont="1" applyFill="1" applyBorder="1" applyProtection="1">
      <protection hidden="1"/>
    </xf>
    <xf numFmtId="172" fontId="94" fillId="0" borderId="103" xfId="0" applyNumberFormat="1" applyFont="1" applyFill="1" applyBorder="1" applyProtection="1">
      <protection hidden="1"/>
    </xf>
    <xf numFmtId="1" fontId="94" fillId="0" borderId="103" xfId="0" applyNumberFormat="1" applyFont="1" applyFill="1" applyBorder="1" applyAlignment="1" applyProtection="1">
      <alignment horizontal="center"/>
      <protection hidden="1"/>
    </xf>
    <xf numFmtId="0" fontId="94" fillId="0" borderId="1" xfId="0" applyFont="1" applyFill="1" applyBorder="1" applyProtection="1">
      <protection hidden="1"/>
    </xf>
    <xf numFmtId="174" fontId="94" fillId="0" borderId="1" xfId="0" applyNumberFormat="1" applyFont="1" applyFill="1" applyBorder="1" applyAlignment="1" applyProtection="1">
      <alignment horizontal="right"/>
      <protection hidden="1"/>
    </xf>
    <xf numFmtId="1" fontId="94" fillId="0" borderId="1" xfId="0" applyNumberFormat="1" applyFont="1" applyFill="1" applyBorder="1" applyAlignment="1" applyProtection="1">
      <alignment horizontal="center"/>
      <protection hidden="1"/>
    </xf>
    <xf numFmtId="0" fontId="93" fillId="0" borderId="1" xfId="0" applyFont="1" applyFill="1" applyBorder="1" applyProtection="1">
      <protection hidden="1"/>
    </xf>
    <xf numFmtId="172" fontId="93" fillId="0" borderId="0" xfId="0" applyNumberFormat="1" applyFont="1" applyFill="1" applyBorder="1" applyAlignment="1" applyProtection="1">
      <alignment horizontal="left"/>
      <protection hidden="1"/>
    </xf>
    <xf numFmtId="172" fontId="94" fillId="0" borderId="1" xfId="0" applyNumberFormat="1" applyFont="1" applyFill="1" applyBorder="1" applyProtection="1">
      <protection hidden="1"/>
    </xf>
    <xf numFmtId="174" fontId="93" fillId="0" borderId="1" xfId="0" applyNumberFormat="1" applyFont="1" applyFill="1" applyBorder="1" applyAlignment="1" applyProtection="1">
      <alignment horizontal="right"/>
      <protection hidden="1"/>
    </xf>
    <xf numFmtId="0" fontId="93" fillId="0" borderId="1" xfId="0" applyFont="1" applyBorder="1" applyProtection="1">
      <protection hidden="1"/>
    </xf>
    <xf numFmtId="174" fontId="93" fillId="0" borderId="0" xfId="0" applyNumberFormat="1" applyFont="1" applyBorder="1"/>
    <xf numFmtId="174" fontId="93" fillId="0" borderId="1" xfId="0" applyNumberFormat="1" applyFont="1" applyBorder="1"/>
    <xf numFmtId="0" fontId="93" fillId="0" borderId="94" xfId="0" applyFont="1" applyBorder="1"/>
    <xf numFmtId="174" fontId="94" fillId="0" borderId="6" xfId="0" applyNumberFormat="1" applyFont="1" applyFill="1" applyBorder="1"/>
    <xf numFmtId="0" fontId="94" fillId="65" borderId="5" xfId="0" applyFont="1" applyFill="1" applyBorder="1"/>
    <xf numFmtId="174" fontId="94" fillId="65" borderId="6" xfId="0" applyNumberFormat="1" applyFont="1" applyFill="1" applyBorder="1" applyAlignment="1">
      <alignment horizontal="right"/>
    </xf>
    <xf numFmtId="0" fontId="94" fillId="65" borderId="6" xfId="0" applyFont="1" applyFill="1" applyBorder="1"/>
    <xf numFmtId="174" fontId="93" fillId="0" borderId="0" xfId="0" applyNumberFormat="1" applyFont="1" applyBorder="1" applyAlignment="1">
      <alignment horizontal="center" vertical="top"/>
    </xf>
    <xf numFmtId="0" fontId="94" fillId="65" borderId="5" xfId="0" applyFont="1" applyFill="1" applyBorder="1" applyProtection="1"/>
    <xf numFmtId="0" fontId="93" fillId="65" borderId="6" xfId="0" applyFont="1" applyFill="1" applyBorder="1" applyProtection="1"/>
    <xf numFmtId="177" fontId="94" fillId="65" borderId="6" xfId="0" applyNumberFormat="1" applyFont="1" applyFill="1" applyBorder="1" applyAlignment="1" applyProtection="1">
      <alignment horizontal="center"/>
    </xf>
    <xf numFmtId="177" fontId="93" fillId="0" borderId="0" xfId="0" applyNumberFormat="1" applyFont="1" applyAlignment="1" applyProtection="1">
      <alignment horizontal="center"/>
    </xf>
    <xf numFmtId="0" fontId="94" fillId="65" borderId="6" xfId="0" applyFont="1" applyFill="1" applyBorder="1" applyProtection="1"/>
    <xf numFmtId="0" fontId="109" fillId="0" borderId="0" xfId="0" applyFont="1" applyFill="1" applyProtection="1"/>
    <xf numFmtId="177" fontId="109" fillId="0" borderId="0" xfId="0" applyNumberFormat="1" applyFont="1" applyProtection="1"/>
    <xf numFmtId="177" fontId="94" fillId="65" borderId="6" xfId="0" applyNumberFormat="1" applyFont="1" applyFill="1" applyBorder="1" applyProtection="1"/>
    <xf numFmtId="174" fontId="94" fillId="0" borderId="6" xfId="0" applyNumberFormat="1" applyFont="1" applyBorder="1" applyProtection="1"/>
    <xf numFmtId="174" fontId="93" fillId="0" borderId="6" xfId="0" applyNumberFormat="1" applyFont="1" applyFill="1" applyBorder="1" applyProtection="1"/>
    <xf numFmtId="174" fontId="94" fillId="0" borderId="103" xfId="33110" applyNumberFormat="1" applyFont="1" applyFill="1" applyBorder="1"/>
    <xf numFmtId="174" fontId="94" fillId="0" borderId="53" xfId="33110" applyNumberFormat="1" applyFont="1" applyFill="1" applyBorder="1"/>
    <xf numFmtId="191" fontId="94" fillId="0" borderId="0" xfId="0" applyNumberFormat="1" applyFont="1" applyAlignment="1">
      <alignment horizontal="center"/>
    </xf>
    <xf numFmtId="172" fontId="94" fillId="3" borderId="0" xfId="0" applyNumberFormat="1" applyFont="1" applyFill="1" applyBorder="1" applyAlignment="1">
      <alignment horizontal="center"/>
    </xf>
    <xf numFmtId="9" fontId="93" fillId="3" borderId="0" xfId="13330" applyFont="1" applyFill="1" applyBorder="1" applyAlignment="1">
      <alignment horizontal="center" vertical="top"/>
    </xf>
    <xf numFmtId="0" fontId="98" fillId="2" borderId="82" xfId="0" applyFont="1" applyFill="1" applyBorder="1" applyAlignment="1" applyProtection="1">
      <protection locked="0"/>
    </xf>
    <xf numFmtId="0" fontId="98" fillId="2" borderId="73" xfId="0" applyFont="1" applyFill="1" applyBorder="1" applyAlignment="1" applyProtection="1">
      <protection locked="0"/>
    </xf>
    <xf numFmtId="0" fontId="98" fillId="2" borderId="92" xfId="0" applyFont="1" applyFill="1" applyBorder="1" applyAlignment="1">
      <alignment vertical="center"/>
    </xf>
    <xf numFmtId="172" fontId="98" fillId="2" borderId="92" xfId="6628" applyNumberFormat="1" applyFont="1" applyFill="1" applyBorder="1"/>
    <xf numFmtId="172" fontId="98" fillId="2" borderId="67" xfId="6628" applyNumberFormat="1" applyFont="1" applyFill="1" applyBorder="1"/>
    <xf numFmtId="0" fontId="98" fillId="2" borderId="91" xfId="0" applyFont="1" applyFill="1" applyBorder="1" applyAlignment="1">
      <alignment vertical="center"/>
    </xf>
    <xf numFmtId="172" fontId="98" fillId="2" borderId="91" xfId="6628" applyNumberFormat="1" applyFont="1" applyFill="1" applyBorder="1"/>
    <xf numFmtId="0" fontId="109" fillId="0" borderId="0" xfId="0" applyFont="1" applyAlignment="1">
      <alignment vertical="center"/>
    </xf>
    <xf numFmtId="0" fontId="98" fillId="2" borderId="82" xfId="0" applyFont="1" applyFill="1" applyBorder="1" applyAlignment="1" applyProtection="1"/>
    <xf numFmtId="0" fontId="98" fillId="2" borderId="73" xfId="0" applyFont="1" applyFill="1" applyBorder="1" applyAlignment="1" applyProtection="1"/>
    <xf numFmtId="0" fontId="98" fillId="2" borderId="73" xfId="0" applyFont="1" applyFill="1" applyBorder="1" applyProtection="1"/>
    <xf numFmtId="0" fontId="98" fillId="2" borderId="81" xfId="0" applyFont="1" applyFill="1" applyBorder="1" applyProtection="1">
      <protection locked="0"/>
    </xf>
    <xf numFmtId="183" fontId="98" fillId="2" borderId="86" xfId="0" applyNumberFormat="1" applyFont="1" applyFill="1" applyBorder="1" applyProtection="1">
      <protection locked="0"/>
    </xf>
    <xf numFmtId="5" fontId="98" fillId="2" borderId="90" xfId="13118" applyNumberFormat="1" applyFont="1" applyFill="1" applyBorder="1" applyProtection="1">
      <protection locked="0"/>
    </xf>
    <xf numFmtId="186" fontId="98" fillId="2" borderId="73" xfId="0" applyNumberFormat="1" applyFont="1" applyFill="1" applyBorder="1" applyProtection="1">
      <protection locked="0"/>
    </xf>
    <xf numFmtId="0" fontId="98" fillId="2" borderId="81" xfId="0" applyFont="1" applyFill="1" applyBorder="1" applyAlignment="1" applyProtection="1">
      <protection locked="0"/>
    </xf>
    <xf numFmtId="186" fontId="98" fillId="2" borderId="81" xfId="0" applyNumberFormat="1" applyFont="1" applyFill="1" applyBorder="1" applyProtection="1">
      <protection locked="0"/>
    </xf>
    <xf numFmtId="5" fontId="98" fillId="2" borderId="81" xfId="13118" applyNumberFormat="1" applyFont="1" applyFill="1" applyBorder="1" applyProtection="1">
      <protection locked="0"/>
    </xf>
    <xf numFmtId="172" fontId="98" fillId="2" borderId="73" xfId="13118" applyNumberFormat="1" applyFont="1" applyFill="1" applyBorder="1" applyProtection="1"/>
    <xf numFmtId="174" fontId="98" fillId="2" borderId="92" xfId="6628" applyNumberFormat="1" applyFont="1" applyFill="1" applyBorder="1"/>
    <xf numFmtId="174" fontId="124" fillId="2" borderId="21" xfId="6" applyNumberFormat="1" applyFont="1" applyFill="1" applyBorder="1" applyProtection="1">
      <protection locked="0"/>
    </xf>
    <xf numFmtId="174" fontId="124" fillId="2" borderId="24" xfId="6" applyNumberFormat="1" applyFont="1" applyFill="1" applyBorder="1" applyProtection="1">
      <protection locked="0"/>
    </xf>
    <xf numFmtId="172" fontId="96" fillId="0" borderId="0" xfId="10" quotePrefix="1" applyNumberFormat="1" applyFont="1" applyAlignment="1" applyProtection="1">
      <alignment horizontal="center"/>
    </xf>
    <xf numFmtId="172" fontId="125" fillId="0" borderId="0" xfId="8" quotePrefix="1" applyNumberFormat="1" applyFont="1" applyAlignment="1" applyProtection="1">
      <alignment horizontal="center"/>
    </xf>
    <xf numFmtId="0" fontId="96" fillId="65" borderId="0" xfId="8" applyFont="1" applyFill="1" applyProtection="1"/>
    <xf numFmtId="44" fontId="97" fillId="65" borderId="0" xfId="8" applyNumberFormat="1" applyFont="1" applyFill="1" applyBorder="1" applyProtection="1"/>
    <xf numFmtId="173" fontId="97" fillId="65" borderId="0" xfId="8" applyNumberFormat="1" applyFont="1" applyFill="1" applyProtection="1"/>
    <xf numFmtId="0" fontId="110" fillId="0" borderId="0" xfId="0" applyFont="1" applyProtection="1"/>
    <xf numFmtId="0" fontId="98" fillId="4" borderId="117" xfId="11" applyFont="1" applyBorder="1" applyAlignment="1" applyProtection="1">
      <protection locked="0"/>
    </xf>
    <xf numFmtId="1" fontId="98" fillId="4" borderId="117" xfId="11" applyNumberFormat="1" applyFont="1" applyBorder="1" applyAlignment="1" applyProtection="1">
      <alignment horizontal="center"/>
      <protection locked="0"/>
    </xf>
    <xf numFmtId="182" fontId="98" fillId="2" borderId="117" xfId="0" applyNumberFormat="1" applyFont="1" applyFill="1" applyBorder="1" applyAlignment="1" applyProtection="1">
      <alignment horizontal="center"/>
      <protection locked="0"/>
    </xf>
    <xf numFmtId="182" fontId="98" fillId="4" borderId="117" xfId="11" applyNumberFormat="1" applyFont="1" applyBorder="1" applyAlignment="1" applyProtection="1">
      <alignment horizontal="center"/>
      <protection locked="0"/>
    </xf>
    <xf numFmtId="182" fontId="93" fillId="0" borderId="1" xfId="0" applyNumberFormat="1" applyFont="1" applyFill="1" applyBorder="1" applyAlignment="1">
      <alignment horizontal="center"/>
    </xf>
    <xf numFmtId="164" fontId="93" fillId="0" borderId="1" xfId="0" applyNumberFormat="1" applyFont="1" applyFill="1" applyBorder="1" applyAlignment="1" applyProtection="1">
      <alignment horizontal="center"/>
    </xf>
    <xf numFmtId="0" fontId="98" fillId="4" borderId="98" xfId="11" applyFont="1" applyBorder="1" applyAlignment="1" applyProtection="1">
      <protection locked="0"/>
    </xf>
    <xf numFmtId="1" fontId="98" fillId="2" borderId="98" xfId="0" applyNumberFormat="1" applyFont="1" applyFill="1" applyBorder="1" applyAlignment="1" applyProtection="1">
      <alignment horizontal="center"/>
      <protection locked="0"/>
    </xf>
    <xf numFmtId="182" fontId="98" fillId="4" borderId="98" xfId="11" applyNumberFormat="1" applyFont="1" applyBorder="1" applyAlignment="1" applyProtection="1">
      <alignment horizontal="center"/>
      <protection locked="0"/>
    </xf>
    <xf numFmtId="1" fontId="98" fillId="4" borderId="99" xfId="11" applyNumberFormat="1" applyFont="1" applyBorder="1" applyAlignment="1" applyProtection="1">
      <alignment horizontal="left"/>
      <protection locked="0"/>
    </xf>
    <xf numFmtId="174" fontId="98" fillId="4" borderId="99" xfId="11" applyNumberFormat="1" applyFont="1" applyBorder="1" applyAlignment="1" applyProtection="1">
      <alignment horizontal="center"/>
      <protection locked="0"/>
    </xf>
    <xf numFmtId="172" fontId="108" fillId="0" borderId="0" xfId="0" applyNumberFormat="1" applyFont="1" applyFill="1" applyBorder="1" applyAlignment="1">
      <alignment horizontal="center"/>
    </xf>
    <xf numFmtId="3" fontId="98" fillId="4" borderId="3" xfId="11" applyNumberFormat="1" applyFont="1" applyAlignment="1" applyProtection="1">
      <alignment horizontal="center" vertical="top"/>
      <protection locked="0"/>
    </xf>
    <xf numFmtId="165" fontId="98" fillId="4" borderId="3" xfId="11" applyNumberFormat="1" applyFont="1" applyAlignment="1" applyProtection="1">
      <alignment horizontal="center"/>
      <protection locked="0"/>
    </xf>
    <xf numFmtId="0" fontId="98" fillId="4" borderId="3" xfId="11" applyNumberFormat="1" applyFont="1" applyAlignment="1" applyProtection="1">
      <alignment horizontal="center"/>
      <protection locked="0"/>
    </xf>
    <xf numFmtId="187" fontId="96" fillId="0" borderId="115" xfId="6628" applyNumberFormat="1" applyFont="1" applyBorder="1"/>
    <xf numFmtId="195" fontId="96" fillId="0" borderId="22" xfId="6628" applyNumberFormat="1" applyFont="1" applyBorder="1"/>
    <xf numFmtId="0" fontId="92" fillId="0" borderId="103" xfId="0" applyFont="1" applyBorder="1" applyAlignment="1" applyProtection="1">
      <protection locked="0"/>
    </xf>
    <xf numFmtId="174" fontId="92" fillId="0" borderId="103" xfId="13118" applyNumberFormat="1" applyFont="1" applyFill="1" applyBorder="1" applyProtection="1"/>
    <xf numFmtId="174" fontId="92" fillId="0" borderId="0" xfId="13118" applyNumberFormat="1" applyFont="1" applyFill="1" applyBorder="1" applyProtection="1"/>
    <xf numFmtId="0" fontId="98" fillId="2" borderId="67" xfId="0" applyFont="1" applyFill="1" applyBorder="1" applyAlignment="1" applyProtection="1">
      <protection locked="0"/>
    </xf>
    <xf numFmtId="186" fontId="98" fillId="2" borderId="67" xfId="0" applyNumberFormat="1" applyFont="1" applyFill="1" applyBorder="1" applyProtection="1">
      <protection locked="0"/>
    </xf>
    <xf numFmtId="5" fontId="98" fillId="2" borderId="67" xfId="13118" applyNumberFormat="1" applyFont="1" applyFill="1" applyBorder="1" applyProtection="1">
      <protection locked="0"/>
    </xf>
    <xf numFmtId="172" fontId="92" fillId="0" borderId="67" xfId="13118" applyNumberFormat="1" applyFont="1" applyFill="1" applyBorder="1" applyProtection="1"/>
    <xf numFmtId="8" fontId="98" fillId="4" borderId="3" xfId="11" applyNumberFormat="1" applyFont="1" applyAlignment="1" applyProtection="1">
      <alignment horizontal="center"/>
      <protection locked="0"/>
    </xf>
    <xf numFmtId="3" fontId="98" fillId="2" borderId="33" xfId="11" applyNumberFormat="1" applyFont="1" applyFill="1" applyBorder="1" applyAlignment="1" applyProtection="1">
      <alignment horizontal="center"/>
      <protection locked="0"/>
    </xf>
    <xf numFmtId="181" fontId="105" fillId="4" borderId="3" xfId="11" applyNumberFormat="1" applyFont="1" applyAlignment="1" applyProtection="1">
      <alignment horizontal="center"/>
      <protection locked="0"/>
    </xf>
    <xf numFmtId="190" fontId="98" fillId="4" borderId="3" xfId="11" applyNumberFormat="1" applyFont="1" applyAlignment="1" applyProtection="1">
      <alignment horizontal="center"/>
      <protection locked="0"/>
    </xf>
    <xf numFmtId="6" fontId="98" fillId="2" borderId="0" xfId="0" applyNumberFormat="1" applyFont="1" applyFill="1" applyBorder="1" applyAlignment="1" applyProtection="1">
      <alignment horizontal="center"/>
    </xf>
    <xf numFmtId="172" fontId="110" fillId="0" borderId="0" xfId="0" applyNumberFormat="1" applyFont="1" applyAlignment="1">
      <alignment horizontal="center"/>
    </xf>
    <xf numFmtId="172" fontId="94" fillId="0" borderId="0" xfId="0" applyNumberFormat="1" applyFont="1" applyFill="1" applyAlignment="1">
      <alignment horizontal="center" vertical="top"/>
    </xf>
    <xf numFmtId="6" fontId="93" fillId="0" borderId="103" xfId="0" applyNumberFormat="1" applyFont="1" applyBorder="1" applyAlignment="1">
      <alignment horizontal="center"/>
    </xf>
    <xf numFmtId="6" fontId="93" fillId="0" borderId="103" xfId="0" applyNumberFormat="1" applyFont="1" applyFill="1" applyBorder="1" applyAlignment="1">
      <alignment horizontal="center"/>
    </xf>
    <xf numFmtId="44" fontId="93" fillId="0" borderId="103" xfId="33110" applyFont="1" applyFill="1" applyBorder="1"/>
    <xf numFmtId="172" fontId="124" fillId="2" borderId="21" xfId="6" applyNumberFormat="1" applyFont="1" applyFill="1" applyBorder="1" applyProtection="1">
      <protection locked="0"/>
    </xf>
    <xf numFmtId="172" fontId="124" fillId="2" borderId="24" xfId="6" applyNumberFormat="1" applyFont="1" applyFill="1" applyBorder="1" applyProtection="1">
      <protection locked="0"/>
    </xf>
    <xf numFmtId="172" fontId="124" fillId="2" borderId="21" xfId="6" applyNumberFormat="1" applyFont="1" applyFill="1" applyBorder="1" applyAlignment="1" applyProtection="1">
      <protection locked="0"/>
    </xf>
    <xf numFmtId="172" fontId="124" fillId="2" borderId="24" xfId="6" applyNumberFormat="1" applyFont="1" applyFill="1" applyBorder="1" applyAlignment="1" applyProtection="1">
      <protection locked="0"/>
    </xf>
    <xf numFmtId="172" fontId="124" fillId="2" borderId="22" xfId="6" applyNumberFormat="1" applyFont="1" applyFill="1" applyBorder="1" applyAlignment="1" applyProtection="1">
      <protection locked="0"/>
    </xf>
    <xf numFmtId="172" fontId="124" fillId="2" borderId="19" xfId="6" applyNumberFormat="1" applyFont="1" applyFill="1" applyBorder="1" applyProtection="1">
      <protection locked="0"/>
    </xf>
    <xf numFmtId="172" fontId="93" fillId="68" borderId="0" xfId="0" applyNumberFormat="1" applyFont="1" applyFill="1" applyBorder="1" applyAlignment="1">
      <alignment horizontal="center" vertical="top"/>
    </xf>
    <xf numFmtId="172" fontId="91" fillId="0" borderId="0" xfId="0" applyNumberFormat="1" applyFont="1" applyFill="1" applyBorder="1" applyAlignment="1">
      <alignment horizontal="center"/>
    </xf>
    <xf numFmtId="0" fontId="94" fillId="0" borderId="0" xfId="0" applyFont="1" applyFill="1" applyBorder="1" applyAlignment="1">
      <alignment horizontal="center" wrapText="1"/>
    </xf>
    <xf numFmtId="0" fontId="109" fillId="3" borderId="107" xfId="0" applyFont="1" applyFill="1" applyBorder="1"/>
    <xf numFmtId="0" fontId="104" fillId="0" borderId="103" xfId="33111" applyFont="1" applyFill="1" applyBorder="1" applyAlignment="1">
      <alignment horizontal="left"/>
    </xf>
    <xf numFmtId="0" fontId="104" fillId="0" borderId="103" xfId="33111" applyFont="1" applyFill="1" applyBorder="1" applyAlignment="1"/>
    <xf numFmtId="172" fontId="96" fillId="0" borderId="103" xfId="8" applyNumberFormat="1" applyFont="1" applyBorder="1"/>
    <xf numFmtId="172" fontId="97" fillId="0" borderId="103" xfId="8" applyNumberFormat="1" applyFont="1" applyBorder="1"/>
    <xf numFmtId="172" fontId="119" fillId="0" borderId="105" xfId="8" applyNumberFormat="1" applyFont="1" applyBorder="1"/>
    <xf numFmtId="0" fontId="104" fillId="0" borderId="103" xfId="33111" applyFont="1" applyFill="1" applyBorder="1" applyAlignment="1">
      <alignment horizontal="center" vertical="center" wrapText="1"/>
    </xf>
    <xf numFmtId="0" fontId="93" fillId="0" borderId="107" xfId="0" applyFont="1" applyBorder="1" applyAlignment="1">
      <alignment horizontal="left" indent="1"/>
    </xf>
    <xf numFmtId="0" fontId="93" fillId="0" borderId="24" xfId="0" applyFont="1" applyBorder="1" applyAlignment="1">
      <alignment horizontal="left" indent="1"/>
    </xf>
    <xf numFmtId="0" fontId="93" fillId="0" borderId="19" xfId="0" applyFont="1" applyBorder="1" applyAlignment="1">
      <alignment horizontal="left" indent="1"/>
    </xf>
    <xf numFmtId="172" fontId="93" fillId="0" borderId="1" xfId="0" applyNumberFormat="1" applyFont="1" applyBorder="1"/>
    <xf numFmtId="0" fontId="93" fillId="0" borderId="120" xfId="0" applyFont="1" applyBorder="1" applyAlignment="1">
      <alignment horizontal="left" indent="1"/>
    </xf>
    <xf numFmtId="0" fontId="94" fillId="3" borderId="116" xfId="0" applyFont="1" applyFill="1" applyBorder="1" applyAlignment="1">
      <alignment wrapText="1"/>
    </xf>
    <xf numFmtId="0" fontId="94" fillId="3" borderId="116" xfId="0" applyFont="1" applyFill="1" applyBorder="1" applyAlignment="1">
      <alignment horizontal="right"/>
    </xf>
    <xf numFmtId="0" fontId="94" fillId="3" borderId="116" xfId="0" applyFont="1" applyFill="1" applyBorder="1" applyAlignment="1">
      <alignment horizontal="right" wrapText="1"/>
    </xf>
    <xf numFmtId="0" fontId="94" fillId="0" borderId="116" xfId="0" applyFont="1" applyFill="1" applyBorder="1" applyAlignment="1">
      <alignment horizontal="right"/>
    </xf>
    <xf numFmtId="0" fontId="94" fillId="0" borderId="116" xfId="0" applyFont="1" applyBorder="1" applyAlignment="1">
      <alignment horizontal="right" wrapText="1"/>
    </xf>
    <xf numFmtId="0" fontId="94" fillId="0" borderId="114" xfId="0" applyFont="1" applyFill="1" applyBorder="1" applyAlignment="1">
      <alignment horizontal="center" wrapText="1"/>
    </xf>
    <xf numFmtId="172" fontId="93" fillId="0" borderId="103" xfId="0" applyNumberFormat="1" applyFont="1" applyBorder="1"/>
    <xf numFmtId="0" fontId="108" fillId="0" borderId="0" xfId="0" applyFont="1" applyBorder="1" applyAlignment="1">
      <alignment horizontal="left" indent="1"/>
    </xf>
    <xf numFmtId="0" fontId="127" fillId="0" borderId="0" xfId="33112" applyFill="1" applyBorder="1" applyAlignment="1">
      <alignment horizontal="left" vertical="top"/>
    </xf>
    <xf numFmtId="0" fontId="89" fillId="0" borderId="0" xfId="33112" applyFont="1" applyFill="1" applyBorder="1" applyAlignment="1">
      <alignment horizontal="left" vertical="top"/>
    </xf>
    <xf numFmtId="0" fontId="88" fillId="0" borderId="0" xfId="33112" applyFont="1" applyFill="1" applyBorder="1" applyAlignment="1">
      <alignment horizontal="left" vertical="top"/>
    </xf>
    <xf numFmtId="0" fontId="90" fillId="66" borderId="0" xfId="33112" applyFont="1" applyFill="1" applyBorder="1" applyAlignment="1">
      <alignment horizontal="left" vertical="top"/>
    </xf>
    <xf numFmtId="0" fontId="66" fillId="7" borderId="0" xfId="33112" applyFont="1" applyFill="1" applyBorder="1" applyAlignment="1">
      <alignment horizontal="left" vertical="top"/>
    </xf>
    <xf numFmtId="0" fontId="93" fillId="0" borderId="103" xfId="33112" applyFont="1" applyFill="1" applyBorder="1" applyAlignment="1">
      <alignment horizontal="left" vertical="top" wrapText="1"/>
    </xf>
    <xf numFmtId="172" fontId="93" fillId="0" borderId="103" xfId="33112" applyNumberFormat="1" applyFont="1" applyFill="1" applyBorder="1" applyAlignment="1">
      <alignment horizontal="right" vertical="top" wrapText="1"/>
    </xf>
    <xf numFmtId="0" fontId="93" fillId="0" borderId="103" xfId="33112" applyFont="1" applyFill="1" applyBorder="1" applyAlignment="1">
      <alignment horizontal="right" vertical="top" wrapText="1"/>
    </xf>
    <xf numFmtId="0" fontId="93" fillId="0" borderId="1" xfId="33112" applyFont="1" applyFill="1" applyBorder="1" applyAlignment="1">
      <alignment horizontal="left" vertical="top" wrapText="1"/>
    </xf>
    <xf numFmtId="172" fontId="93" fillId="0" borderId="1" xfId="33112" applyNumberFormat="1" applyFont="1" applyFill="1" applyBorder="1" applyAlignment="1">
      <alignment horizontal="right" vertical="top" wrapText="1"/>
    </xf>
    <xf numFmtId="0" fontId="93" fillId="0" borderId="1" xfId="33112" applyFont="1" applyFill="1" applyBorder="1" applyAlignment="1">
      <alignment horizontal="right" vertical="top" wrapText="1"/>
    </xf>
    <xf numFmtId="0" fontId="129" fillId="0" borderId="0" xfId="33112" applyFont="1" applyFill="1" applyBorder="1" applyAlignment="1">
      <alignment vertical="top" wrapText="1"/>
    </xf>
    <xf numFmtId="197" fontId="92" fillId="0" borderId="150" xfId="33112" applyNumberFormat="1" applyFont="1" applyFill="1" applyBorder="1" applyAlignment="1">
      <alignment horizontal="right" vertical="top" wrapText="1"/>
    </xf>
    <xf numFmtId="0" fontId="92" fillId="0" borderId="151" xfId="33112" applyFont="1" applyFill="1" applyBorder="1" applyAlignment="1">
      <alignment horizontal="left" vertical="top" wrapText="1"/>
    </xf>
    <xf numFmtId="0" fontId="93" fillId="0" borderId="103" xfId="33112" applyFont="1" applyFill="1" applyBorder="1" applyAlignment="1">
      <alignment vertical="top" wrapText="1"/>
    </xf>
    <xf numFmtId="172" fontId="93" fillId="0" borderId="103" xfId="33112" applyNumberFormat="1" applyFont="1" applyFill="1" applyBorder="1" applyAlignment="1">
      <alignment vertical="top" wrapText="1"/>
    </xf>
    <xf numFmtId="0" fontId="93" fillId="69" borderId="145" xfId="33112" applyFont="1" applyFill="1" applyBorder="1" applyAlignment="1">
      <alignment vertical="center" wrapText="1"/>
    </xf>
    <xf numFmtId="172" fontId="93" fillId="69" borderId="145" xfId="33112" applyNumberFormat="1" applyFont="1" applyFill="1" applyBorder="1" applyAlignment="1">
      <alignment vertical="center" wrapText="1"/>
    </xf>
    <xf numFmtId="172" fontId="93" fillId="69" borderId="147" xfId="33112" applyNumberFormat="1" applyFont="1" applyFill="1" applyBorder="1" applyAlignment="1">
      <alignment vertical="center" wrapText="1"/>
    </xf>
    <xf numFmtId="0" fontId="93" fillId="0" borderId="152" xfId="33112" applyFont="1" applyFill="1" applyBorder="1" applyAlignment="1">
      <alignment horizontal="left" vertical="top" wrapText="1"/>
    </xf>
    <xf numFmtId="0" fontId="93" fillId="0" borderId="153" xfId="33112" applyFont="1" applyFill="1" applyBorder="1" applyAlignment="1">
      <alignment vertical="top" wrapText="1"/>
    </xf>
    <xf numFmtId="0" fontId="93" fillId="0" borderId="148" xfId="33112" applyFont="1" applyFill="1" applyBorder="1" applyAlignment="1">
      <alignment horizontal="left" vertical="top" wrapText="1"/>
    </xf>
    <xf numFmtId="0" fontId="93" fillId="0" borderId="149" xfId="33112" applyFont="1" applyFill="1" applyBorder="1" applyAlignment="1">
      <alignment vertical="top" wrapText="1"/>
    </xf>
    <xf numFmtId="0" fontId="66" fillId="63" borderId="146" xfId="33112" applyFont="1" applyFill="1" applyBorder="1" applyAlignment="1">
      <alignment horizontal="left" vertical="top" wrapText="1"/>
    </xf>
    <xf numFmtId="0" fontId="93" fillId="69" borderId="156" xfId="33112" applyFont="1" applyFill="1" applyBorder="1" applyAlignment="1">
      <alignment vertical="center" wrapText="1"/>
    </xf>
    <xf numFmtId="0" fontId="66" fillId="63" borderId="157" xfId="33112" applyFont="1" applyFill="1" applyBorder="1" applyAlignment="1">
      <alignment horizontal="center" vertical="top" wrapText="1"/>
    </xf>
    <xf numFmtId="0" fontId="66" fillId="63" borderId="158" xfId="33112" applyFont="1" applyFill="1" applyBorder="1" applyAlignment="1">
      <alignment horizontal="center" vertical="top" wrapText="1"/>
    </xf>
    <xf numFmtId="0" fontId="66" fillId="63" borderId="159" xfId="33112" applyFont="1" applyFill="1" applyBorder="1" applyAlignment="1">
      <alignment horizontal="center" vertical="top" wrapText="1"/>
    </xf>
    <xf numFmtId="181" fontId="93" fillId="69" borderId="145" xfId="33112" applyNumberFormat="1" applyFont="1" applyFill="1" applyBorder="1" applyAlignment="1">
      <alignment vertical="center" wrapText="1"/>
    </xf>
    <xf numFmtId="0" fontId="130" fillId="0" borderId="99" xfId="33112" applyFont="1" applyFill="1" applyBorder="1" applyAlignment="1">
      <alignment horizontal="center" vertical="top"/>
    </xf>
    <xf numFmtId="0" fontId="128" fillId="0" borderId="0" xfId="33112" applyFont="1" applyFill="1" applyBorder="1" applyAlignment="1">
      <alignment horizontal="left" vertical="top" wrapText="1"/>
    </xf>
    <xf numFmtId="172" fontId="130" fillId="0" borderId="99" xfId="33112" applyNumberFormat="1" applyFont="1" applyFill="1" applyBorder="1" applyAlignment="1">
      <alignment horizontal="center" vertical="top"/>
    </xf>
    <xf numFmtId="0" fontId="131" fillId="0" borderId="0" xfId="33112" applyFont="1" applyFill="1" applyBorder="1" applyAlignment="1">
      <alignment horizontal="left" vertical="top"/>
    </xf>
    <xf numFmtId="181" fontId="91" fillId="0" borderId="154" xfId="33112" applyNumberFormat="1" applyFont="1" applyFill="1" applyBorder="1" applyAlignment="1">
      <alignment horizontal="right" vertical="top" wrapText="1"/>
    </xf>
    <xf numFmtId="0" fontId="91" fillId="0" borderId="155" xfId="33112" applyFont="1" applyFill="1" applyBorder="1" applyAlignment="1">
      <alignment horizontal="left" vertical="top" wrapText="1"/>
    </xf>
    <xf numFmtId="38" fontId="97" fillId="0" borderId="115" xfId="6" applyNumberFormat="1" applyFont="1" applyBorder="1" applyProtection="1"/>
    <xf numFmtId="0" fontId="96" fillId="0" borderId="0" xfId="8" applyFont="1" applyAlignment="1" applyProtection="1">
      <alignment horizontal="center"/>
    </xf>
    <xf numFmtId="172" fontId="98" fillId="0" borderId="3" xfId="11" applyNumberFormat="1" applyFont="1" applyFill="1" applyAlignment="1" applyProtection="1">
      <alignment horizontal="center"/>
      <protection locked="0"/>
    </xf>
    <xf numFmtId="0" fontId="93" fillId="0" borderId="0" xfId="0" applyFont="1" applyFill="1" applyBorder="1" applyAlignment="1" applyProtection="1">
      <alignment horizontal="right"/>
    </xf>
    <xf numFmtId="175" fontId="93" fillId="0" borderId="0" xfId="0" applyNumberFormat="1" applyFont="1" applyFill="1"/>
    <xf numFmtId="0" fontId="108" fillId="69" borderId="0" xfId="0" applyFont="1" applyFill="1" applyProtection="1"/>
    <xf numFmtId="0" fontId="94" fillId="69" borderId="0" xfId="0" applyFont="1" applyFill="1" applyProtection="1"/>
    <xf numFmtId="175" fontId="98" fillId="4" borderId="3" xfId="11" applyNumberFormat="1" applyFont="1" applyAlignment="1" applyProtection="1">
      <alignment horizontal="center"/>
      <protection locked="0"/>
    </xf>
    <xf numFmtId="0" fontId="94" fillId="0" borderId="0" xfId="0" applyFont="1" applyBorder="1" applyAlignment="1" applyProtection="1">
      <alignment horizontal="center"/>
    </xf>
    <xf numFmtId="0" fontId="93" fillId="63" borderId="103" xfId="0" applyFont="1" applyFill="1" applyBorder="1" applyAlignment="1">
      <alignment horizontal="center" wrapText="1"/>
    </xf>
    <xf numFmtId="0" fontId="93" fillId="63" borderId="103" xfId="0" applyFont="1" applyFill="1" applyBorder="1"/>
    <xf numFmtId="0" fontId="94" fillId="0" borderId="146" xfId="33112" applyFont="1" applyFill="1" applyBorder="1" applyAlignment="1">
      <alignment horizontal="left" vertical="center" wrapText="1"/>
    </xf>
    <xf numFmtId="0" fontId="93" fillId="0" borderId="146" xfId="33112" applyFont="1" applyFill="1" applyBorder="1" applyAlignment="1">
      <alignment horizontal="left" vertical="center" wrapText="1"/>
    </xf>
    <xf numFmtId="0" fontId="93" fillId="0" borderId="164" xfId="33112" applyFont="1" applyFill="1" applyBorder="1" applyAlignment="1">
      <alignment horizontal="left" vertical="center" wrapText="1"/>
    </xf>
    <xf numFmtId="0" fontId="93" fillId="69" borderId="165" xfId="33112" applyFont="1" applyFill="1" applyBorder="1" applyAlignment="1">
      <alignment vertical="center" wrapText="1"/>
    </xf>
    <xf numFmtId="0" fontId="93" fillId="0" borderId="166" xfId="33112" applyFont="1" applyFill="1" applyBorder="1" applyAlignment="1">
      <alignment vertical="center" wrapText="1"/>
    </xf>
    <xf numFmtId="0" fontId="93" fillId="69" borderId="167" xfId="33112" applyFont="1" applyFill="1" applyBorder="1" applyAlignment="1">
      <alignment vertical="center" wrapText="1"/>
    </xf>
    <xf numFmtId="0" fontId="93" fillId="0" borderId="168" xfId="33112" applyFont="1" applyFill="1" applyBorder="1" applyAlignment="1">
      <alignment vertical="center" wrapText="1"/>
    </xf>
    <xf numFmtId="172" fontId="93" fillId="0" borderId="168" xfId="33112" applyNumberFormat="1" applyFont="1" applyFill="1" applyBorder="1" applyAlignment="1">
      <alignment vertical="center" wrapText="1"/>
    </xf>
    <xf numFmtId="172" fontId="92" fillId="0" borderId="168" xfId="33112" quotePrefix="1" applyNumberFormat="1" applyFont="1" applyFill="1" applyBorder="1" applyAlignment="1">
      <alignment vertical="center" wrapText="1"/>
    </xf>
    <xf numFmtId="0" fontId="93" fillId="69" borderId="169" xfId="33112" applyFont="1" applyFill="1" applyBorder="1" applyAlignment="1">
      <alignment vertical="center" wrapText="1"/>
    </xf>
    <xf numFmtId="0" fontId="93" fillId="0" borderId="107" xfId="33112" applyFont="1" applyFill="1" applyBorder="1" applyAlignment="1">
      <alignment vertical="top" wrapText="1"/>
    </xf>
    <xf numFmtId="0" fontId="93" fillId="0" borderId="105" xfId="33112" applyFont="1" applyFill="1" applyBorder="1" applyAlignment="1">
      <alignment vertical="top" wrapText="1"/>
    </xf>
    <xf numFmtId="0" fontId="93" fillId="0" borderId="20" xfId="33112" applyFont="1" applyFill="1" applyBorder="1" applyAlignment="1">
      <alignment horizontal="left" vertical="center"/>
    </xf>
    <xf numFmtId="0" fontId="93" fillId="0" borderId="167" xfId="33112" applyFont="1" applyFill="1" applyBorder="1" applyAlignment="1">
      <alignment horizontal="right" vertical="center" wrapText="1"/>
    </xf>
    <xf numFmtId="0" fontId="93" fillId="0" borderId="123" xfId="33112" applyFont="1" applyFill="1" applyBorder="1" applyAlignment="1">
      <alignment horizontal="left" vertical="center"/>
    </xf>
    <xf numFmtId="172" fontId="93" fillId="0" borderId="123" xfId="33112" applyNumberFormat="1" applyFont="1" applyFill="1" applyBorder="1" applyAlignment="1">
      <alignment horizontal="right" vertical="center"/>
    </xf>
    <xf numFmtId="0" fontId="98" fillId="0" borderId="167" xfId="33112" applyFont="1" applyFill="1" applyBorder="1" applyAlignment="1">
      <alignment horizontal="right" vertical="center" wrapText="1"/>
    </xf>
    <xf numFmtId="181" fontId="93" fillId="0" borderId="168" xfId="33112" applyNumberFormat="1" applyFont="1" applyFill="1" applyBorder="1" applyAlignment="1">
      <alignment horizontal="right" vertical="center" wrapText="1"/>
    </xf>
    <xf numFmtId="172" fontId="93" fillId="0" borderId="168" xfId="33112" applyNumberFormat="1" applyFont="1" applyFill="1" applyBorder="1" applyAlignment="1">
      <alignment horizontal="right" vertical="center" wrapText="1"/>
    </xf>
    <xf numFmtId="172" fontId="93" fillId="0" borderId="174" xfId="33112" applyNumberFormat="1" applyFont="1" applyFill="1" applyBorder="1" applyAlignment="1">
      <alignment horizontal="right" vertical="center" wrapText="1"/>
    </xf>
    <xf numFmtId="0" fontId="93" fillId="0" borderId="168" xfId="33112" applyFont="1" applyFill="1" applyBorder="1" applyAlignment="1">
      <alignment horizontal="right" vertical="center" wrapText="1"/>
    </xf>
    <xf numFmtId="0" fontId="93" fillId="0" borderId="137" xfId="33112" applyFont="1" applyFill="1" applyBorder="1" applyAlignment="1">
      <alignment horizontal="right" vertical="center" wrapText="1"/>
    </xf>
    <xf numFmtId="0" fontId="93" fillId="0" borderId="123" xfId="33112" applyFont="1" applyFill="1" applyBorder="1" applyAlignment="1">
      <alignment horizontal="right" vertical="center" wrapText="1"/>
    </xf>
    <xf numFmtId="0" fontId="93" fillId="0" borderId="1" xfId="33112" applyFont="1" applyFill="1" applyBorder="1" applyAlignment="1">
      <alignment vertical="top" wrapText="1"/>
    </xf>
    <xf numFmtId="0" fontId="127" fillId="0" borderId="1" xfId="33112" applyFont="1" applyFill="1" applyBorder="1" applyAlignment="1">
      <alignment horizontal="left" vertical="top"/>
    </xf>
    <xf numFmtId="0" fontId="93" fillId="0" borderId="19" xfId="33112" quotePrefix="1" applyFont="1" applyFill="1" applyBorder="1" applyAlignment="1">
      <alignment vertical="top" wrapText="1"/>
    </xf>
    <xf numFmtId="172" fontId="93" fillId="0" borderId="1" xfId="33112" quotePrefix="1" applyNumberFormat="1" applyFont="1" applyFill="1" applyBorder="1" applyAlignment="1">
      <alignment vertical="top" wrapText="1"/>
    </xf>
    <xf numFmtId="174" fontId="98" fillId="4" borderId="3" xfId="11" applyNumberFormat="1" applyFont="1" applyAlignment="1" applyProtection="1">
      <alignment horizontal="right"/>
      <protection locked="0"/>
    </xf>
    <xf numFmtId="174" fontId="93" fillId="0" borderId="0" xfId="0" applyNumberFormat="1" applyFont="1" applyAlignment="1" applyProtection="1">
      <alignment horizontal="right"/>
    </xf>
    <xf numFmtId="172" fontId="93" fillId="0" borderId="0" xfId="0" applyNumberFormat="1" applyFont="1" applyAlignment="1" applyProtection="1">
      <alignment horizontal="right"/>
    </xf>
    <xf numFmtId="0" fontId="94" fillId="63" borderId="1" xfId="0" applyFont="1" applyFill="1" applyBorder="1" applyProtection="1"/>
    <xf numFmtId="0" fontId="93" fillId="63" borderId="1" xfId="0" applyFont="1" applyFill="1" applyBorder="1" applyProtection="1"/>
    <xf numFmtId="3" fontId="94" fillId="63" borderId="1" xfId="11" applyNumberFormat="1" applyFont="1" applyFill="1" applyBorder="1" applyAlignment="1" applyProtection="1">
      <alignment horizontal="center"/>
    </xf>
    <xf numFmtId="174" fontId="93" fillId="0" borderId="0" xfId="0" applyNumberFormat="1" applyFont="1" applyFill="1" applyBorder="1" applyAlignment="1">
      <alignment horizontal="center" vertical="top"/>
    </xf>
    <xf numFmtId="0" fontId="93" fillId="69" borderId="0" xfId="0" applyFont="1" applyFill="1" applyProtection="1"/>
    <xf numFmtId="172" fontId="93" fillId="69" borderId="0" xfId="0" applyNumberFormat="1" applyFont="1" applyFill="1" applyProtection="1"/>
    <xf numFmtId="0" fontId="97" fillId="69" borderId="0" xfId="8" applyFont="1" applyFill="1" applyProtection="1"/>
    <xf numFmtId="0" fontId="97" fillId="69" borderId="0" xfId="0" applyFont="1" applyFill="1" applyProtection="1"/>
    <xf numFmtId="0" fontId="93" fillId="69" borderId="1" xfId="0" applyFont="1" applyFill="1" applyBorder="1" applyProtection="1"/>
    <xf numFmtId="177" fontId="94" fillId="0" borderId="6" xfId="0" quotePrefix="1" applyNumberFormat="1" applyFont="1" applyBorder="1" applyAlignment="1" applyProtection="1">
      <alignment horizontal="center"/>
    </xf>
    <xf numFmtId="174" fontId="94" fillId="65" borderId="5" xfId="0" applyNumberFormat="1" applyFont="1" applyFill="1" applyBorder="1" applyProtection="1"/>
    <xf numFmtId="174" fontId="94" fillId="0" borderId="103" xfId="0" applyNumberFormat="1" applyFont="1" applyFill="1" applyBorder="1"/>
    <xf numFmtId="174" fontId="93" fillId="0" borderId="0" xfId="0" applyNumberFormat="1" applyFont="1" applyBorder="1" applyProtection="1"/>
    <xf numFmtId="172" fontId="93" fillId="0" borderId="0" xfId="0" applyNumberFormat="1" applyFont="1" applyBorder="1" applyProtection="1"/>
    <xf numFmtId="191" fontId="94" fillId="0" borderId="24" xfId="0" applyNumberFormat="1" applyFont="1" applyBorder="1" applyAlignment="1" applyProtection="1">
      <alignment horizontal="center"/>
    </xf>
    <xf numFmtId="174" fontId="98" fillId="2" borderId="137" xfId="0" applyNumberFormat="1" applyFont="1" applyFill="1" applyBorder="1" applyProtection="1"/>
    <xf numFmtId="172" fontId="98" fillId="2" borderId="137" xfId="0" applyNumberFormat="1" applyFont="1" applyFill="1" applyBorder="1" applyProtection="1"/>
    <xf numFmtId="172" fontId="98" fillId="2" borderId="176" xfId="0" applyNumberFormat="1" applyFont="1" applyFill="1" applyBorder="1" applyProtection="1"/>
    <xf numFmtId="174" fontId="108" fillId="65" borderId="53" xfId="0" applyNumberFormat="1" applyFont="1" applyFill="1" applyBorder="1" applyProtection="1"/>
    <xf numFmtId="174" fontId="108" fillId="65" borderId="175" xfId="0" applyNumberFormat="1" applyFont="1" applyFill="1" applyBorder="1" applyProtection="1"/>
    <xf numFmtId="174" fontId="108" fillId="65" borderId="103" xfId="0" applyNumberFormat="1" applyFont="1" applyFill="1" applyBorder="1" applyProtection="1"/>
    <xf numFmtId="175" fontId="93" fillId="68" borderId="0" xfId="0" applyNumberFormat="1" applyFont="1" applyFill="1" applyBorder="1" applyAlignment="1">
      <alignment horizontal="center" vertical="top"/>
    </xf>
    <xf numFmtId="0" fontId="0" fillId="69" borderId="0" xfId="0" applyFill="1"/>
    <xf numFmtId="193" fontId="93" fillId="0" borderId="0" xfId="0" applyNumberFormat="1" applyFont="1" applyAlignment="1">
      <alignment horizontal="center" vertical="top"/>
    </xf>
    <xf numFmtId="174" fontId="94" fillId="0" borderId="32" xfId="0" applyNumberFormat="1" applyFont="1" applyBorder="1" applyAlignment="1">
      <alignment horizontal="center" vertical="top"/>
    </xf>
    <xf numFmtId="0" fontId="94" fillId="69" borderId="69" xfId="0" applyFont="1" applyFill="1" applyBorder="1" applyAlignment="1">
      <alignment horizontal="center"/>
    </xf>
    <xf numFmtId="0" fontId="94" fillId="69" borderId="12" xfId="0" applyFont="1" applyFill="1" applyBorder="1" applyAlignment="1">
      <alignment horizontal="center"/>
    </xf>
    <xf numFmtId="165" fontId="94" fillId="4" borderId="177" xfId="11" applyNumberFormat="1" applyFont="1" applyBorder="1" applyAlignment="1" applyProtection="1">
      <alignment horizontal="center"/>
      <protection locked="0"/>
    </xf>
    <xf numFmtId="0" fontId="108" fillId="65" borderId="0" xfId="33112" applyFont="1" applyFill="1" applyBorder="1" applyAlignment="1">
      <alignment horizontal="left" vertical="top"/>
    </xf>
    <xf numFmtId="0" fontId="128" fillId="65" borderId="0" xfId="33112" applyFont="1" applyFill="1" applyBorder="1" applyAlignment="1">
      <alignment horizontal="left" vertical="top" wrapText="1"/>
    </xf>
    <xf numFmtId="199" fontId="93" fillId="3" borderId="0" xfId="0" applyNumberFormat="1" applyFont="1" applyFill="1" applyBorder="1" applyAlignment="1">
      <alignment horizontal="center"/>
    </xf>
    <xf numFmtId="172" fontId="98" fillId="2" borderId="61" xfId="0" applyNumberFormat="1" applyFont="1" applyFill="1" applyBorder="1" applyAlignment="1" applyProtection="1">
      <alignment horizontal="center" vertical="top"/>
      <protection locked="0"/>
    </xf>
    <xf numFmtId="172" fontId="98" fillId="2" borderId="62" xfId="0" applyNumberFormat="1" applyFont="1" applyFill="1" applyBorder="1" applyAlignment="1" applyProtection="1">
      <alignment horizontal="center" vertical="top"/>
      <protection locked="0"/>
    </xf>
    <xf numFmtId="172" fontId="98" fillId="2" borderId="3" xfId="0" applyNumberFormat="1" applyFont="1" applyFill="1" applyBorder="1" applyAlignment="1" applyProtection="1">
      <alignment horizontal="center" vertical="top"/>
      <protection locked="0"/>
    </xf>
    <xf numFmtId="172" fontId="98" fillId="2" borderId="63" xfId="0" applyNumberFormat="1" applyFont="1" applyFill="1" applyBorder="1" applyAlignment="1" applyProtection="1">
      <alignment horizontal="center" vertical="top"/>
      <protection locked="0"/>
    </xf>
    <xf numFmtId="172" fontId="98" fillId="2" borderId="55" xfId="0" applyNumberFormat="1" applyFont="1" applyFill="1" applyBorder="1" applyAlignment="1" applyProtection="1">
      <alignment horizontal="center" vertical="top"/>
      <protection locked="0"/>
    </xf>
    <xf numFmtId="172" fontId="105" fillId="2" borderId="112" xfId="0" applyNumberFormat="1" applyFont="1" applyFill="1" applyBorder="1" applyAlignment="1" applyProtection="1">
      <alignment horizontal="center" vertical="top"/>
      <protection locked="0"/>
    </xf>
    <xf numFmtId="172" fontId="105" fillId="2" borderId="59" xfId="0" applyNumberFormat="1" applyFont="1" applyFill="1" applyBorder="1" applyAlignment="1" applyProtection="1">
      <alignment horizontal="center" vertical="top"/>
      <protection locked="0"/>
    </xf>
    <xf numFmtId="172" fontId="105" fillId="2" borderId="66" xfId="0" applyNumberFormat="1" applyFont="1" applyFill="1" applyBorder="1" applyAlignment="1" applyProtection="1">
      <alignment horizontal="center" vertical="top"/>
      <protection locked="0"/>
    </xf>
    <xf numFmtId="172" fontId="98" fillId="0" borderId="0" xfId="0" applyNumberFormat="1" applyFont="1" applyFill="1" applyAlignment="1" applyProtection="1">
      <alignment horizontal="right"/>
    </xf>
    <xf numFmtId="172" fontId="98" fillId="0" borderId="0" xfId="0" applyNumberFormat="1" applyFont="1" applyFill="1" applyProtection="1"/>
    <xf numFmtId="172" fontId="92" fillId="0" borderId="0" xfId="0" applyNumberFormat="1" applyFont="1" applyFill="1" applyProtection="1"/>
    <xf numFmtId="174" fontId="92" fillId="0" borderId="0" xfId="0" applyNumberFormat="1" applyFont="1" applyFill="1" applyBorder="1"/>
    <xf numFmtId="172" fontId="92" fillId="0" borderId="67" xfId="0" applyNumberFormat="1" applyFont="1" applyFill="1" applyBorder="1"/>
    <xf numFmtId="172" fontId="92" fillId="0" borderId="0" xfId="0" applyNumberFormat="1" applyFont="1" applyFill="1" applyBorder="1"/>
    <xf numFmtId="191" fontId="94" fillId="0" borderId="1" xfId="0" applyNumberFormat="1" applyFont="1" applyFill="1" applyBorder="1" applyAlignment="1">
      <alignment horizontal="center" wrapText="1"/>
    </xf>
    <xf numFmtId="174" fontId="98" fillId="2" borderId="82" xfId="13118" applyNumberFormat="1" applyFont="1" applyFill="1" applyBorder="1" applyProtection="1"/>
    <xf numFmtId="173" fontId="98" fillId="2" borderId="83" xfId="0" applyNumberFormat="1" applyFont="1" applyFill="1" applyBorder="1" applyProtection="1">
      <protection locked="0"/>
    </xf>
    <xf numFmtId="173" fontId="98" fillId="2" borderId="84" xfId="0" applyNumberFormat="1" applyFont="1" applyFill="1" applyBorder="1" applyProtection="1">
      <protection locked="0"/>
    </xf>
    <xf numFmtId="173" fontId="98" fillId="2" borderId="85" xfId="0" applyNumberFormat="1" applyFont="1" applyFill="1" applyBorder="1" applyProtection="1">
      <protection locked="0"/>
    </xf>
    <xf numFmtId="172" fontId="98" fillId="2" borderId="88" xfId="13118" applyNumberFormat="1" applyFont="1" applyFill="1" applyBorder="1" applyProtection="1">
      <protection locked="0"/>
    </xf>
    <xf numFmtId="172" fontId="98" fillId="2" borderId="89" xfId="13118" applyNumberFormat="1" applyFont="1" applyFill="1" applyBorder="1" applyProtection="1">
      <protection locked="0"/>
    </xf>
    <xf numFmtId="174" fontId="98" fillId="2" borderId="87" xfId="13118" applyNumberFormat="1" applyFont="1" applyFill="1" applyBorder="1" applyProtection="1">
      <protection locked="0"/>
    </xf>
    <xf numFmtId="10" fontId="133" fillId="0" borderId="0" xfId="8" applyNumberFormat="1" applyFont="1" applyFill="1" applyAlignment="1" applyProtection="1">
      <alignment horizontal="center"/>
    </xf>
    <xf numFmtId="172" fontId="124" fillId="2" borderId="20" xfId="6" applyNumberFormat="1" applyFont="1" applyFill="1" applyBorder="1" applyProtection="1">
      <protection locked="0"/>
    </xf>
    <xf numFmtId="172" fontId="124" fillId="2" borderId="101" xfId="8" applyNumberFormat="1" applyFont="1" applyFill="1" applyBorder="1" applyProtection="1"/>
    <xf numFmtId="172" fontId="124" fillId="2" borderId="56" xfId="8" applyNumberFormat="1" applyFont="1" applyFill="1" applyBorder="1" applyProtection="1"/>
    <xf numFmtId="38" fontId="97" fillId="0" borderId="21" xfId="6" applyNumberFormat="1" applyFont="1" applyFill="1" applyBorder="1" applyProtection="1"/>
    <xf numFmtId="172" fontId="97" fillId="0" borderId="21" xfId="6" applyNumberFormat="1" applyFont="1" applyBorder="1" applyProtection="1"/>
    <xf numFmtId="172" fontId="97" fillId="0" borderId="22" xfId="6" applyNumberFormat="1" applyFont="1" applyBorder="1" applyProtection="1"/>
    <xf numFmtId="172" fontId="97" fillId="0" borderId="19" xfId="6" applyNumberFormat="1" applyFont="1" applyBorder="1" applyProtection="1"/>
    <xf numFmtId="172" fontId="96" fillId="0" borderId="26" xfId="6" applyNumberFormat="1" applyFont="1" applyBorder="1" applyProtection="1"/>
    <xf numFmtId="0" fontId="117" fillId="66" borderId="0" xfId="0" quotePrefix="1" applyFont="1" applyFill="1" applyProtection="1"/>
    <xf numFmtId="0" fontId="94" fillId="0" borderId="0" xfId="0" applyFont="1" applyFill="1" applyBorder="1" applyAlignment="1" applyProtection="1">
      <alignment horizontal="left"/>
    </xf>
    <xf numFmtId="0" fontId="132" fillId="0" borderId="0" xfId="0" applyFont="1" applyFill="1" applyProtection="1"/>
    <xf numFmtId="0" fontId="93" fillId="0" borderId="0" xfId="0" applyFont="1" applyFill="1" applyBorder="1" applyAlignment="1" applyProtection="1">
      <alignment horizontal="left"/>
    </xf>
    <xf numFmtId="0" fontId="93" fillId="0" borderId="0" xfId="0" applyFont="1" applyAlignment="1" applyProtection="1">
      <alignment horizontal="left" indent="1"/>
    </xf>
    <xf numFmtId="0" fontId="94" fillId="0" borderId="0" xfId="0" applyFont="1" applyAlignment="1" applyProtection="1">
      <alignment horizontal="right"/>
    </xf>
    <xf numFmtId="0" fontId="94" fillId="0" borderId="0" xfId="0" applyFont="1" applyFill="1" applyBorder="1" applyAlignment="1" applyProtection="1">
      <alignment horizontal="center" vertical="top"/>
    </xf>
    <xf numFmtId="0" fontId="94" fillId="0" borderId="0" xfId="0" applyFont="1" applyFill="1" applyAlignment="1" applyProtection="1">
      <alignment horizontal="center"/>
    </xf>
    <xf numFmtId="0" fontId="93" fillId="0" borderId="0" xfId="0" applyFont="1" applyBorder="1" applyAlignment="1" applyProtection="1">
      <alignment horizontal="left" indent="1"/>
    </xf>
    <xf numFmtId="0" fontId="94" fillId="0" borderId="57" xfId="0" applyFont="1" applyBorder="1" applyAlignment="1" applyProtection="1">
      <alignment horizontal="center"/>
    </xf>
    <xf numFmtId="0" fontId="94" fillId="0" borderId="53" xfId="0" applyFont="1" applyBorder="1" applyAlignment="1" applyProtection="1">
      <alignment horizontal="center"/>
    </xf>
    <xf numFmtId="0" fontId="93" fillId="0" borderId="53" xfId="0" applyFont="1" applyBorder="1" applyProtection="1"/>
    <xf numFmtId="0" fontId="93" fillId="0" borderId="58" xfId="0" applyFont="1" applyBorder="1" applyProtection="1"/>
    <xf numFmtId="0" fontId="94" fillId="0" borderId="24" xfId="0" applyFont="1" applyBorder="1" applyAlignment="1" applyProtection="1">
      <alignment horizontal="center"/>
    </xf>
    <xf numFmtId="0" fontId="94" fillId="0" borderId="20" xfId="0" applyFont="1" applyBorder="1" applyAlignment="1" applyProtection="1">
      <alignment horizontal="center"/>
    </xf>
    <xf numFmtId="0" fontId="111" fillId="0" borderId="107" xfId="0" applyFont="1" applyFill="1" applyBorder="1" applyAlignment="1" applyProtection="1">
      <alignment horizontal="center" vertical="top"/>
    </xf>
    <xf numFmtId="0" fontId="111" fillId="0" borderId="103" xfId="0" applyFont="1" applyFill="1" applyBorder="1" applyAlignment="1" applyProtection="1">
      <alignment horizontal="center" vertical="top"/>
    </xf>
    <xf numFmtId="0" fontId="111" fillId="0" borderId="105" xfId="0" applyFont="1" applyFill="1" applyBorder="1" applyAlignment="1" applyProtection="1">
      <alignment horizontal="center" vertical="top"/>
    </xf>
    <xf numFmtId="0" fontId="111" fillId="0" borderId="19" xfId="0" applyFont="1" applyFill="1" applyBorder="1" applyAlignment="1" applyProtection="1">
      <alignment horizontal="center" vertical="top"/>
    </xf>
    <xf numFmtId="0" fontId="111" fillId="0" borderId="1" xfId="0" applyFont="1" applyFill="1" applyBorder="1" applyAlignment="1" applyProtection="1">
      <alignment horizontal="center" vertical="top"/>
    </xf>
    <xf numFmtId="0" fontId="108" fillId="0" borderId="1" xfId="0" applyFont="1" applyFill="1" applyBorder="1" applyAlignment="1" applyProtection="1">
      <alignment horizontal="center" vertical="top"/>
    </xf>
    <xf numFmtId="0" fontId="108" fillId="0" borderId="18" xfId="0" applyFont="1" applyFill="1" applyBorder="1" applyAlignment="1" applyProtection="1">
      <alignment horizontal="center" vertical="top"/>
    </xf>
    <xf numFmtId="172" fontId="108" fillId="0" borderId="116" xfId="0" applyNumberFormat="1" applyFont="1" applyFill="1" applyBorder="1" applyAlignment="1" applyProtection="1">
      <alignment horizontal="center" vertical="top"/>
    </xf>
    <xf numFmtId="172" fontId="108" fillId="0" borderId="114" xfId="0" applyNumberFormat="1" applyFont="1" applyFill="1" applyBorder="1" applyAlignment="1" applyProtection="1">
      <alignment horizontal="center" vertical="top"/>
    </xf>
    <xf numFmtId="174" fontId="108" fillId="0" borderId="120" xfId="0" applyNumberFormat="1" applyFont="1" applyFill="1" applyBorder="1" applyAlignment="1" applyProtection="1">
      <alignment horizontal="center" vertical="top"/>
    </xf>
    <xf numFmtId="172" fontId="108" fillId="0" borderId="1" xfId="0" applyNumberFormat="1" applyFont="1" applyFill="1" applyBorder="1" applyAlignment="1" applyProtection="1">
      <alignment horizontal="center" vertical="top"/>
    </xf>
    <xf numFmtId="172" fontId="108" fillId="0" borderId="18" xfId="0" applyNumberFormat="1" applyFont="1" applyFill="1" applyBorder="1" applyAlignment="1" applyProtection="1">
      <alignment horizontal="center" vertical="top"/>
    </xf>
    <xf numFmtId="174" fontId="108" fillId="0" borderId="103" xfId="0" applyNumberFormat="1" applyFont="1" applyFill="1" applyBorder="1" applyAlignment="1" applyProtection="1">
      <alignment horizontal="center" vertical="top"/>
    </xf>
    <xf numFmtId="0" fontId="111" fillId="0" borderId="24" xfId="0" applyFont="1" applyFill="1" applyBorder="1" applyAlignment="1" applyProtection="1">
      <alignment horizontal="center" vertical="top"/>
    </xf>
    <xf numFmtId="0" fontId="93" fillId="0" borderId="24" xfId="0" applyFont="1" applyFill="1" applyBorder="1" applyAlignment="1" applyProtection="1">
      <alignment horizontal="center" vertical="top"/>
    </xf>
    <xf numFmtId="0" fontId="108" fillId="3" borderId="1" xfId="0" applyFont="1" applyFill="1" applyBorder="1" applyProtection="1"/>
    <xf numFmtId="0" fontId="93" fillId="0" borderId="19" xfId="0" applyFont="1" applyFill="1" applyBorder="1" applyAlignment="1" applyProtection="1">
      <alignment horizontal="center" vertical="top"/>
    </xf>
    <xf numFmtId="0" fontId="110" fillId="3" borderId="116" xfId="0" applyFont="1" applyFill="1" applyBorder="1" applyProtection="1"/>
    <xf numFmtId="0" fontId="93" fillId="3" borderId="68" xfId="0" applyFont="1" applyFill="1" applyBorder="1" applyAlignment="1" applyProtection="1">
      <alignment wrapText="1"/>
    </xf>
    <xf numFmtId="0" fontId="93" fillId="0" borderId="68" xfId="0" applyFont="1" applyFill="1" applyBorder="1" applyAlignment="1" applyProtection="1">
      <alignment horizontal="center" vertical="top"/>
    </xf>
    <xf numFmtId="174" fontId="93" fillId="0" borderId="0" xfId="0" applyNumberFormat="1" applyFont="1" applyFill="1" applyBorder="1" applyAlignment="1" applyProtection="1">
      <alignment horizontal="center" vertical="top"/>
    </xf>
    <xf numFmtId="0" fontId="98" fillId="0" borderId="0" xfId="0" applyFont="1" applyFill="1" applyBorder="1" applyProtection="1"/>
    <xf numFmtId="175" fontId="98" fillId="0" borderId="0" xfId="0" applyNumberFormat="1" applyFont="1" applyFill="1" applyBorder="1" applyProtection="1"/>
    <xf numFmtId="174" fontId="94" fillId="3" borderId="53" xfId="0" applyNumberFormat="1" applyFont="1" applyFill="1" applyBorder="1" applyAlignment="1" applyProtection="1">
      <alignment horizontal="center"/>
    </xf>
    <xf numFmtId="0" fontId="93" fillId="0" borderId="0" xfId="0" applyFont="1" applyFill="1" applyBorder="1" applyAlignment="1" applyProtection="1">
      <alignment horizontal="center" vertical="top"/>
    </xf>
    <xf numFmtId="172" fontId="93" fillId="0" borderId="0" xfId="0" applyNumberFormat="1" applyFont="1" applyFill="1" applyBorder="1" applyAlignment="1" applyProtection="1">
      <alignment horizontal="center" vertical="top"/>
    </xf>
    <xf numFmtId="0" fontId="94" fillId="0" borderId="0" xfId="0" quotePrefix="1" applyFont="1" applyFill="1" applyBorder="1" applyAlignment="1" applyProtection="1">
      <alignment horizontal="center"/>
    </xf>
    <xf numFmtId="0" fontId="123" fillId="0" borderId="1" xfId="0" applyFont="1" applyFill="1" applyBorder="1" applyProtection="1"/>
    <xf numFmtId="0" fontId="94" fillId="0" borderId="1" xfId="0" applyFont="1" applyFill="1" applyBorder="1" applyAlignment="1" applyProtection="1">
      <alignment horizontal="center"/>
    </xf>
    <xf numFmtId="0" fontId="93" fillId="3" borderId="0" xfId="0" applyFont="1" applyFill="1" applyBorder="1" applyAlignment="1" applyProtection="1">
      <alignment wrapText="1"/>
    </xf>
    <xf numFmtId="0" fontId="93" fillId="3" borderId="67" xfId="0" applyFont="1" applyFill="1" applyBorder="1" applyProtection="1"/>
    <xf numFmtId="0" fontId="93" fillId="0" borderId="0" xfId="0" applyFont="1" applyBorder="1" applyAlignment="1" applyProtection="1">
      <alignment horizontal="left" vertical="center" indent="1"/>
    </xf>
    <xf numFmtId="0" fontId="93" fillId="3" borderId="118" xfId="0" applyFont="1" applyFill="1" applyBorder="1" applyProtection="1"/>
    <xf numFmtId="0" fontId="94" fillId="3" borderId="53" xfId="0" applyFont="1" applyFill="1" applyBorder="1" applyProtection="1"/>
    <xf numFmtId="0" fontId="93" fillId="3" borderId="53" xfId="0" applyFont="1" applyFill="1" applyBorder="1" applyProtection="1"/>
    <xf numFmtId="0" fontId="94" fillId="3" borderId="53" xfId="0" applyFont="1" applyFill="1" applyBorder="1" applyAlignment="1" applyProtection="1">
      <alignment horizontal="center"/>
    </xf>
    <xf numFmtId="0" fontId="109" fillId="3" borderId="0" xfId="0" applyFont="1" applyFill="1" applyBorder="1" applyProtection="1"/>
    <xf numFmtId="0" fontId="94" fillId="3" borderId="0" xfId="0" applyFont="1" applyFill="1" applyBorder="1" applyAlignment="1" applyProtection="1">
      <alignment horizontal="center"/>
    </xf>
    <xf numFmtId="9" fontId="93" fillId="3" borderId="0" xfId="9" applyFont="1" applyFill="1" applyBorder="1" applyAlignment="1" applyProtection="1">
      <alignment horizontal="center" vertical="top"/>
    </xf>
    <xf numFmtId="0" fontId="98" fillId="2" borderId="92" xfId="0" applyFont="1" applyFill="1" applyBorder="1" applyProtection="1">
      <protection locked="0"/>
    </xf>
    <xf numFmtId="174" fontId="98" fillId="2" borderId="119" xfId="0" applyNumberFormat="1" applyFont="1" applyFill="1" applyBorder="1" applyProtection="1">
      <protection locked="0"/>
    </xf>
    <xf numFmtId="0" fontId="98" fillId="2" borderId="67" xfId="0" applyFont="1" applyFill="1" applyBorder="1" applyProtection="1">
      <protection locked="0"/>
    </xf>
    <xf numFmtId="174" fontId="98" fillId="2" borderId="122" xfId="0" applyNumberFormat="1" applyFont="1" applyFill="1" applyBorder="1" applyProtection="1">
      <protection locked="0"/>
    </xf>
    <xf numFmtId="175" fontId="98" fillId="2" borderId="122" xfId="0" applyNumberFormat="1" applyFont="1" applyFill="1" applyBorder="1" applyProtection="1">
      <protection locked="0"/>
    </xf>
    <xf numFmtId="175" fontId="98" fillId="2" borderId="123" xfId="0" applyNumberFormat="1" applyFont="1" applyFill="1" applyBorder="1" applyProtection="1">
      <protection locked="0"/>
    </xf>
    <xf numFmtId="0" fontId="98" fillId="2" borderId="117" xfId="0" applyFont="1" applyFill="1" applyBorder="1" applyAlignment="1" applyProtection="1">
      <alignment horizontal="center"/>
      <protection locked="0"/>
    </xf>
    <xf numFmtId="172" fontId="98" fillId="2" borderId="119"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protection locked="0"/>
    </xf>
    <xf numFmtId="172" fontId="98" fillId="2" borderId="123" xfId="0" applyNumberFormat="1" applyFont="1" applyFill="1" applyBorder="1" applyAlignment="1" applyProtection="1">
      <alignment horizontal="center"/>
      <protection locked="0"/>
    </xf>
    <xf numFmtId="0" fontId="98" fillId="2" borderId="99" xfId="0" applyFont="1" applyFill="1" applyBorder="1" applyAlignment="1" applyProtection="1">
      <alignment horizontal="center" vertical="center"/>
      <protection locked="0"/>
    </xf>
    <xf numFmtId="172" fontId="98" fillId="2" borderId="123" xfId="0" applyNumberFormat="1" applyFont="1" applyFill="1" applyBorder="1" applyAlignment="1" applyProtection="1">
      <alignment horizontal="center" vertical="center"/>
      <protection locked="0"/>
    </xf>
    <xf numFmtId="172" fontId="98" fillId="2" borderId="124" xfId="0" applyNumberFormat="1" applyFont="1" applyFill="1" applyBorder="1" applyAlignment="1" applyProtection="1">
      <alignment horizontal="center"/>
      <protection locked="0"/>
    </xf>
    <xf numFmtId="172" fontId="98" fillId="2" borderId="125" xfId="0" applyNumberFormat="1" applyFont="1" applyFill="1" applyBorder="1" applyAlignment="1" applyProtection="1">
      <alignment horizontal="center"/>
      <protection locked="0"/>
    </xf>
    <xf numFmtId="0" fontId="92" fillId="0" borderId="103" xfId="0" applyFont="1" applyBorder="1" applyAlignment="1" applyProtection="1"/>
    <xf numFmtId="183" fontId="98" fillId="0" borderId="103" xfId="0" applyNumberFormat="1" applyFont="1" applyBorder="1" applyProtection="1"/>
    <xf numFmtId="5" fontId="98" fillId="0" borderId="103" xfId="13118" applyNumberFormat="1" applyFont="1" applyBorder="1" applyProtection="1"/>
    <xf numFmtId="0" fontId="92" fillId="0" borderId="0" xfId="0" applyFont="1" applyBorder="1" applyAlignment="1" applyProtection="1"/>
    <xf numFmtId="183" fontId="98" fillId="0" borderId="0" xfId="0" applyNumberFormat="1" applyFont="1" applyBorder="1" applyProtection="1"/>
    <xf numFmtId="5" fontId="98" fillId="0" borderId="0" xfId="13118" applyNumberFormat="1" applyFont="1" applyBorder="1" applyProtection="1"/>
    <xf numFmtId="174" fontId="98" fillId="2" borderId="92" xfId="0" applyNumberFormat="1" applyFont="1" applyFill="1" applyBorder="1" applyProtection="1">
      <protection locked="0"/>
    </xf>
    <xf numFmtId="0" fontId="98" fillId="2" borderId="117" xfId="0" applyFont="1" applyFill="1" applyBorder="1" applyProtection="1">
      <protection locked="0"/>
    </xf>
    <xf numFmtId="172" fontId="98" fillId="2" borderId="67" xfId="0" applyNumberFormat="1" applyFont="1" applyFill="1" applyBorder="1" applyProtection="1">
      <protection locked="0"/>
    </xf>
    <xf numFmtId="174" fontId="98" fillId="2" borderId="67" xfId="0" applyNumberFormat="1" applyFont="1" applyFill="1" applyBorder="1" applyProtection="1">
      <protection locked="0"/>
    </xf>
    <xf numFmtId="174" fontId="98" fillId="2" borderId="99" xfId="0" applyNumberFormat="1" applyFont="1" applyFill="1" applyBorder="1" applyProtection="1">
      <protection locked="0"/>
    </xf>
    <xf numFmtId="172" fontId="98" fillId="2" borderId="99" xfId="0" applyNumberFormat="1" applyFont="1" applyFill="1" applyBorder="1" applyProtection="1">
      <protection locked="0"/>
    </xf>
    <xf numFmtId="0" fontId="98" fillId="2" borderId="67" xfId="0" applyFont="1" applyFill="1" applyBorder="1" applyAlignment="1" applyProtection="1">
      <alignment vertical="center"/>
      <protection locked="0"/>
    </xf>
    <xf numFmtId="0" fontId="122" fillId="2" borderId="67" xfId="0" applyFont="1" applyFill="1" applyBorder="1" applyProtection="1">
      <protection locked="0"/>
    </xf>
    <xf numFmtId="0" fontId="98" fillId="2" borderId="99" xfId="0" applyFont="1" applyFill="1" applyBorder="1" applyProtection="1">
      <protection locked="0"/>
    </xf>
    <xf numFmtId="172" fontId="98" fillId="2" borderId="91" xfId="0" applyNumberFormat="1" applyFont="1" applyFill="1" applyBorder="1" applyProtection="1">
      <protection locked="0"/>
    </xf>
    <xf numFmtId="172" fontId="98" fillId="2" borderId="67" xfId="0" applyNumberFormat="1" applyFont="1" applyFill="1" applyBorder="1" applyAlignment="1" applyProtection="1">
      <alignment wrapText="1"/>
      <protection locked="0"/>
    </xf>
    <xf numFmtId="0" fontId="111" fillId="0" borderId="76" xfId="0" applyFont="1" applyFill="1" applyBorder="1" applyAlignment="1" applyProtection="1">
      <alignment horizontal="center" vertical="top"/>
    </xf>
    <xf numFmtId="0" fontId="111" fillId="0" borderId="60" xfId="0" applyFont="1" applyFill="1" applyBorder="1" applyAlignment="1" applyProtection="1">
      <alignment horizontal="center" vertical="top"/>
    </xf>
    <xf numFmtId="0" fontId="111" fillId="0" borderId="74" xfId="0" applyFont="1" applyFill="1" applyBorder="1" applyAlignment="1" applyProtection="1">
      <alignment horizontal="center" vertical="top"/>
    </xf>
    <xf numFmtId="191" fontId="108" fillId="0" borderId="65" xfId="0" applyNumberFormat="1" applyFont="1" applyFill="1" applyBorder="1" applyAlignment="1" applyProtection="1">
      <alignment horizontal="center" vertical="top"/>
    </xf>
    <xf numFmtId="191" fontId="108" fillId="0" borderId="59" xfId="0" applyNumberFormat="1" applyFont="1" applyFill="1" applyBorder="1" applyAlignment="1" applyProtection="1">
      <alignment horizontal="center" vertical="top"/>
    </xf>
    <xf numFmtId="191" fontId="108" fillId="0" borderId="66" xfId="0" applyNumberFormat="1" applyFont="1" applyFill="1" applyBorder="1" applyAlignment="1" applyProtection="1">
      <alignment horizontal="center" vertical="top"/>
    </xf>
    <xf numFmtId="172" fontId="93" fillId="2" borderId="105" xfId="0" applyNumberFormat="1" applyFont="1" applyFill="1" applyBorder="1" applyAlignment="1" applyProtection="1">
      <alignment horizontal="center" vertical="top"/>
    </xf>
    <xf numFmtId="0" fontId="92" fillId="0" borderId="108" xfId="0" applyFont="1" applyFill="1" applyBorder="1" applyAlignment="1" applyProtection="1">
      <alignment horizontal="center" vertical="top"/>
    </xf>
    <xf numFmtId="0" fontId="92" fillId="0" borderId="109" xfId="0" applyFont="1" applyFill="1" applyBorder="1" applyAlignment="1" applyProtection="1">
      <alignment horizontal="center" vertical="top"/>
    </xf>
    <xf numFmtId="0" fontId="92" fillId="0" borderId="110" xfId="0" applyFont="1" applyFill="1" applyBorder="1" applyAlignment="1" applyProtection="1">
      <alignment horizontal="center" vertical="top"/>
    </xf>
    <xf numFmtId="172" fontId="93" fillId="2" borderId="106" xfId="0" applyNumberFormat="1" applyFont="1" applyFill="1" applyBorder="1" applyAlignment="1" applyProtection="1">
      <alignment horizontal="center" vertical="top"/>
    </xf>
    <xf numFmtId="0" fontId="92" fillId="0" borderId="65" xfId="0" applyFont="1" applyFill="1" applyBorder="1" applyAlignment="1" applyProtection="1">
      <alignment horizontal="center" vertical="top"/>
    </xf>
    <xf numFmtId="0" fontId="92" fillId="0" borderId="59" xfId="0" applyFont="1" applyFill="1" applyBorder="1" applyAlignment="1" applyProtection="1">
      <alignment horizontal="center" vertical="top"/>
    </xf>
    <xf numFmtId="0" fontId="92" fillId="0" borderId="66" xfId="0" applyFont="1" applyFill="1" applyBorder="1" applyAlignment="1" applyProtection="1">
      <alignment horizontal="center" vertical="top"/>
    </xf>
    <xf numFmtId="0" fontId="93" fillId="0" borderId="116" xfId="0" applyFont="1" applyFill="1" applyBorder="1" applyAlignment="1" applyProtection="1">
      <alignment horizontal="center" vertical="top"/>
    </xf>
    <xf numFmtId="0" fontId="93" fillId="2" borderId="93" xfId="0" applyFont="1" applyFill="1" applyBorder="1" applyAlignment="1" applyProtection="1">
      <alignment horizontal="center" vertical="top"/>
    </xf>
    <xf numFmtId="172" fontId="93" fillId="0" borderId="162" xfId="0" applyNumberFormat="1" applyFont="1" applyFill="1" applyBorder="1" applyAlignment="1" applyProtection="1">
      <alignment horizontal="center" vertical="top"/>
    </xf>
    <xf numFmtId="172" fontId="93" fillId="0" borderId="163" xfId="0" applyNumberFormat="1" applyFont="1" applyFill="1" applyBorder="1" applyAlignment="1" applyProtection="1">
      <alignment horizontal="center" vertical="top"/>
    </xf>
    <xf numFmtId="0" fontId="93" fillId="0" borderId="67" xfId="0" applyFont="1" applyFill="1" applyBorder="1" applyProtection="1"/>
    <xf numFmtId="0" fontId="93" fillId="2" borderId="67" xfId="0" applyFont="1" applyFill="1" applyBorder="1" applyAlignment="1" applyProtection="1">
      <alignment horizontal="center" vertical="top"/>
    </xf>
    <xf numFmtId="172" fontId="93" fillId="0" borderId="126" xfId="0" applyNumberFormat="1" applyFont="1" applyFill="1" applyBorder="1" applyAlignment="1" applyProtection="1">
      <alignment horizontal="center" vertical="top"/>
    </xf>
    <xf numFmtId="172" fontId="93" fillId="0" borderId="113" xfId="0" applyNumberFormat="1" applyFont="1" applyFill="1" applyBorder="1" applyAlignment="1" applyProtection="1">
      <alignment horizontal="center" vertical="top"/>
    </xf>
    <xf numFmtId="0" fontId="93" fillId="2" borderId="142" xfId="0" applyFont="1" applyFill="1" applyBorder="1" applyAlignment="1" applyProtection="1">
      <alignment horizontal="center" vertical="top"/>
    </xf>
    <xf numFmtId="172" fontId="93" fillId="0" borderId="160" xfId="0" applyNumberFormat="1" applyFont="1" applyFill="1" applyBorder="1" applyAlignment="1" applyProtection="1">
      <alignment horizontal="center" vertical="top"/>
    </xf>
    <xf numFmtId="172" fontId="93" fillId="0" borderId="161" xfId="0" applyNumberFormat="1" applyFont="1" applyFill="1" applyBorder="1" applyAlignment="1" applyProtection="1">
      <alignment horizontal="center" vertical="top"/>
    </xf>
    <xf numFmtId="0" fontId="123" fillId="0" borderId="0" xfId="0" applyFont="1" applyFill="1" applyBorder="1" applyAlignment="1" applyProtection="1">
      <alignment horizontal="center" vertical="top"/>
    </xf>
    <xf numFmtId="0" fontId="98" fillId="2" borderId="182" xfId="0" applyFont="1" applyFill="1" applyBorder="1" applyProtection="1">
      <protection locked="0"/>
    </xf>
    <xf numFmtId="0" fontId="98" fillId="2" borderId="93" xfId="0" applyFont="1" applyFill="1" applyBorder="1" applyProtection="1">
      <protection locked="0"/>
    </xf>
    <xf numFmtId="0" fontId="98" fillId="2" borderId="183" xfId="0" applyFont="1" applyFill="1" applyBorder="1" applyProtection="1">
      <protection locked="0"/>
    </xf>
    <xf numFmtId="0" fontId="98" fillId="2" borderId="100" xfId="0" applyFont="1" applyFill="1" applyBorder="1" applyProtection="1">
      <protection locked="0"/>
    </xf>
    <xf numFmtId="0" fontId="98" fillId="2" borderId="181" xfId="0" applyFont="1" applyFill="1" applyBorder="1" applyProtection="1">
      <protection locked="0"/>
    </xf>
    <xf numFmtId="0" fontId="98" fillId="2" borderId="184" xfId="0" applyFont="1" applyFill="1" applyBorder="1" applyProtection="1">
      <protection locked="0"/>
    </xf>
    <xf numFmtId="0" fontId="98" fillId="2" borderId="142" xfId="0" applyFont="1" applyFill="1" applyBorder="1" applyProtection="1">
      <protection locked="0"/>
    </xf>
    <xf numFmtId="0" fontId="98" fillId="2" borderId="185" xfId="0" applyFont="1" applyFill="1" applyBorder="1" applyProtection="1">
      <protection locked="0"/>
    </xf>
    <xf numFmtId="174" fontId="98" fillId="2" borderId="107" xfId="33110" applyNumberFormat="1" applyFont="1" applyFill="1" applyBorder="1" applyProtection="1">
      <protection locked="0"/>
    </xf>
    <xf numFmtId="174" fontId="98" fillId="2" borderId="103" xfId="33110" applyNumberFormat="1" applyFont="1" applyFill="1" applyBorder="1" applyProtection="1">
      <protection locked="0"/>
    </xf>
    <xf numFmtId="174" fontId="98" fillId="2" borderId="105" xfId="33110" applyNumberFormat="1" applyFont="1" applyFill="1" applyBorder="1" applyProtection="1">
      <protection locked="0"/>
    </xf>
    <xf numFmtId="172" fontId="98" fillId="2" borderId="100" xfId="33110" applyNumberFormat="1" applyFont="1" applyFill="1" applyBorder="1" applyProtection="1">
      <protection locked="0"/>
    </xf>
    <xf numFmtId="172" fontId="98" fillId="2" borderId="67" xfId="33110" applyNumberFormat="1" applyFont="1" applyFill="1" applyBorder="1" applyProtection="1">
      <protection locked="0"/>
    </xf>
    <xf numFmtId="172" fontId="98" fillId="2" borderId="181" xfId="33110" applyNumberFormat="1" applyFont="1" applyFill="1" applyBorder="1" applyProtection="1">
      <protection locked="0"/>
    </xf>
    <xf numFmtId="172" fontId="93" fillId="2" borderId="19" xfId="33110" applyNumberFormat="1" applyFont="1" applyFill="1" applyBorder="1" applyProtection="1">
      <protection locked="0"/>
    </xf>
    <xf numFmtId="172" fontId="93" fillId="2" borderId="1" xfId="33110" applyNumberFormat="1" applyFont="1" applyFill="1" applyBorder="1" applyProtection="1">
      <protection locked="0"/>
    </xf>
    <xf numFmtId="172" fontId="93" fillId="2" borderId="18" xfId="33110" applyNumberFormat="1" applyFont="1" applyFill="1" applyBorder="1" applyProtection="1">
      <protection locked="0"/>
    </xf>
    <xf numFmtId="0" fontId="93" fillId="2" borderId="99" xfId="0" applyFont="1" applyFill="1" applyBorder="1" applyProtection="1">
      <protection locked="0"/>
    </xf>
    <xf numFmtId="0" fontId="127" fillId="0" borderId="0" xfId="33112" applyFill="1" applyBorder="1" applyAlignment="1" applyProtection="1">
      <alignment horizontal="left" vertical="top"/>
    </xf>
    <xf numFmtId="0" fontId="111" fillId="0" borderId="108" xfId="0" applyFont="1" applyFill="1" applyBorder="1" applyAlignment="1" applyProtection="1">
      <alignment horizontal="center" vertical="top"/>
    </xf>
    <xf numFmtId="0" fontId="111" fillId="0" borderId="109" xfId="0" applyFont="1" applyFill="1" applyBorder="1" applyAlignment="1" applyProtection="1">
      <alignment horizontal="center" vertical="top"/>
    </xf>
    <xf numFmtId="0" fontId="111" fillId="0" borderId="110" xfId="0" applyFont="1" applyFill="1" applyBorder="1" applyAlignment="1" applyProtection="1">
      <alignment horizontal="center" vertical="top"/>
    </xf>
    <xf numFmtId="0" fontId="108" fillId="0" borderId="65" xfId="0" applyFont="1" applyFill="1" applyBorder="1" applyAlignment="1" applyProtection="1">
      <alignment horizontal="center" vertical="top"/>
    </xf>
    <xf numFmtId="0" fontId="108" fillId="0" borderId="59" xfId="0" applyFont="1" applyFill="1" applyBorder="1" applyAlignment="1" applyProtection="1">
      <alignment horizontal="center" vertical="top"/>
    </xf>
    <xf numFmtId="0" fontId="108" fillId="0" borderId="66" xfId="0" applyFont="1" applyFill="1" applyBorder="1" applyAlignment="1" applyProtection="1">
      <alignment horizontal="center" vertical="top"/>
    </xf>
    <xf numFmtId="0" fontId="98" fillId="2" borderId="167" xfId="33112" applyFont="1" applyFill="1" applyBorder="1" applyAlignment="1" applyProtection="1">
      <alignment horizontal="right" vertical="center" wrapText="1"/>
      <protection locked="0"/>
    </xf>
    <xf numFmtId="198" fontId="98" fillId="2" borderId="167" xfId="33112" applyNumberFormat="1" applyFont="1" applyFill="1" applyBorder="1" applyAlignment="1" applyProtection="1">
      <alignment horizontal="right" vertical="center" wrapText="1"/>
      <protection locked="0"/>
    </xf>
    <xf numFmtId="181" fontId="93" fillId="2" borderId="168" xfId="33112" applyNumberFormat="1" applyFont="1" applyFill="1" applyBorder="1" applyAlignment="1" applyProtection="1">
      <alignment vertical="center" wrapText="1"/>
      <protection locked="0"/>
    </xf>
    <xf numFmtId="172" fontId="92" fillId="2" borderId="168" xfId="33112" applyNumberFormat="1" applyFont="1" applyFill="1" applyBorder="1" applyAlignment="1" applyProtection="1">
      <alignment vertical="center" wrapText="1"/>
      <protection locked="0"/>
    </xf>
    <xf numFmtId="172" fontId="98" fillId="2" borderId="167" xfId="33112" applyNumberFormat="1" applyFont="1" applyFill="1" applyBorder="1" applyAlignment="1" applyProtection="1">
      <alignment horizontal="right" vertical="center" wrapText="1"/>
      <protection locked="0"/>
    </xf>
    <xf numFmtId="0" fontId="98" fillId="2" borderId="167" xfId="33112" applyFont="1" applyFill="1" applyBorder="1" applyAlignment="1" applyProtection="1">
      <alignment vertical="center" wrapText="1"/>
      <protection locked="0"/>
    </xf>
    <xf numFmtId="196" fontId="98" fillId="2" borderId="167" xfId="33112" applyNumberFormat="1" applyFont="1" applyFill="1" applyBorder="1" applyAlignment="1" applyProtection="1">
      <alignment vertical="center" wrapText="1"/>
      <protection locked="0"/>
    </xf>
    <xf numFmtId="0" fontId="98" fillId="2" borderId="173" xfId="33112" applyFont="1" applyFill="1" applyBorder="1" applyAlignment="1" applyProtection="1">
      <alignment vertical="center" wrapText="1"/>
      <protection locked="0"/>
    </xf>
    <xf numFmtId="172" fontId="92" fillId="2" borderId="170" xfId="33112" applyNumberFormat="1" applyFont="1" applyFill="1" applyBorder="1" applyAlignment="1" applyProtection="1">
      <alignment vertical="center" wrapText="1"/>
      <protection locked="0"/>
    </xf>
    <xf numFmtId="0" fontId="98" fillId="2" borderId="137" xfId="33112" applyFont="1" applyFill="1" applyBorder="1" applyAlignment="1" applyProtection="1">
      <alignment horizontal="right" vertical="center" wrapText="1"/>
      <protection locked="0"/>
    </xf>
    <xf numFmtId="198" fontId="98" fillId="2" borderId="137" xfId="33112" applyNumberFormat="1" applyFont="1" applyFill="1" applyBorder="1" applyAlignment="1" applyProtection="1">
      <alignment horizontal="right" vertical="center" wrapText="1"/>
      <protection locked="0"/>
    </xf>
    <xf numFmtId="0" fontId="98" fillId="2" borderId="173" xfId="33112" applyFont="1" applyFill="1" applyBorder="1" applyAlignment="1" applyProtection="1">
      <alignment horizontal="right" vertical="center" wrapText="1"/>
      <protection locked="0"/>
    </xf>
    <xf numFmtId="173" fontId="98" fillId="2" borderId="167" xfId="33112" applyNumberFormat="1" applyFont="1" applyFill="1" applyBorder="1" applyAlignment="1" applyProtection="1">
      <alignment horizontal="right" vertical="center" wrapText="1"/>
      <protection locked="0"/>
    </xf>
    <xf numFmtId="173" fontId="98" fillId="2" borderId="173" xfId="33112" applyNumberFormat="1" applyFont="1" applyFill="1" applyBorder="1" applyAlignment="1" applyProtection="1">
      <alignment horizontal="right" vertical="center" wrapText="1"/>
      <protection locked="0"/>
    </xf>
    <xf numFmtId="172" fontId="98" fillId="2" borderId="137" xfId="33112" applyNumberFormat="1" applyFont="1" applyFill="1" applyBorder="1" applyAlignment="1" applyProtection="1">
      <alignment horizontal="right" vertical="center" wrapText="1"/>
      <protection locked="0"/>
    </xf>
    <xf numFmtId="175" fontId="98" fillId="2" borderId="18" xfId="33112" quotePrefix="1" applyNumberFormat="1" applyFont="1" applyFill="1" applyBorder="1" applyAlignment="1" applyProtection="1">
      <alignment vertical="top" wrapText="1"/>
      <protection locked="0"/>
    </xf>
    <xf numFmtId="174" fontId="98" fillId="2" borderId="99" xfId="0" applyNumberFormat="1" applyFont="1" applyFill="1" applyBorder="1" applyAlignment="1" applyProtection="1">
      <alignment horizontal="right" wrapText="1"/>
      <protection locked="0"/>
    </xf>
    <xf numFmtId="172" fontId="98" fillId="2" borderId="99" xfId="0" applyNumberFormat="1" applyFont="1" applyFill="1" applyBorder="1" applyAlignment="1" applyProtection="1">
      <alignment horizontal="right" wrapText="1"/>
      <protection locked="0"/>
    </xf>
    <xf numFmtId="172" fontId="98" fillId="2" borderId="0" xfId="0" applyNumberFormat="1" applyFont="1" applyFill="1" applyAlignment="1" applyProtection="1">
      <alignment horizontal="right" wrapText="1"/>
      <protection locked="0"/>
    </xf>
    <xf numFmtId="172" fontId="98" fillId="2" borderId="0" xfId="0" applyNumberFormat="1" applyFont="1" applyFill="1" applyAlignment="1" applyProtection="1">
      <alignment horizontal="right"/>
      <protection locked="0"/>
    </xf>
    <xf numFmtId="3" fontId="93" fillId="4" borderId="3" xfId="11" applyNumberFormat="1" applyFont="1" applyAlignment="1" applyProtection="1">
      <alignment horizontal="center"/>
      <protection locked="0"/>
    </xf>
    <xf numFmtId="10" fontId="98" fillId="4" borderId="3" xfId="11" applyNumberFormat="1" applyFont="1" applyAlignment="1" applyProtection="1">
      <alignment horizontal="center"/>
      <protection locked="0"/>
    </xf>
    <xf numFmtId="3" fontId="98" fillId="4" borderId="3" xfId="11" applyNumberFormat="1" applyFont="1" applyAlignment="1" applyProtection="1">
      <alignment horizontal="center"/>
      <protection locked="0"/>
    </xf>
    <xf numFmtId="0" fontId="94" fillId="0" borderId="24" xfId="0" applyFont="1" applyFill="1" applyBorder="1" applyAlignment="1" applyProtection="1">
      <alignment horizontal="center"/>
    </xf>
    <xf numFmtId="0" fontId="111" fillId="0" borderId="43" xfId="0" applyFont="1" applyFill="1" applyBorder="1" applyAlignment="1" applyProtection="1">
      <alignment horizontal="center" vertical="top"/>
    </xf>
    <xf numFmtId="0" fontId="108" fillId="0" borderId="43" xfId="0" applyFont="1" applyFill="1" applyBorder="1" applyAlignment="1" applyProtection="1">
      <alignment horizontal="center" vertical="top"/>
    </xf>
    <xf numFmtId="0" fontId="111" fillId="0" borderId="53" xfId="0" applyFont="1" applyFill="1" applyBorder="1" applyAlignment="1" applyProtection="1">
      <alignment horizontal="center" vertical="top"/>
    </xf>
    <xf numFmtId="0" fontId="108" fillId="0" borderId="53" xfId="0" applyFont="1" applyFill="1" applyBorder="1" applyAlignment="1" applyProtection="1">
      <alignment horizontal="center" vertical="top"/>
    </xf>
    <xf numFmtId="0" fontId="111" fillId="64" borderId="1" xfId="0" applyFont="1" applyFill="1" applyBorder="1" applyAlignment="1" applyProtection="1">
      <alignment horizontal="center" vertical="top"/>
    </xf>
    <xf numFmtId="0" fontId="108" fillId="64" borderId="1" xfId="0" applyFont="1" applyFill="1" applyBorder="1" applyAlignment="1" applyProtection="1">
      <alignment horizontal="center" vertical="top"/>
    </xf>
    <xf numFmtId="0" fontId="111" fillId="0" borderId="0" xfId="0" applyFont="1" applyFill="1" applyBorder="1" applyAlignment="1" applyProtection="1">
      <alignment horizontal="center" vertical="top"/>
    </xf>
    <xf numFmtId="172" fontId="92" fillId="0" borderId="111" xfId="0" applyNumberFormat="1" applyFont="1" applyFill="1" applyBorder="1" applyAlignment="1" applyProtection="1">
      <alignment horizontal="center" vertical="top"/>
    </xf>
    <xf numFmtId="172" fontId="92" fillId="0" borderId="109" xfId="0" applyNumberFormat="1" applyFont="1" applyFill="1" applyBorder="1" applyAlignment="1" applyProtection="1">
      <alignment horizontal="center" vertical="top"/>
    </xf>
    <xf numFmtId="172" fontId="92" fillId="0" borderId="110" xfId="0" applyNumberFormat="1" applyFont="1" applyFill="1" applyBorder="1" applyAlignment="1" applyProtection="1">
      <alignment horizontal="center" vertical="top"/>
    </xf>
    <xf numFmtId="0" fontId="111" fillId="0" borderId="56" xfId="0" applyFont="1" applyFill="1" applyBorder="1" applyAlignment="1" applyProtection="1">
      <alignment horizontal="center" vertical="top"/>
    </xf>
    <xf numFmtId="172" fontId="93" fillId="0" borderId="126" xfId="9" applyNumberFormat="1" applyFont="1" applyFill="1" applyBorder="1" applyAlignment="1" applyProtection="1">
      <alignment horizontal="center" vertical="top"/>
    </xf>
    <xf numFmtId="172" fontId="92" fillId="0" borderId="67" xfId="9" applyNumberFormat="1" applyFont="1" applyFill="1" applyBorder="1" applyAlignment="1" applyProtection="1">
      <alignment horizontal="center" vertical="top"/>
    </xf>
    <xf numFmtId="0" fontId="93" fillId="3" borderId="0" xfId="0" applyFont="1" applyFill="1" applyBorder="1" applyAlignment="1" applyProtection="1">
      <alignment horizontal="left"/>
    </xf>
    <xf numFmtId="174" fontId="93" fillId="0" borderId="0" xfId="0" applyNumberFormat="1" applyFont="1" applyFill="1" applyBorder="1" applyProtection="1"/>
    <xf numFmtId="165" fontId="98" fillId="2" borderId="3" xfId="11" applyNumberFormat="1" applyFont="1" applyFill="1" applyAlignment="1" applyProtection="1">
      <alignment horizontal="center" vertical="top"/>
      <protection locked="0"/>
    </xf>
    <xf numFmtId="0" fontId="93" fillId="3" borderId="0" xfId="0" applyFont="1" applyFill="1" applyBorder="1" applyAlignment="1" applyProtection="1">
      <alignment horizontal="center"/>
    </xf>
    <xf numFmtId="172" fontId="93" fillId="0" borderId="0" xfId="11" applyNumberFormat="1" applyFont="1" applyFill="1" applyBorder="1" applyAlignment="1" applyProtection="1">
      <alignment horizontal="center"/>
    </xf>
    <xf numFmtId="172" fontId="93" fillId="0" borderId="0" xfId="11" applyNumberFormat="1" applyFont="1" applyFill="1" applyBorder="1" applyAlignment="1" applyProtection="1">
      <alignment horizontal="center" vertical="top"/>
    </xf>
    <xf numFmtId="182" fontId="93" fillId="0" borderId="0" xfId="11" applyNumberFormat="1" applyFont="1" applyFill="1" applyBorder="1" applyAlignment="1" applyProtection="1">
      <alignment horizontal="center" vertical="top"/>
    </xf>
    <xf numFmtId="182" fontId="98" fillId="0" borderId="0" xfId="0" applyNumberFormat="1" applyFont="1" applyFill="1" applyBorder="1" applyAlignment="1" applyProtection="1">
      <alignment horizontal="center"/>
    </xf>
    <xf numFmtId="172" fontId="98" fillId="0" borderId="0" xfId="11" applyNumberFormat="1" applyFont="1" applyFill="1" applyBorder="1" applyAlignment="1" applyProtection="1">
      <alignment horizontal="right"/>
    </xf>
    <xf numFmtId="182" fontId="98" fillId="0" borderId="0" xfId="11" applyNumberFormat="1" applyFont="1" applyFill="1" applyBorder="1" applyAlignment="1" applyProtection="1">
      <alignment horizontal="center"/>
    </xf>
    <xf numFmtId="174" fontId="94" fillId="0" borderId="0" xfId="0" applyNumberFormat="1" applyFont="1" applyFill="1" applyBorder="1" applyAlignment="1" applyProtection="1">
      <alignment horizontal="right"/>
    </xf>
    <xf numFmtId="3" fontId="94" fillId="0" borderId="0" xfId="0" applyNumberFormat="1" applyFont="1" applyFill="1" applyBorder="1" applyAlignment="1" applyProtection="1">
      <alignment horizontal="center"/>
    </xf>
    <xf numFmtId="165" fontId="94" fillId="0" borderId="0" xfId="11" applyNumberFormat="1" applyFont="1" applyFill="1" applyBorder="1" applyAlignment="1">
      <alignment horizontal="center" vertical="top"/>
    </xf>
    <xf numFmtId="2" fontId="93" fillId="0" borderId="0" xfId="9" applyNumberFormat="1" applyFont="1" applyFill="1" applyBorder="1" applyAlignment="1">
      <alignment horizontal="center" vertical="top"/>
    </xf>
    <xf numFmtId="165" fontId="94" fillId="0" borderId="0" xfId="0" applyNumberFormat="1" applyFont="1" applyFill="1" applyBorder="1" applyAlignment="1">
      <alignment horizontal="center" vertical="top"/>
    </xf>
    <xf numFmtId="165" fontId="93" fillId="0" borderId="10" xfId="0" applyNumberFormat="1" applyFont="1" applyFill="1" applyBorder="1" applyAlignment="1">
      <alignment horizontal="center" vertical="top"/>
    </xf>
    <xf numFmtId="9" fontId="93" fillId="0" borderId="7" xfId="9" applyFont="1" applyFill="1" applyBorder="1" applyAlignment="1">
      <alignment horizontal="center"/>
    </xf>
    <xf numFmtId="164" fontId="93" fillId="0" borderId="10" xfId="0" applyNumberFormat="1" applyFont="1" applyFill="1" applyBorder="1" applyAlignment="1">
      <alignment horizontal="center" vertical="top"/>
    </xf>
    <xf numFmtId="9" fontId="93" fillId="0" borderId="0" xfId="9" applyFont="1" applyFill="1" applyBorder="1" applyAlignment="1">
      <alignment horizontal="center"/>
    </xf>
    <xf numFmtId="9" fontId="93" fillId="0" borderId="10" xfId="9" applyFont="1" applyFill="1" applyBorder="1" applyAlignment="1">
      <alignment horizontal="center"/>
    </xf>
    <xf numFmtId="2" fontId="93" fillId="0" borderId="10" xfId="9" applyNumberFormat="1" applyFont="1" applyFill="1" applyBorder="1" applyAlignment="1">
      <alignment horizontal="center" vertical="top"/>
    </xf>
    <xf numFmtId="0" fontId="93" fillId="0" borderId="10" xfId="0" applyFont="1" applyFill="1" applyBorder="1" applyAlignment="1">
      <alignment horizontal="center"/>
    </xf>
    <xf numFmtId="174" fontId="98" fillId="3" borderId="0" xfId="9" applyNumberFormat="1" applyFont="1" applyFill="1" applyBorder="1" applyAlignment="1">
      <alignment horizontal="right" vertical="top"/>
    </xf>
    <xf numFmtId="174" fontId="98" fillId="3" borderId="10" xfId="0" applyNumberFormat="1" applyFont="1" applyFill="1" applyBorder="1" applyAlignment="1">
      <alignment horizontal="right" vertical="top"/>
    </xf>
    <xf numFmtId="174" fontId="98" fillId="3" borderId="7" xfId="9" applyNumberFormat="1" applyFont="1" applyFill="1" applyBorder="1" applyAlignment="1">
      <alignment horizontal="right"/>
    </xf>
    <xf numFmtId="174" fontId="98" fillId="3" borderId="0" xfId="9" applyNumberFormat="1" applyFont="1" applyFill="1" applyBorder="1" applyAlignment="1">
      <alignment horizontal="right"/>
    </xf>
    <xf numFmtId="174" fontId="98" fillId="3" borderId="10" xfId="9" applyNumberFormat="1" applyFont="1" applyFill="1" applyBorder="1" applyAlignment="1">
      <alignment horizontal="right"/>
    </xf>
    <xf numFmtId="174" fontId="98" fillId="3" borderId="10" xfId="9" applyNumberFormat="1" applyFont="1" applyFill="1" applyBorder="1" applyAlignment="1">
      <alignment horizontal="right" vertical="top"/>
    </xf>
    <xf numFmtId="174" fontId="98" fillId="3" borderId="10" xfId="0" applyNumberFormat="1" applyFont="1" applyFill="1" applyBorder="1" applyAlignment="1">
      <alignment horizontal="right"/>
    </xf>
    <xf numFmtId="174" fontId="98" fillId="4" borderId="3" xfId="11" applyNumberFormat="1" applyFont="1" applyBorder="1" applyAlignment="1">
      <alignment horizontal="right" vertical="top"/>
    </xf>
    <xf numFmtId="174" fontId="98" fillId="3" borderId="0" xfId="0" applyNumberFormat="1" applyFont="1" applyFill="1" applyBorder="1" applyAlignment="1">
      <alignment horizontal="right" vertical="top"/>
    </xf>
    <xf numFmtId="164" fontId="98" fillId="4" borderId="3" xfId="11" applyNumberFormat="1" applyFont="1" applyAlignment="1" applyProtection="1">
      <alignment horizontal="center"/>
      <protection locked="0"/>
    </xf>
    <xf numFmtId="174" fontId="98" fillId="4" borderId="3" xfId="11" applyNumberFormat="1" applyFont="1" applyAlignment="1" applyProtection="1">
      <alignment horizontal="right" wrapText="1"/>
      <protection locked="0"/>
    </xf>
    <xf numFmtId="164" fontId="98" fillId="4" borderId="3" xfId="11" applyNumberFormat="1" applyFont="1" applyAlignment="1" applyProtection="1">
      <alignment horizontal="center" wrapText="1"/>
      <protection locked="0"/>
    </xf>
    <xf numFmtId="0" fontId="123" fillId="0" borderId="3" xfId="0" applyFont="1" applyFill="1" applyBorder="1" applyAlignment="1" applyProtection="1">
      <alignment horizontal="center" vertical="top"/>
    </xf>
    <xf numFmtId="172" fontId="93" fillId="0" borderId="67" xfId="0" applyNumberFormat="1" applyFont="1" applyFill="1" applyBorder="1" applyAlignment="1">
      <alignment horizontal="left"/>
    </xf>
    <xf numFmtId="172" fontId="93" fillId="3" borderId="107" xfId="0" applyNumberFormat="1" applyFont="1" applyFill="1" applyBorder="1" applyAlignment="1">
      <alignment horizontal="left"/>
    </xf>
    <xf numFmtId="172" fontId="93" fillId="3" borderId="100" xfId="0" applyNumberFormat="1" applyFont="1" applyFill="1" applyBorder="1" applyAlignment="1">
      <alignment horizontal="left"/>
    </xf>
    <xf numFmtId="172" fontId="93" fillId="3" borderId="19" xfId="0" applyNumberFormat="1" applyFont="1" applyFill="1" applyBorder="1" applyAlignment="1">
      <alignment horizontal="left"/>
    </xf>
    <xf numFmtId="0" fontId="104" fillId="0" borderId="187" xfId="33111" applyFont="1" applyFill="1" applyBorder="1" applyAlignment="1">
      <alignment horizontal="center" vertical="center" wrapText="1"/>
    </xf>
    <xf numFmtId="0" fontId="120" fillId="0" borderId="186" xfId="33111" applyFont="1" applyFill="1" applyBorder="1" applyAlignment="1">
      <alignment horizontal="center" vertical="center" wrapText="1"/>
    </xf>
    <xf numFmtId="0" fontId="93" fillId="0" borderId="100" xfId="0" applyFont="1" applyFill="1" applyBorder="1" applyAlignment="1">
      <alignment horizontal="left" indent="1"/>
    </xf>
    <xf numFmtId="172" fontId="92" fillId="0" borderId="108" xfId="0" applyNumberFormat="1" applyFont="1" applyFill="1" applyBorder="1" applyAlignment="1" applyProtection="1">
      <alignment horizontal="center" vertical="top"/>
    </xf>
    <xf numFmtId="172" fontId="92" fillId="2" borderId="65" xfId="0" applyNumberFormat="1" applyFont="1" applyFill="1" applyBorder="1" applyAlignment="1" applyProtection="1">
      <alignment horizontal="center" vertical="top"/>
    </xf>
    <xf numFmtId="172" fontId="93" fillId="0" borderId="61" xfId="0" applyNumberFormat="1" applyFont="1" applyFill="1" applyBorder="1" applyAlignment="1" applyProtection="1">
      <alignment horizontal="center" vertical="top"/>
    </xf>
    <xf numFmtId="172" fontId="93" fillId="0" borderId="54" xfId="0" applyNumberFormat="1" applyFont="1" applyFill="1" applyBorder="1" applyAlignment="1" applyProtection="1">
      <alignment horizontal="center" vertical="top"/>
    </xf>
    <xf numFmtId="172" fontId="93" fillId="0" borderId="62" xfId="0" applyNumberFormat="1" applyFont="1" applyFill="1" applyBorder="1" applyAlignment="1" applyProtection="1">
      <alignment horizontal="center" vertical="top"/>
    </xf>
    <xf numFmtId="172" fontId="93" fillId="0" borderId="3" xfId="0" applyNumberFormat="1" applyFont="1" applyFill="1" applyBorder="1" applyAlignment="1" applyProtection="1">
      <alignment horizontal="center" vertical="top"/>
    </xf>
    <xf numFmtId="172" fontId="93" fillId="0" borderId="63" xfId="0" applyNumberFormat="1" applyFont="1" applyFill="1" applyBorder="1" applyAlignment="1" applyProtection="1">
      <alignment horizontal="center" vertical="top"/>
    </xf>
    <xf numFmtId="172" fontId="93" fillId="0" borderId="55" xfId="0" applyNumberFormat="1" applyFont="1" applyFill="1" applyBorder="1" applyAlignment="1" applyProtection="1">
      <alignment horizontal="center" vertical="top"/>
    </xf>
    <xf numFmtId="0" fontId="94" fillId="0" borderId="103" xfId="0" applyFont="1" applyBorder="1" applyProtection="1"/>
    <xf numFmtId="0" fontId="108" fillId="0" borderId="127" xfId="0" applyFont="1" applyFill="1" applyBorder="1" applyAlignment="1" applyProtection="1">
      <alignment horizontal="center" vertical="top"/>
    </xf>
    <xf numFmtId="0" fontId="108" fillId="0" borderId="64" xfId="0" applyFont="1" applyFill="1" applyBorder="1" applyAlignment="1" applyProtection="1">
      <alignment horizontal="center" vertical="top"/>
    </xf>
    <xf numFmtId="0" fontId="108" fillId="0" borderId="121" xfId="0" applyFont="1" applyFill="1" applyBorder="1" applyAlignment="1" applyProtection="1">
      <alignment horizontal="center" vertical="top"/>
    </xf>
    <xf numFmtId="0" fontId="108" fillId="0" borderId="0" xfId="0" applyFont="1" applyFill="1" applyBorder="1" applyAlignment="1" applyProtection="1">
      <alignment horizontal="center" vertical="top"/>
    </xf>
    <xf numFmtId="191" fontId="108" fillId="0" borderId="0" xfId="0" applyNumberFormat="1" applyFont="1" applyFill="1" applyBorder="1" applyAlignment="1" applyProtection="1">
      <alignment horizontal="center" vertical="top"/>
    </xf>
    <xf numFmtId="0" fontId="92" fillId="0" borderId="0" xfId="0" applyFont="1" applyFill="1" applyBorder="1" applyAlignment="1" applyProtection="1">
      <alignment horizontal="center" vertical="top"/>
    </xf>
    <xf numFmtId="172" fontId="94" fillId="3" borderId="53" xfId="0" applyNumberFormat="1" applyFont="1" applyFill="1" applyBorder="1" applyAlignment="1" applyProtection="1">
      <alignment horizontal="center"/>
    </xf>
    <xf numFmtId="172" fontId="94" fillId="3" borderId="0" xfId="0" applyNumberFormat="1" applyFont="1" applyFill="1" applyBorder="1" applyAlignment="1" applyProtection="1">
      <alignment horizontal="center"/>
    </xf>
    <xf numFmtId="172" fontId="92" fillId="0" borderId="65" xfId="0" applyNumberFormat="1" applyFont="1" applyFill="1" applyBorder="1" applyAlignment="1" applyProtection="1">
      <alignment horizontal="center" vertical="top"/>
    </xf>
    <xf numFmtId="172" fontId="92" fillId="0" borderId="59" xfId="0" applyNumberFormat="1" applyFont="1" applyFill="1" applyBorder="1" applyAlignment="1" applyProtection="1">
      <alignment horizontal="center" vertical="top"/>
    </xf>
    <xf numFmtId="172" fontId="92" fillId="0" borderId="66" xfId="0" applyNumberFormat="1" applyFont="1" applyFill="1" applyBorder="1" applyAlignment="1" applyProtection="1">
      <alignment horizontal="center" vertical="top"/>
    </xf>
    <xf numFmtId="0" fontId="98" fillId="2" borderId="67" xfId="0" applyFont="1" applyFill="1" applyBorder="1" applyAlignment="1" applyProtection="1">
      <alignment horizontal="center"/>
      <protection locked="0"/>
    </xf>
    <xf numFmtId="49" fontId="98" fillId="2" borderId="67" xfId="0" applyNumberFormat="1" applyFont="1" applyFill="1" applyBorder="1" applyAlignment="1" applyProtection="1">
      <alignment horizontal="center"/>
      <protection locked="0"/>
    </xf>
    <xf numFmtId="0" fontId="98" fillId="2" borderId="142" xfId="0" applyFont="1" applyFill="1" applyBorder="1" applyAlignment="1" applyProtection="1">
      <alignment horizontal="center"/>
      <protection locked="0"/>
    </xf>
    <xf numFmtId="49" fontId="98" fillId="2" borderId="142" xfId="0" applyNumberFormat="1" applyFont="1" applyFill="1" applyBorder="1" applyAlignment="1" applyProtection="1">
      <alignment horizontal="center"/>
      <protection locked="0"/>
    </xf>
    <xf numFmtId="172" fontId="98" fillId="2" borderId="142" xfId="0" applyNumberFormat="1" applyFont="1" applyFill="1" applyBorder="1" applyProtection="1">
      <protection locked="0"/>
    </xf>
    <xf numFmtId="199" fontId="98" fillId="2" borderId="144" xfId="0" applyNumberFormat="1" applyFont="1" applyFill="1" applyBorder="1" applyAlignment="1" applyProtection="1">
      <alignment horizontal="center"/>
      <protection locked="0"/>
    </xf>
    <xf numFmtId="173" fontId="98" fillId="2" borderId="141" xfId="0" applyNumberFormat="1" applyFont="1" applyFill="1" applyBorder="1" applyAlignment="1" applyProtection="1">
      <alignment horizontal="center"/>
      <protection locked="0"/>
    </xf>
    <xf numFmtId="173" fontId="98" fillId="2" borderId="143" xfId="0" applyNumberFormat="1" applyFont="1" applyFill="1" applyBorder="1" applyAlignment="1" applyProtection="1">
      <alignment horizontal="center"/>
      <protection locked="0"/>
    </xf>
    <xf numFmtId="194" fontId="121" fillId="2" borderId="139" xfId="33111" applyNumberFormat="1" applyFont="1" applyFill="1" applyBorder="1" applyAlignment="1" applyProtection="1">
      <alignment horizontal="center" vertical="center"/>
      <protection locked="0"/>
    </xf>
    <xf numFmtId="194" fontId="121" fillId="2" borderId="140" xfId="33111" applyNumberFormat="1" applyFont="1" applyFill="1" applyBorder="1" applyAlignment="1" applyProtection="1">
      <alignment horizontal="center" vertical="center"/>
      <protection locked="0"/>
    </xf>
    <xf numFmtId="194" fontId="121" fillId="2" borderId="99" xfId="33111" applyNumberFormat="1" applyFont="1" applyFill="1" applyBorder="1" applyAlignment="1" applyProtection="1">
      <alignment horizontal="center" vertical="center"/>
      <protection locked="0"/>
    </xf>
    <xf numFmtId="194" fontId="121" fillId="2" borderId="123" xfId="33111" applyNumberFormat="1" applyFont="1" applyFill="1" applyBorder="1" applyAlignment="1" applyProtection="1">
      <alignment horizontal="center" vertical="center"/>
      <protection locked="0"/>
    </xf>
    <xf numFmtId="194" fontId="121" fillId="2" borderId="135" xfId="33111" applyNumberFormat="1" applyFont="1" applyFill="1" applyBorder="1" applyAlignment="1" applyProtection="1">
      <alignment horizontal="center" vertical="center"/>
      <protection locked="0"/>
    </xf>
    <xf numFmtId="194" fontId="121" fillId="2" borderId="125" xfId="33111" applyNumberFormat="1" applyFont="1" applyFill="1" applyBorder="1" applyAlignment="1" applyProtection="1">
      <alignment horizontal="center" vertical="center"/>
      <protection locked="0"/>
    </xf>
    <xf numFmtId="194" fontId="121" fillId="2" borderId="136" xfId="33111" applyNumberFormat="1" applyFont="1" applyFill="1" applyBorder="1" applyAlignment="1" applyProtection="1">
      <alignment horizontal="center" vertical="center"/>
      <protection locked="0"/>
    </xf>
    <xf numFmtId="194" fontId="121" fillId="2" borderId="134" xfId="33111" applyNumberFormat="1" applyFont="1" applyFill="1" applyBorder="1" applyAlignment="1" applyProtection="1">
      <alignment horizontal="center" vertical="center"/>
      <protection locked="0"/>
    </xf>
    <xf numFmtId="194" fontId="121" fillId="2" borderId="119" xfId="33111" applyNumberFormat="1" applyFont="1" applyFill="1" applyBorder="1" applyAlignment="1" applyProtection="1">
      <alignment horizontal="center" vertical="center"/>
      <protection locked="0"/>
    </xf>
    <xf numFmtId="194" fontId="121" fillId="2" borderId="137" xfId="33111" applyNumberFormat="1" applyFont="1" applyFill="1" applyBorder="1" applyAlignment="1" applyProtection="1">
      <alignment horizontal="center" vertical="center"/>
      <protection locked="0"/>
    </xf>
    <xf numFmtId="194" fontId="121" fillId="2" borderId="138" xfId="33111" applyNumberFormat="1" applyFont="1" applyFill="1" applyBorder="1" applyAlignment="1" applyProtection="1">
      <alignment horizontal="center" vertical="center"/>
      <protection locked="0"/>
    </xf>
    <xf numFmtId="0" fontId="105" fillId="2" borderId="99" xfId="0" applyFont="1" applyFill="1" applyBorder="1" applyAlignment="1" applyProtection="1">
      <alignment horizontal="center"/>
      <protection locked="0"/>
    </xf>
    <xf numFmtId="188" fontId="98" fillId="2" borderId="92" xfId="7" applyNumberFormat="1" applyFont="1" applyFill="1" applyBorder="1" applyAlignment="1" applyProtection="1">
      <alignment horizontal="center" wrapText="1"/>
      <protection locked="0"/>
    </xf>
    <xf numFmtId="0" fontId="98" fillId="2" borderId="0" xfId="0" applyFont="1" applyFill="1" applyAlignment="1">
      <alignment wrapText="1"/>
    </xf>
    <xf numFmtId="0" fontId="0" fillId="69" borderId="0" xfId="0" applyFill="1" applyAlignment="1">
      <alignment wrapText="1"/>
    </xf>
    <xf numFmtId="0" fontId="134" fillId="69" borderId="0" xfId="0" applyFont="1" applyFill="1"/>
    <xf numFmtId="0" fontId="90" fillId="66" borderId="0" xfId="6628" applyFont="1" applyFill="1"/>
    <xf numFmtId="0" fontId="105" fillId="2" borderId="67" xfId="0" applyFont="1" applyFill="1" applyBorder="1" applyProtection="1">
      <protection locked="0"/>
    </xf>
    <xf numFmtId="38" fontId="124" fillId="2" borderId="24" xfId="6" applyNumberFormat="1" applyFont="1" applyFill="1" applyBorder="1" applyProtection="1">
      <protection locked="0"/>
    </xf>
    <xf numFmtId="0" fontId="93" fillId="3" borderId="116" xfId="0" applyFont="1" applyFill="1" applyBorder="1" applyProtection="1"/>
    <xf numFmtId="0" fontId="93" fillId="0" borderId="104" xfId="0" applyFont="1" applyFill="1" applyBorder="1" applyAlignment="1" applyProtection="1">
      <alignment horizontal="center" vertical="top"/>
    </xf>
    <xf numFmtId="0" fontId="92" fillId="0" borderId="111" xfId="0" applyFont="1" applyFill="1" applyBorder="1" applyAlignment="1" applyProtection="1">
      <alignment horizontal="center" vertical="top"/>
    </xf>
    <xf numFmtId="9" fontId="94" fillId="0" borderId="62" xfId="9" applyFont="1" applyFill="1" applyBorder="1" applyAlignment="1" applyProtection="1">
      <alignment horizontal="center" vertical="top"/>
      <protection locked="0"/>
    </xf>
    <xf numFmtId="172" fontId="94" fillId="0" borderId="67" xfId="9" applyNumberFormat="1" applyFont="1" applyFill="1" applyBorder="1" applyAlignment="1" applyProtection="1">
      <alignment horizontal="center" vertical="top"/>
    </xf>
    <xf numFmtId="174" fontId="94" fillId="0" borderId="32" xfId="0" applyNumberFormat="1" applyFont="1" applyBorder="1" applyAlignment="1" applyProtection="1">
      <alignment horizontal="right" wrapText="1"/>
    </xf>
    <xf numFmtId="174" fontId="94" fillId="65" borderId="0" xfId="0" applyNumberFormat="1" applyFont="1" applyFill="1" applyBorder="1" applyAlignment="1" applyProtection="1">
      <alignment horizontal="right" wrapText="1"/>
    </xf>
    <xf numFmtId="0" fontId="92" fillId="0" borderId="3" xfId="11" applyNumberFormat="1" applyFont="1" applyFill="1" applyAlignment="1" applyProtection="1">
      <alignment horizontal="center"/>
    </xf>
    <xf numFmtId="0" fontId="93" fillId="0" borderId="3" xfId="11" applyNumberFormat="1" applyFont="1" applyFill="1" applyAlignment="1" applyProtection="1">
      <alignment horizontal="center"/>
    </xf>
    <xf numFmtId="0" fontId="93" fillId="0" borderId="0" xfId="0" applyFont="1" applyProtection="1">
      <protection locked="0"/>
    </xf>
    <xf numFmtId="0" fontId="111" fillId="0" borderId="53" xfId="0" applyFont="1" applyFill="1" applyBorder="1" applyAlignment="1" applyProtection="1">
      <alignment horizontal="center" vertical="top"/>
      <protection locked="0"/>
    </xf>
    <xf numFmtId="0" fontId="94" fillId="0" borderId="1" xfId="0" applyFont="1" applyFill="1" applyBorder="1" applyAlignment="1" applyProtection="1">
      <alignment horizontal="center"/>
      <protection locked="0"/>
    </xf>
    <xf numFmtId="0" fontId="66" fillId="70" borderId="0" xfId="6628" applyFont="1" applyFill="1"/>
    <xf numFmtId="0" fontId="94" fillId="0" borderId="1" xfId="0" applyFont="1" applyBorder="1"/>
    <xf numFmtId="172" fontId="93" fillId="0" borderId="0" xfId="0" applyNumberFormat="1" applyFont="1" applyFill="1" applyBorder="1" applyAlignment="1" applyProtection="1">
      <alignment horizontal="center"/>
    </xf>
    <xf numFmtId="172" fontId="94" fillId="0" borderId="103" xfId="0" applyNumberFormat="1" applyFont="1" applyFill="1" applyBorder="1" applyAlignment="1" applyProtection="1">
      <alignment horizontal="center"/>
    </xf>
    <xf numFmtId="172" fontId="94" fillId="0" borderId="103" xfId="0" applyNumberFormat="1" applyFont="1" applyBorder="1" applyAlignment="1" applyProtection="1">
      <alignment horizontal="center"/>
    </xf>
    <xf numFmtId="172" fontId="94" fillId="0" borderId="0" xfId="0" applyNumberFormat="1" applyFont="1" applyFill="1" applyBorder="1" applyAlignment="1" applyProtection="1">
      <alignment horizontal="center"/>
    </xf>
    <xf numFmtId="174" fontId="93" fillId="0" borderId="0" xfId="0" applyNumberFormat="1" applyFont="1" applyFill="1" applyBorder="1" applyAlignment="1" applyProtection="1">
      <alignment horizontal="right"/>
    </xf>
    <xf numFmtId="172" fontId="93" fillId="0" borderId="1"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center"/>
    </xf>
    <xf numFmtId="172" fontId="94" fillId="0" borderId="94" xfId="0" applyNumberFormat="1" applyFont="1" applyFill="1" applyBorder="1" applyAlignment="1" applyProtection="1">
      <alignment horizontal="center"/>
    </xf>
    <xf numFmtId="0" fontId="93" fillId="63" borderId="0" xfId="0" applyFont="1" applyFill="1" applyProtection="1"/>
    <xf numFmtId="172" fontId="93" fillId="0" borderId="1" xfId="0" applyNumberFormat="1" applyFont="1" applyFill="1" applyBorder="1" applyAlignment="1" applyProtection="1">
      <alignment horizontal="center" vertical="top"/>
    </xf>
    <xf numFmtId="185" fontId="94" fillId="0" borderId="53" xfId="0" applyNumberFormat="1" applyFont="1" applyBorder="1" applyAlignment="1" applyProtection="1">
      <alignment horizontal="center"/>
    </xf>
    <xf numFmtId="175" fontId="109" fillId="0" borderId="0" xfId="9" applyNumberFormat="1" applyFont="1" applyAlignment="1" applyProtection="1">
      <alignment horizontal="center"/>
    </xf>
    <xf numFmtId="172" fontId="94" fillId="0" borderId="6" xfId="0" applyNumberFormat="1" applyFont="1" applyBorder="1" applyAlignment="1" applyProtection="1">
      <alignment horizontal="center"/>
    </xf>
    <xf numFmtId="165" fontId="93" fillId="0" borderId="0" xfId="0" applyNumberFormat="1" applyFont="1" applyFill="1" applyAlignment="1" applyProtection="1">
      <alignment horizontal="center" vertical="top"/>
    </xf>
    <xf numFmtId="165" fontId="93" fillId="0" borderId="1" xfId="0" applyNumberFormat="1" applyFont="1" applyFill="1" applyBorder="1" applyAlignment="1" applyProtection="1">
      <alignment horizontal="center" vertical="top"/>
    </xf>
    <xf numFmtId="165" fontId="93" fillId="0" borderId="0" xfId="0" applyNumberFormat="1" applyFont="1" applyAlignment="1" applyProtection="1">
      <alignment horizontal="center" vertical="top"/>
    </xf>
    <xf numFmtId="174" fontId="109" fillId="0" borderId="0" xfId="0" applyNumberFormat="1" applyFont="1" applyAlignment="1" applyProtection="1">
      <alignment horizontal="center" vertical="top"/>
    </xf>
    <xf numFmtId="165" fontId="109" fillId="0" borderId="0" xfId="0" applyNumberFormat="1" applyFont="1" applyAlignment="1" applyProtection="1">
      <alignment horizontal="center" vertical="top"/>
    </xf>
    <xf numFmtId="165" fontId="93" fillId="0" borderId="0" xfId="0" applyNumberFormat="1" applyFont="1" applyProtection="1"/>
    <xf numFmtId="165" fontId="93" fillId="0" borderId="0" xfId="0" applyNumberFormat="1" applyFont="1" applyBorder="1" applyAlignment="1" applyProtection="1">
      <alignment horizontal="center" vertical="top"/>
    </xf>
    <xf numFmtId="165" fontId="93" fillId="0" borderId="1" xfId="0" applyNumberFormat="1" applyFont="1" applyBorder="1" applyAlignment="1" applyProtection="1">
      <alignment horizontal="center" vertical="top"/>
    </xf>
    <xf numFmtId="165" fontId="93" fillId="0" borderId="0" xfId="0" applyNumberFormat="1" applyFont="1" applyAlignment="1" applyProtection="1">
      <alignment horizontal="center" vertical="top" wrapText="1"/>
    </xf>
    <xf numFmtId="174" fontId="94" fillId="65" borderId="6" xfId="0" applyNumberFormat="1" applyFont="1" applyFill="1" applyBorder="1" applyAlignment="1" applyProtection="1">
      <alignment horizontal="center"/>
    </xf>
    <xf numFmtId="164" fontId="93" fillId="0" borderId="0" xfId="0" applyNumberFormat="1" applyFont="1" applyBorder="1" applyAlignment="1" applyProtection="1">
      <alignment horizontal="center"/>
    </xf>
    <xf numFmtId="0" fontId="94" fillId="0" borderId="178" xfId="0" applyFont="1" applyFill="1" applyBorder="1" applyAlignment="1" applyProtection="1">
      <alignment horizontal="center"/>
    </xf>
    <xf numFmtId="0" fontId="94" fillId="0" borderId="179" xfId="0" applyFont="1" applyFill="1" applyBorder="1" applyAlignment="1" applyProtection="1">
      <alignment horizontal="center"/>
    </xf>
    <xf numFmtId="0" fontId="94" fillId="0" borderId="180" xfId="0" applyFont="1" applyFill="1" applyBorder="1" applyAlignment="1" applyProtection="1">
      <alignment horizontal="center"/>
    </xf>
    <xf numFmtId="10" fontId="93" fillId="3" borderId="0" xfId="9" applyNumberFormat="1" applyFont="1" applyFill="1" applyBorder="1" applyAlignment="1" applyProtection="1">
      <alignment horizontal="center"/>
    </xf>
    <xf numFmtId="10" fontId="93" fillId="3" borderId="0" xfId="9" applyNumberFormat="1" applyFont="1" applyFill="1" applyBorder="1" applyAlignment="1" applyProtection="1">
      <alignment horizontal="center" vertical="top"/>
    </xf>
    <xf numFmtId="3" fontId="93" fillId="3" borderId="0" xfId="9" applyNumberFormat="1" applyFont="1" applyFill="1" applyBorder="1" applyAlignment="1" applyProtection="1">
      <alignment horizontal="center" vertical="top"/>
    </xf>
    <xf numFmtId="4" fontId="93" fillId="3" borderId="0" xfId="9" applyNumberFormat="1" applyFont="1" applyFill="1" applyBorder="1" applyAlignment="1" applyProtection="1">
      <alignment horizontal="center" vertical="top"/>
    </xf>
    <xf numFmtId="164" fontId="93" fillId="3" borderId="0" xfId="0" applyNumberFormat="1" applyFont="1" applyFill="1" applyBorder="1" applyAlignment="1" applyProtection="1">
      <alignment horizontal="center" vertical="top"/>
    </xf>
    <xf numFmtId="165" fontId="93" fillId="3" borderId="0" xfId="0" applyNumberFormat="1" applyFont="1" applyFill="1" applyBorder="1" applyAlignment="1" applyProtection="1">
      <alignment horizontal="center"/>
    </xf>
    <xf numFmtId="0" fontId="93" fillId="0" borderId="1" xfId="0" applyFont="1" applyBorder="1" applyAlignment="1" applyProtection="1">
      <alignment horizontal="center"/>
    </xf>
    <xf numFmtId="165" fontId="93" fillId="0" borderId="0" xfId="0" applyNumberFormat="1" applyFont="1" applyBorder="1" applyAlignment="1" applyProtection="1">
      <alignment horizontal="center"/>
    </xf>
    <xf numFmtId="185" fontId="93" fillId="0" borderId="0" xfId="0" applyNumberFormat="1" applyFont="1" applyBorder="1" applyAlignment="1" applyProtection="1">
      <alignment horizontal="center"/>
    </xf>
    <xf numFmtId="164" fontId="109" fillId="0" borderId="0" xfId="0" applyNumberFormat="1" applyFont="1" applyAlignment="1" applyProtection="1">
      <alignment horizontal="center"/>
    </xf>
    <xf numFmtId="185" fontId="109" fillId="0" borderId="0" xfId="0" applyNumberFormat="1" applyFont="1" applyAlignment="1" applyProtection="1">
      <alignment horizontal="center"/>
    </xf>
    <xf numFmtId="10" fontId="93" fillId="3" borderId="0" xfId="9" applyNumberFormat="1" applyFont="1" applyFill="1" applyBorder="1" applyAlignment="1" applyProtection="1">
      <alignment horizontal="left" vertical="top"/>
    </xf>
    <xf numFmtId="0" fontId="93" fillId="3" borderId="10" xfId="0" applyFont="1" applyFill="1" applyBorder="1" applyAlignment="1" applyProtection="1">
      <alignment horizontal="left"/>
    </xf>
    <xf numFmtId="10" fontId="93" fillId="3" borderId="10" xfId="9" applyNumberFormat="1" applyFont="1" applyFill="1" applyBorder="1" applyAlignment="1" applyProtection="1">
      <alignment horizontal="center" vertical="top"/>
    </xf>
    <xf numFmtId="174" fontId="93" fillId="0" borderId="0" xfId="0" applyNumberFormat="1" applyFont="1" applyAlignment="1" applyProtection="1">
      <alignment horizontal="center" vertical="top"/>
    </xf>
    <xf numFmtId="174" fontId="94" fillId="0" borderId="6" xfId="0" applyNumberFormat="1" applyFont="1" applyBorder="1" applyAlignment="1" applyProtection="1">
      <alignment horizontal="center"/>
    </xf>
    <xf numFmtId="174" fontId="94" fillId="0" borderId="6" xfId="0" applyNumberFormat="1" applyFont="1" applyFill="1" applyBorder="1" applyProtection="1"/>
    <xf numFmtId="164" fontId="93" fillId="0" borderId="0" xfId="0" applyNumberFormat="1" applyFont="1" applyProtection="1"/>
    <xf numFmtId="174" fontId="94" fillId="65" borderId="6" xfId="0" applyNumberFormat="1" applyFont="1" applyFill="1" applyBorder="1" applyAlignment="1" applyProtection="1">
      <alignment horizontal="right"/>
    </xf>
    <xf numFmtId="174" fontId="93" fillId="0" borderId="0" xfId="0" quotePrefix="1" applyNumberFormat="1" applyFont="1" applyBorder="1" applyProtection="1"/>
    <xf numFmtId="174" fontId="93" fillId="0" borderId="1" xfId="0" quotePrefix="1" applyNumberFormat="1" applyFont="1" applyBorder="1" applyProtection="1"/>
    <xf numFmtId="185" fontId="93" fillId="0" borderId="0" xfId="0" applyNumberFormat="1" applyFont="1" applyFill="1" applyProtection="1"/>
    <xf numFmtId="172" fontId="93" fillId="0" borderId="0" xfId="0" quotePrefix="1" applyNumberFormat="1" applyFont="1" applyProtection="1"/>
    <xf numFmtId="174" fontId="93" fillId="0" borderId="94" xfId="0" applyNumberFormat="1" applyFont="1" applyFill="1" applyBorder="1" applyProtection="1"/>
    <xf numFmtId="164" fontId="93" fillId="3" borderId="0" xfId="0" applyNumberFormat="1" applyFont="1" applyFill="1" applyBorder="1" applyAlignment="1" applyProtection="1">
      <alignment horizontal="center"/>
    </xf>
    <xf numFmtId="164" fontId="93" fillId="0" borderId="0" xfId="0" applyNumberFormat="1" applyFont="1" applyFill="1" applyBorder="1" applyAlignment="1" applyProtection="1">
      <alignment horizontal="center"/>
    </xf>
    <xf numFmtId="172" fontId="94" fillId="0" borderId="53" xfId="0" applyNumberFormat="1" applyFont="1" applyFill="1" applyBorder="1" applyAlignment="1" applyProtection="1">
      <alignment horizontal="center" vertical="top"/>
    </xf>
    <xf numFmtId="164" fontId="108" fillId="63" borderId="0" xfId="0" applyNumberFormat="1" applyFont="1" applyFill="1" applyBorder="1" applyAlignment="1" applyProtection="1">
      <alignment horizontal="center"/>
    </xf>
    <xf numFmtId="172" fontId="108" fillId="63" borderId="0" xfId="0" applyNumberFormat="1" applyFont="1" applyFill="1" applyBorder="1" applyAlignment="1" applyProtection="1">
      <alignment horizontal="center"/>
    </xf>
    <xf numFmtId="172" fontId="93" fillId="0" borderId="53" xfId="0" applyNumberFormat="1" applyFont="1" applyFill="1" applyBorder="1" applyAlignment="1" applyProtection="1">
      <alignment horizontal="center"/>
    </xf>
    <xf numFmtId="172" fontId="94" fillId="0" borderId="6" xfId="0" applyNumberFormat="1" applyFont="1" applyFill="1" applyBorder="1" applyAlignment="1" applyProtection="1">
      <alignment horizontal="center"/>
    </xf>
    <xf numFmtId="0" fontId="108" fillId="63" borderId="0" xfId="0" applyFont="1" applyFill="1" applyBorder="1" applyProtection="1"/>
    <xf numFmtId="0" fontId="93" fillId="0" borderId="1" xfId="0" applyFont="1" applyBorder="1" applyProtection="1"/>
    <xf numFmtId="200" fontId="93" fillId="0" borderId="0" xfId="0" applyNumberFormat="1" applyFont="1" applyFill="1" applyBorder="1"/>
    <xf numFmtId="201" fontId="98" fillId="4" borderId="3" xfId="11" applyNumberFormat="1" applyFont="1" applyBorder="1" applyAlignment="1" applyProtection="1">
      <alignment horizontal="center" vertical="top"/>
      <protection locked="0"/>
    </xf>
    <xf numFmtId="0" fontId="106" fillId="63" borderId="1" xfId="0" applyFont="1" applyFill="1" applyBorder="1" applyProtection="1">
      <protection hidden="1"/>
    </xf>
    <xf numFmtId="174" fontId="94" fillId="63" borderId="1" xfId="0" applyNumberFormat="1" applyFont="1" applyFill="1" applyBorder="1" applyAlignment="1" applyProtection="1">
      <alignment horizontal="right"/>
      <protection hidden="1"/>
    </xf>
    <xf numFmtId="1" fontId="94" fillId="63" borderId="1" xfId="0" applyNumberFormat="1" applyFont="1" applyFill="1" applyBorder="1" applyAlignment="1" applyProtection="1">
      <alignment horizontal="center"/>
      <protection hidden="1"/>
    </xf>
    <xf numFmtId="0" fontId="93" fillId="63" borderId="1" xfId="0" applyFont="1" applyFill="1" applyBorder="1" applyProtection="1">
      <protection hidden="1"/>
    </xf>
    <xf numFmtId="172" fontId="93" fillId="63" borderId="1" xfId="0" applyNumberFormat="1" applyFont="1" applyFill="1" applyBorder="1" applyAlignment="1" applyProtection="1">
      <alignment horizontal="center" vertical="top"/>
    </xf>
    <xf numFmtId="0" fontId="94" fillId="0" borderId="104" xfId="0" applyFont="1" applyFill="1" applyBorder="1" applyProtection="1">
      <protection hidden="1"/>
    </xf>
    <xf numFmtId="174" fontId="93" fillId="0" borderId="104" xfId="0" applyNumberFormat="1" applyFont="1" applyFill="1" applyBorder="1" applyAlignment="1" applyProtection="1">
      <alignment horizontal="right"/>
      <protection hidden="1"/>
    </xf>
    <xf numFmtId="0" fontId="93" fillId="0" borderId="104" xfId="0" applyFont="1" applyFill="1" applyBorder="1" applyProtection="1">
      <protection hidden="1"/>
    </xf>
    <xf numFmtId="0" fontId="93" fillId="0" borderId="104" xfId="0" applyFont="1" applyBorder="1" applyProtection="1">
      <protection hidden="1"/>
    </xf>
    <xf numFmtId="0" fontId="93" fillId="0" borderId="104" xfId="0" applyFont="1" applyBorder="1" applyProtection="1"/>
    <xf numFmtId="172" fontId="93" fillId="0" borderId="104" xfId="0" applyNumberFormat="1" applyFont="1" applyFill="1" applyBorder="1" applyAlignment="1" applyProtection="1">
      <alignment horizontal="center"/>
    </xf>
    <xf numFmtId="172" fontId="93" fillId="0" borderId="103" xfId="0" applyNumberFormat="1" applyFont="1" applyFill="1" applyBorder="1" applyAlignment="1" applyProtection="1">
      <alignment horizontal="left"/>
      <protection hidden="1"/>
    </xf>
    <xf numFmtId="172" fontId="94" fillId="0" borderId="103" xfId="0" applyNumberFormat="1" applyFont="1" applyFill="1" applyBorder="1" applyAlignment="1" applyProtection="1">
      <alignment horizontal="left"/>
      <protection hidden="1"/>
    </xf>
    <xf numFmtId="193" fontId="93" fillId="0" borderId="0" xfId="0" applyNumberFormat="1" applyFont="1" applyFill="1" applyBorder="1" applyProtection="1">
      <protection hidden="1"/>
    </xf>
    <xf numFmtId="200" fontId="93" fillId="0" borderId="0" xfId="0" applyNumberFormat="1" applyFont="1" applyFill="1" applyBorder="1" applyProtection="1">
      <protection hidden="1"/>
    </xf>
    <xf numFmtId="172" fontId="93" fillId="0" borderId="103" xfId="0" applyNumberFormat="1" applyFont="1" applyFill="1" applyBorder="1" applyAlignment="1">
      <alignment horizontal="center" vertical="top"/>
    </xf>
    <xf numFmtId="172" fontId="93" fillId="0" borderId="1" xfId="0" applyNumberFormat="1" applyFont="1" applyFill="1" applyBorder="1" applyAlignment="1" applyProtection="1">
      <alignment horizontal="left"/>
      <protection hidden="1"/>
    </xf>
    <xf numFmtId="172" fontId="93" fillId="0" borderId="0" xfId="0" applyNumberFormat="1" applyFont="1" applyFill="1" applyAlignment="1" applyProtection="1">
      <alignment horizontal="left"/>
      <protection hidden="1"/>
    </xf>
    <xf numFmtId="172" fontId="94" fillId="0" borderId="0" xfId="0" applyNumberFormat="1" applyFont="1" applyFill="1" applyBorder="1" applyAlignment="1">
      <alignment horizontal="center" wrapText="1"/>
    </xf>
    <xf numFmtId="199" fontId="93" fillId="3" borderId="0" xfId="0" quotePrefix="1" applyNumberFormat="1" applyFont="1" applyFill="1" applyBorder="1" applyAlignment="1">
      <alignment horizontal="center"/>
    </xf>
    <xf numFmtId="172" fontId="98" fillId="4" borderId="99" xfId="11" applyNumberFormat="1" applyFont="1" applyBorder="1" applyAlignment="1" applyProtection="1">
      <alignment horizontal="right" vertical="top"/>
      <protection locked="0"/>
    </xf>
    <xf numFmtId="172" fontId="98" fillId="2" borderId="99" xfId="11" applyNumberFormat="1" applyFont="1" applyFill="1" applyBorder="1" applyAlignment="1" applyProtection="1">
      <alignment horizontal="right" vertical="top"/>
      <protection locked="0"/>
    </xf>
    <xf numFmtId="174" fontId="98" fillId="4" borderId="99" xfId="11" applyNumberFormat="1" applyFont="1" applyBorder="1" applyAlignment="1" applyProtection="1">
      <alignment horizontal="right" vertical="top"/>
      <protection locked="0"/>
    </xf>
    <xf numFmtId="172" fontId="93" fillId="4" borderId="99" xfId="11" applyNumberFormat="1" applyFont="1" applyBorder="1" applyAlignment="1" applyProtection="1">
      <alignment horizontal="right" vertical="top"/>
      <protection locked="0"/>
    </xf>
    <xf numFmtId="1" fontId="98" fillId="0" borderId="0" xfId="0" applyNumberFormat="1" applyFont="1" applyFill="1" applyBorder="1" applyAlignment="1">
      <alignment horizontal="right"/>
    </xf>
    <xf numFmtId="0" fontId="93" fillId="0" borderId="104" xfId="0" applyFont="1" applyFill="1" applyBorder="1" applyProtection="1"/>
    <xf numFmtId="164" fontId="93" fillId="0" borderId="104" xfId="0" applyNumberFormat="1" applyFont="1" applyFill="1" applyBorder="1" applyAlignment="1" applyProtection="1">
      <alignment horizontal="center"/>
    </xf>
    <xf numFmtId="172" fontId="94" fillId="0" borderId="0" xfId="0" applyNumberFormat="1" applyFont="1" applyFill="1" applyBorder="1" applyAlignment="1" applyProtection="1">
      <alignment horizontal="left"/>
      <protection hidden="1"/>
    </xf>
    <xf numFmtId="174" fontId="94" fillId="0" borderId="104" xfId="0" applyNumberFormat="1" applyFont="1" applyFill="1" applyBorder="1" applyAlignment="1" applyProtection="1">
      <alignment horizontal="right"/>
      <protection hidden="1"/>
    </xf>
    <xf numFmtId="1" fontId="94" fillId="0" borderId="104" xfId="0" applyNumberFormat="1" applyFont="1" applyFill="1" applyBorder="1" applyAlignment="1" applyProtection="1">
      <alignment horizontal="center"/>
      <protection hidden="1"/>
    </xf>
    <xf numFmtId="172" fontId="93" fillId="0" borderId="104" xfId="0" applyNumberFormat="1" applyFont="1" applyFill="1" applyBorder="1" applyAlignment="1" applyProtection="1">
      <alignment horizontal="center" vertical="top"/>
    </xf>
    <xf numFmtId="174" fontId="94" fillId="0" borderId="104" xfId="0" applyNumberFormat="1" applyFont="1" applyFill="1" applyBorder="1" applyAlignment="1">
      <alignment horizontal="right"/>
    </xf>
    <xf numFmtId="1" fontId="94" fillId="0" borderId="104" xfId="0" applyNumberFormat="1" applyFont="1" applyFill="1" applyBorder="1" applyAlignment="1">
      <alignment horizontal="center"/>
    </xf>
    <xf numFmtId="0" fontId="93" fillId="0" borderId="104" xfId="0" applyFont="1" applyFill="1" applyBorder="1"/>
    <xf numFmtId="0" fontId="134" fillId="69" borderId="104" xfId="0" applyFont="1" applyFill="1" applyBorder="1"/>
    <xf numFmtId="0" fontId="63" fillId="66" borderId="0" xfId="0" applyFont="1" applyFill="1" applyProtection="1">
      <protection locked="0"/>
    </xf>
    <xf numFmtId="172" fontId="94" fillId="0" borderId="59" xfId="0" applyNumberFormat="1" applyFont="1" applyFill="1" applyBorder="1" applyAlignment="1" applyProtection="1">
      <alignment horizontal="center" vertical="top"/>
    </xf>
    <xf numFmtId="172" fontId="94" fillId="0" borderId="66" xfId="0" applyNumberFormat="1" applyFont="1" applyFill="1" applyBorder="1" applyAlignment="1" applyProtection="1">
      <alignment horizontal="center" vertical="top"/>
    </xf>
    <xf numFmtId="172" fontId="93" fillId="0" borderId="188" xfId="0" applyNumberFormat="1" applyFont="1" applyFill="1" applyBorder="1" applyAlignment="1" applyProtection="1">
      <alignment horizontal="center" vertical="top"/>
    </xf>
    <xf numFmtId="0" fontId="93" fillId="0" borderId="20" xfId="0" applyFont="1" applyFill="1" applyBorder="1" applyAlignment="1" applyProtection="1">
      <alignment horizontal="center" vertical="top"/>
    </xf>
    <xf numFmtId="0" fontId="93" fillId="0" borderId="106" xfId="0" applyFont="1" applyFill="1" applyBorder="1" applyAlignment="1" applyProtection="1">
      <alignment horizontal="center" vertical="top"/>
    </xf>
    <xf numFmtId="0" fontId="93" fillId="0" borderId="1" xfId="0" applyFont="1" applyFill="1" applyBorder="1" applyAlignment="1" applyProtection="1">
      <alignment horizontal="center" vertical="top"/>
    </xf>
    <xf numFmtId="172" fontId="93" fillId="0" borderId="1" xfId="0" applyNumberFormat="1" applyFont="1" applyFill="1" applyBorder="1" applyAlignment="1">
      <alignment horizontal="left"/>
    </xf>
    <xf numFmtId="172" fontId="94" fillId="0" borderId="1" xfId="0" applyNumberFormat="1" applyFont="1" applyFill="1" applyBorder="1" applyAlignment="1">
      <alignment horizontal="left"/>
    </xf>
    <xf numFmtId="172" fontId="94" fillId="0" borderId="1" xfId="0" applyNumberFormat="1" applyFont="1" applyFill="1" applyBorder="1" applyAlignment="1" applyProtection="1">
      <alignment horizontal="center"/>
    </xf>
    <xf numFmtId="172" fontId="93" fillId="69" borderId="0" xfId="0" applyNumberFormat="1" applyFont="1" applyFill="1" applyBorder="1" applyAlignment="1">
      <alignment horizontal="left"/>
    </xf>
    <xf numFmtId="174" fontId="94" fillId="69" borderId="0" xfId="0" applyNumberFormat="1" applyFont="1" applyFill="1" applyBorder="1" applyAlignment="1">
      <alignment horizontal="right"/>
    </xf>
    <xf numFmtId="1" fontId="94" fillId="69" borderId="0" xfId="0" applyNumberFormat="1" applyFont="1" applyFill="1" applyBorder="1" applyAlignment="1">
      <alignment horizontal="center"/>
    </xf>
    <xf numFmtId="0" fontId="93" fillId="69" borderId="0" xfId="0" applyFont="1" applyFill="1" applyBorder="1"/>
    <xf numFmtId="172" fontId="93" fillId="69" borderId="0" xfId="0" applyNumberFormat="1" applyFont="1" applyFill="1" applyBorder="1" applyAlignment="1" applyProtection="1">
      <alignment horizontal="center"/>
    </xf>
    <xf numFmtId="174" fontId="94" fillId="0" borderId="1" xfId="0" applyNumberFormat="1" applyFont="1" applyBorder="1" applyAlignment="1">
      <alignment horizontal="right"/>
    </xf>
    <xf numFmtId="0" fontId="94" fillId="0" borderId="189" xfId="0" applyFont="1" applyFill="1" applyBorder="1" applyAlignment="1" applyProtection="1">
      <alignment horizontal="center"/>
    </xf>
    <xf numFmtId="0" fontId="94" fillId="0" borderId="190" xfId="0" applyFont="1" applyFill="1" applyBorder="1" applyAlignment="1" applyProtection="1">
      <alignment horizontal="center"/>
    </xf>
    <xf numFmtId="0" fontId="94" fillId="0" borderId="191" xfId="0" applyFont="1" applyFill="1" applyBorder="1" applyAlignment="1" applyProtection="1">
      <alignment horizontal="center"/>
    </xf>
    <xf numFmtId="9" fontId="105" fillId="4" borderId="11" xfId="11" applyNumberFormat="1" applyFont="1" applyBorder="1" applyAlignment="1" applyProtection="1">
      <alignment horizontal="center"/>
      <protection locked="0"/>
    </xf>
    <xf numFmtId="1" fontId="105" fillId="4" borderId="3" xfId="11" applyNumberFormat="1" applyFont="1" applyBorder="1" applyAlignment="1" applyProtection="1">
      <alignment horizontal="center" vertical="top"/>
      <protection locked="0"/>
    </xf>
    <xf numFmtId="165" fontId="105" fillId="4" borderId="3" xfId="11" applyNumberFormat="1" applyFont="1" applyBorder="1" applyAlignment="1" applyProtection="1">
      <alignment horizontal="center" vertical="top"/>
      <protection locked="0"/>
    </xf>
    <xf numFmtId="2" fontId="105" fillId="4" borderId="3" xfId="11" applyNumberFormat="1" applyFont="1" applyBorder="1" applyAlignment="1" applyProtection="1">
      <alignment horizontal="center" vertical="top"/>
      <protection locked="0"/>
    </xf>
    <xf numFmtId="164" fontId="105" fillId="4" borderId="3" xfId="11" applyNumberFormat="1" applyFont="1" applyBorder="1" applyAlignment="1" applyProtection="1">
      <alignment horizontal="center" vertical="top"/>
      <protection locked="0"/>
    </xf>
    <xf numFmtId="174" fontId="98" fillId="4" borderId="99" xfId="11" applyNumberFormat="1" applyFont="1" applyBorder="1" applyAlignment="1" applyProtection="1">
      <alignment horizontal="right"/>
      <protection locked="0"/>
    </xf>
    <xf numFmtId="0" fontId="98" fillId="4" borderId="99" xfId="4" applyNumberFormat="1" applyFont="1" applyFill="1" applyBorder="1" applyAlignment="1" applyProtection="1">
      <alignment horizontal="center"/>
      <protection locked="0"/>
    </xf>
    <xf numFmtId="184" fontId="94" fillId="4" borderId="99" xfId="4" applyNumberFormat="1" applyFont="1" applyFill="1" applyBorder="1" applyAlignment="1" applyProtection="1">
      <alignment horizontal="center"/>
      <protection locked="0"/>
    </xf>
    <xf numFmtId="0" fontId="94" fillId="63" borderId="0" xfId="0" applyFont="1" applyFill="1"/>
    <xf numFmtId="174" fontId="94" fillId="63" borderId="0" xfId="0" applyNumberFormat="1" applyFont="1" applyFill="1" applyAlignment="1">
      <alignment horizontal="right"/>
    </xf>
    <xf numFmtId="0" fontId="94" fillId="63" borderId="0" xfId="0" applyFont="1" applyFill="1" applyAlignment="1" applyProtection="1">
      <alignment horizontal="center"/>
    </xf>
    <xf numFmtId="175" fontId="98" fillId="4" borderId="3" xfId="11" applyNumberFormat="1" applyFont="1" applyAlignment="1" applyProtection="1">
      <alignment horizontal="right"/>
      <protection locked="0"/>
    </xf>
    <xf numFmtId="172" fontId="97" fillId="0" borderId="30" xfId="6" applyNumberFormat="1" applyFont="1" applyBorder="1" applyProtection="1"/>
    <xf numFmtId="172" fontId="97" fillId="0" borderId="29" xfId="6" applyNumberFormat="1" applyFont="1" applyBorder="1" applyProtection="1"/>
    <xf numFmtId="0" fontId="126" fillId="2" borderId="67" xfId="0" applyFont="1" applyFill="1" applyBorder="1" applyAlignment="1" applyProtection="1">
      <alignment horizontal="left"/>
      <protection locked="0"/>
    </xf>
    <xf numFmtId="0" fontId="135" fillId="2" borderId="93" xfId="0" applyFont="1" applyFill="1" applyBorder="1" applyAlignment="1" applyProtection="1">
      <alignment horizontal="center"/>
      <protection locked="0"/>
    </xf>
    <xf numFmtId="0" fontId="94" fillId="0" borderId="1" xfId="0" applyFont="1" applyBorder="1" applyAlignment="1">
      <alignment wrapText="1"/>
    </xf>
    <xf numFmtId="0" fontId="94" fillId="0" borderId="1" xfId="0" applyFont="1" applyBorder="1"/>
    <xf numFmtId="0" fontId="98" fillId="2" borderId="93" xfId="0" applyFont="1" applyFill="1" applyBorder="1" applyAlignment="1" applyProtection="1">
      <alignment horizontal="left"/>
      <protection locked="0"/>
    </xf>
    <xf numFmtId="0" fontId="93" fillId="2" borderId="93" xfId="7" applyFont="1" applyFill="1" applyBorder="1" applyAlignment="1" applyProtection="1">
      <alignment horizontal="left" wrapText="1"/>
      <protection locked="0"/>
    </xf>
    <xf numFmtId="0" fontId="98" fillId="2" borderId="67" xfId="0" applyFont="1" applyFill="1" applyBorder="1" applyAlignment="1" applyProtection="1">
      <alignment horizontal="left"/>
      <protection locked="0"/>
    </xf>
    <xf numFmtId="0" fontId="93" fillId="2" borderId="67" xfId="7" applyFont="1" applyFill="1" applyBorder="1" applyAlignment="1" applyProtection="1">
      <alignment horizontal="left" wrapText="1"/>
      <protection locked="0"/>
    </xf>
    <xf numFmtId="0" fontId="126" fillId="2" borderId="93" xfId="0" applyFont="1" applyFill="1" applyBorder="1" applyAlignment="1" applyProtection="1">
      <alignment horizontal="left"/>
      <protection locked="0"/>
    </xf>
    <xf numFmtId="0" fontId="98" fillId="2" borderId="67" xfId="0" applyFont="1" applyFill="1" applyBorder="1" applyProtection="1">
      <protection locked="0"/>
    </xf>
    <xf numFmtId="0" fontId="98" fillId="2" borderId="142" xfId="0" applyFont="1" applyFill="1" applyBorder="1" applyProtection="1">
      <protection locked="0"/>
    </xf>
    <xf numFmtId="0" fontId="98" fillId="2" borderId="93" xfId="0" applyFont="1" applyFill="1" applyBorder="1" applyProtection="1">
      <protection locked="0"/>
    </xf>
    <xf numFmtId="172" fontId="108" fillId="0" borderId="1" xfId="0" applyNumberFormat="1" applyFont="1" applyFill="1" applyBorder="1"/>
    <xf numFmtId="0" fontId="108" fillId="0" borderId="1" xfId="0" applyFont="1" applyFill="1" applyBorder="1"/>
    <xf numFmtId="0" fontId="94" fillId="3" borderId="116" xfId="0" applyFont="1" applyFill="1" applyBorder="1" applyAlignment="1">
      <alignment wrapText="1"/>
    </xf>
    <xf numFmtId="0" fontId="91" fillId="0" borderId="103" xfId="0" applyFont="1" applyFill="1" applyBorder="1" applyAlignment="1">
      <alignment horizontal="left"/>
    </xf>
    <xf numFmtId="0" fontId="91" fillId="0" borderId="116" xfId="0" applyFont="1" applyFill="1" applyBorder="1" applyAlignment="1">
      <alignment horizontal="left"/>
    </xf>
    <xf numFmtId="0" fontId="66" fillId="63" borderId="171" xfId="33112" applyFont="1" applyFill="1" applyBorder="1" applyAlignment="1">
      <alignment horizontal="center" vertical="top" wrapText="1"/>
    </xf>
    <xf numFmtId="0" fontId="66" fillId="63" borderId="172" xfId="33112" applyFont="1" applyFill="1" applyBorder="1" applyAlignment="1">
      <alignment horizontal="center" vertical="top" wrapText="1"/>
    </xf>
    <xf numFmtId="0" fontId="106" fillId="0" borderId="0" xfId="0" applyFont="1" applyFill="1" applyBorder="1" applyAlignment="1">
      <alignment horizontal="left"/>
    </xf>
    <xf numFmtId="0" fontId="63" fillId="69" borderId="0" xfId="0" applyFont="1" applyFill="1"/>
    <xf numFmtId="0" fontId="91" fillId="63" borderId="71" xfId="0" applyFont="1" applyFill="1" applyBorder="1" applyAlignment="1" applyProtection="1">
      <alignment horizontal="center" vertical="center" wrapText="1"/>
    </xf>
    <xf numFmtId="0" fontId="91" fillId="63" borderId="68" xfId="0" applyFont="1" applyFill="1" applyBorder="1" applyAlignment="1" applyProtection="1">
      <alignment horizontal="center" vertical="center" wrapText="1"/>
    </xf>
    <xf numFmtId="0" fontId="91" fillId="63" borderId="80" xfId="0" applyFont="1" applyFill="1" applyBorder="1" applyAlignment="1" applyProtection="1">
      <alignment horizontal="center" vertical="center" wrapText="1"/>
    </xf>
    <xf numFmtId="0" fontId="103" fillId="0" borderId="57" xfId="8" applyFont="1" applyBorder="1" applyAlignment="1" applyProtection="1">
      <alignment horizontal="center"/>
    </xf>
    <xf numFmtId="0" fontId="103" fillId="0" borderId="58" xfId="8" applyFont="1" applyBorder="1" applyAlignment="1" applyProtection="1">
      <alignment horizontal="center"/>
    </xf>
    <xf numFmtId="0" fontId="0" fillId="0" borderId="0" xfId="0" applyAlignment="1">
      <alignment horizontal="center"/>
    </xf>
  </cellXfs>
  <cellStyles count="33113">
    <cellStyle name="20% - Accent1" xfId="28" builtinId="30" customBuiltin="1"/>
    <cellStyle name="20% - Accent1 10" xfId="53"/>
    <cellStyle name="20% - Accent1 10 2" xfId="54"/>
    <cellStyle name="20% - Accent1 10 2 2" xfId="55"/>
    <cellStyle name="20% - Accent1 10 2 2 2" xfId="12454"/>
    <cellStyle name="20% - Accent1 10 2 2 2 2" xfId="26166"/>
    <cellStyle name="20% - Accent1 10 2 2 3" xfId="17378"/>
    <cellStyle name="20% - Accent1 10 2 3" xfId="56"/>
    <cellStyle name="20% - Accent1 10 2 3 2" xfId="14599"/>
    <cellStyle name="20% - Accent1 10 2 3 2 2" xfId="28148"/>
    <cellStyle name="20% - Accent1 10 2 3 3" xfId="17379"/>
    <cellStyle name="20% - Accent1 10 2 4" xfId="10546"/>
    <cellStyle name="20% - Accent1 10 2 4 2" xfId="24488"/>
    <cellStyle name="20% - Accent1 10 2 5" xfId="17377"/>
    <cellStyle name="20% - Accent1 10 3" xfId="57"/>
    <cellStyle name="20% - Accent1 10 3 2" xfId="12413"/>
    <cellStyle name="20% - Accent1 10 3 2 2" xfId="26125"/>
    <cellStyle name="20% - Accent1 10 3 3" xfId="17380"/>
    <cellStyle name="20% - Accent1 10 4" xfId="58"/>
    <cellStyle name="20% - Accent1 10 4 2" xfId="14600"/>
    <cellStyle name="20% - Accent1 10 4 2 2" xfId="28149"/>
    <cellStyle name="20% - Accent1 10 4 3" xfId="17381"/>
    <cellStyle name="20% - Accent1 10 5" xfId="59"/>
    <cellStyle name="20% - Accent1 10 5 2" xfId="17185"/>
    <cellStyle name="20% - Accent1 10 5 2 2" xfId="30544"/>
    <cellStyle name="20% - Accent1 10 5 3" xfId="17382"/>
    <cellStyle name="20% - Accent1 10 6" xfId="8821"/>
    <cellStyle name="20% - Accent1 10 6 2" xfId="23296"/>
    <cellStyle name="20% - Accent1 10 7" xfId="17376"/>
    <cellStyle name="20% - Accent1 11" xfId="60"/>
    <cellStyle name="20% - Accent1 11 2" xfId="61"/>
    <cellStyle name="20% - Accent1 11 2 2" xfId="10547"/>
    <cellStyle name="20% - Accent1 11 2 2 2" xfId="24489"/>
    <cellStyle name="20% - Accent1 11 2 3" xfId="17384"/>
    <cellStyle name="20% - Accent1 11 3" xfId="62"/>
    <cellStyle name="20% - Accent1 11 3 2" xfId="12645"/>
    <cellStyle name="20% - Accent1 11 3 2 2" xfId="26357"/>
    <cellStyle name="20% - Accent1 11 3 3" xfId="17385"/>
    <cellStyle name="20% - Accent1 11 4" xfId="63"/>
    <cellStyle name="20% - Accent1 11 4 2" xfId="14598"/>
    <cellStyle name="20% - Accent1 11 4 2 2" xfId="28147"/>
    <cellStyle name="20% - Accent1 11 4 3" xfId="17386"/>
    <cellStyle name="20% - Accent1 11 5" xfId="64"/>
    <cellStyle name="20% - Accent1 11 5 2" xfId="17274"/>
    <cellStyle name="20% - Accent1 11 5 2 2" xfId="30633"/>
    <cellStyle name="20% - Accent1 11 5 3" xfId="17387"/>
    <cellStyle name="20% - Accent1 11 6" xfId="8822"/>
    <cellStyle name="20% - Accent1 11 6 2" xfId="23297"/>
    <cellStyle name="20% - Accent1 11 7" xfId="17383"/>
    <cellStyle name="20% - Accent1 12" xfId="65"/>
    <cellStyle name="20% - Accent1 12 2" xfId="66"/>
    <cellStyle name="20% - Accent1 12 2 2" xfId="67"/>
    <cellStyle name="20% - Accent1 12 2 2 2" xfId="10549"/>
    <cellStyle name="20% - Accent1 12 2 2 2 2" xfId="24491"/>
    <cellStyle name="20% - Accent1 12 2 2 3" xfId="17390"/>
    <cellStyle name="20% - Accent1 12 2 3" xfId="68"/>
    <cellStyle name="20% - Accent1 12 2 3 2" xfId="12765"/>
    <cellStyle name="20% - Accent1 12 2 3 2 2" xfId="26477"/>
    <cellStyle name="20% - Accent1 12 2 3 3" xfId="17391"/>
    <cellStyle name="20% - Accent1 12 2 4" xfId="69"/>
    <cellStyle name="20% - Accent1 12 2 4 2" xfId="14596"/>
    <cellStyle name="20% - Accent1 12 2 4 2 2" xfId="28145"/>
    <cellStyle name="20% - Accent1 12 2 4 3" xfId="17392"/>
    <cellStyle name="20% - Accent1 12 2 5" xfId="8824"/>
    <cellStyle name="20% - Accent1 12 2 5 2" xfId="23299"/>
    <cellStyle name="20% - Accent1 12 2 6" xfId="17389"/>
    <cellStyle name="20% - Accent1 12 3" xfId="70"/>
    <cellStyle name="20% - Accent1 12 3 2" xfId="10548"/>
    <cellStyle name="20% - Accent1 12 3 2 2" xfId="24490"/>
    <cellStyle name="20% - Accent1 12 3 3" xfId="17393"/>
    <cellStyle name="20% - Accent1 12 4" xfId="71"/>
    <cellStyle name="20% - Accent1 12 4 2" xfId="12433"/>
    <cellStyle name="20% - Accent1 12 4 2 2" xfId="26145"/>
    <cellStyle name="20% - Accent1 12 4 3" xfId="17394"/>
    <cellStyle name="20% - Accent1 12 5" xfId="72"/>
    <cellStyle name="20% - Accent1 12 5 2" xfId="14597"/>
    <cellStyle name="20% - Accent1 12 5 2 2" xfId="28146"/>
    <cellStyle name="20% - Accent1 12 5 3" xfId="17395"/>
    <cellStyle name="20% - Accent1 12 6" xfId="73"/>
    <cellStyle name="20% - Accent1 12 6 2" xfId="16426"/>
    <cellStyle name="20% - Accent1 12 6 2 2" xfId="29833"/>
    <cellStyle name="20% - Accent1 12 6 3" xfId="17396"/>
    <cellStyle name="20% - Accent1 12 7" xfId="8823"/>
    <cellStyle name="20% - Accent1 12 7 2" xfId="23298"/>
    <cellStyle name="20% - Accent1 12 8" xfId="17388"/>
    <cellStyle name="20% - Accent1 13" xfId="74"/>
    <cellStyle name="20% - Accent1 13 2" xfId="75"/>
    <cellStyle name="20% - Accent1 13 2 2" xfId="10550"/>
    <cellStyle name="20% - Accent1 13 2 2 2" xfId="24492"/>
    <cellStyle name="20% - Accent1 13 2 3" xfId="17398"/>
    <cellStyle name="20% - Accent1 13 3" xfId="76"/>
    <cellStyle name="20% - Accent1 13 3 2" xfId="12634"/>
    <cellStyle name="20% - Accent1 13 3 2 2" xfId="26346"/>
    <cellStyle name="20% - Accent1 13 3 3" xfId="17399"/>
    <cellStyle name="20% - Accent1 13 4" xfId="77"/>
    <cellStyle name="20% - Accent1 13 4 2" xfId="14595"/>
    <cellStyle name="20% - Accent1 13 4 2 2" xfId="28144"/>
    <cellStyle name="20% - Accent1 13 4 3" xfId="17400"/>
    <cellStyle name="20% - Accent1 13 5" xfId="8825"/>
    <cellStyle name="20% - Accent1 13 5 2" xfId="23300"/>
    <cellStyle name="20% - Accent1 13 6" xfId="17397"/>
    <cellStyle name="20% - Accent1 14" xfId="78"/>
    <cellStyle name="20% - Accent1 14 2" xfId="79"/>
    <cellStyle name="20% - Accent1 14 2 2" xfId="10551"/>
    <cellStyle name="20% - Accent1 14 2 2 2" xfId="24493"/>
    <cellStyle name="20% - Accent1 14 2 3" xfId="17402"/>
    <cellStyle name="20% - Accent1 14 3" xfId="80"/>
    <cellStyle name="20% - Accent1 14 3 2" xfId="12602"/>
    <cellStyle name="20% - Accent1 14 3 2 2" xfId="26314"/>
    <cellStyle name="20% - Accent1 14 3 3" xfId="17403"/>
    <cellStyle name="20% - Accent1 14 4" xfId="81"/>
    <cellStyle name="20% - Accent1 14 4 2" xfId="14594"/>
    <cellStyle name="20% - Accent1 14 4 2 2" xfId="28143"/>
    <cellStyle name="20% - Accent1 14 4 3" xfId="17404"/>
    <cellStyle name="20% - Accent1 14 5" xfId="8826"/>
    <cellStyle name="20% - Accent1 14 5 2" xfId="23301"/>
    <cellStyle name="20% - Accent1 14 6" xfId="17401"/>
    <cellStyle name="20% - Accent1 15" xfId="82"/>
    <cellStyle name="20% - Accent1 15 2" xfId="83"/>
    <cellStyle name="20% - Accent1 15 2 2" xfId="10552"/>
    <cellStyle name="20% - Accent1 15 2 2 2" xfId="24494"/>
    <cellStyle name="20% - Accent1 15 2 3" xfId="17406"/>
    <cellStyle name="20% - Accent1 15 3" xfId="84"/>
    <cellStyle name="20% - Accent1 15 3 2" xfId="12475"/>
    <cellStyle name="20% - Accent1 15 3 2 2" xfId="26187"/>
    <cellStyle name="20% - Accent1 15 3 3" xfId="17407"/>
    <cellStyle name="20% - Accent1 15 4" xfId="85"/>
    <cellStyle name="20% - Accent1 15 4 2" xfId="14593"/>
    <cellStyle name="20% - Accent1 15 4 2 2" xfId="28142"/>
    <cellStyle name="20% - Accent1 15 4 3" xfId="17408"/>
    <cellStyle name="20% - Accent1 15 5" xfId="8827"/>
    <cellStyle name="20% - Accent1 15 5 2" xfId="23302"/>
    <cellStyle name="20% - Accent1 15 6" xfId="17405"/>
    <cellStyle name="20% - Accent1 16" xfId="86"/>
    <cellStyle name="20% - Accent1 16 2" xfId="87"/>
    <cellStyle name="20% - Accent1 16 2 2" xfId="10553"/>
    <cellStyle name="20% - Accent1 16 2 2 2" xfId="24495"/>
    <cellStyle name="20% - Accent1 16 2 3" xfId="17410"/>
    <cellStyle name="20% - Accent1 16 3" xfId="88"/>
    <cellStyle name="20% - Accent1 16 3 2" xfId="12498"/>
    <cellStyle name="20% - Accent1 16 3 2 2" xfId="26210"/>
    <cellStyle name="20% - Accent1 16 3 3" xfId="17411"/>
    <cellStyle name="20% - Accent1 16 4" xfId="89"/>
    <cellStyle name="20% - Accent1 16 4 2" xfId="14592"/>
    <cellStyle name="20% - Accent1 16 4 2 2" xfId="28141"/>
    <cellStyle name="20% - Accent1 16 4 3" xfId="17412"/>
    <cellStyle name="20% - Accent1 16 5" xfId="8828"/>
    <cellStyle name="20% - Accent1 16 5 2" xfId="23303"/>
    <cellStyle name="20% - Accent1 16 6" xfId="17409"/>
    <cellStyle name="20% - Accent1 17" xfId="90"/>
    <cellStyle name="20% - Accent1 17 2" xfId="91"/>
    <cellStyle name="20% - Accent1 17 2 2" xfId="10554"/>
    <cellStyle name="20% - Accent1 17 2 2 2" xfId="24496"/>
    <cellStyle name="20% - Accent1 17 2 3" xfId="17414"/>
    <cellStyle name="20% - Accent1 17 3" xfId="92"/>
    <cellStyle name="20% - Accent1 17 3 2" xfId="12112"/>
    <cellStyle name="20% - Accent1 17 3 2 2" xfId="25824"/>
    <cellStyle name="20% - Accent1 17 3 3" xfId="17415"/>
    <cellStyle name="20% - Accent1 17 4" xfId="93"/>
    <cellStyle name="20% - Accent1 17 4 2" xfId="14591"/>
    <cellStyle name="20% - Accent1 17 4 2 2" xfId="28140"/>
    <cellStyle name="20% - Accent1 17 4 3" xfId="17416"/>
    <cellStyle name="20% - Accent1 17 5" xfId="8829"/>
    <cellStyle name="20% - Accent1 17 5 2" xfId="23304"/>
    <cellStyle name="20% - Accent1 17 6" xfId="17413"/>
    <cellStyle name="20% - Accent1 18" xfId="94"/>
    <cellStyle name="20% - Accent1 18 2" xfId="95"/>
    <cellStyle name="20% - Accent1 18 2 2" xfId="10555"/>
    <cellStyle name="20% - Accent1 18 2 2 2" xfId="24497"/>
    <cellStyle name="20% - Accent1 18 2 3" xfId="17418"/>
    <cellStyle name="20% - Accent1 18 3" xfId="96"/>
    <cellStyle name="20% - Accent1 18 3 2" xfId="12802"/>
    <cellStyle name="20% - Accent1 18 3 2 2" xfId="26514"/>
    <cellStyle name="20% - Accent1 18 3 3" xfId="17419"/>
    <cellStyle name="20% - Accent1 18 4" xfId="97"/>
    <cellStyle name="20% - Accent1 18 4 2" xfId="14540"/>
    <cellStyle name="20% - Accent1 18 4 2 2" xfId="28089"/>
    <cellStyle name="20% - Accent1 18 4 3" xfId="17420"/>
    <cellStyle name="20% - Accent1 18 5" xfId="8830"/>
    <cellStyle name="20% - Accent1 18 5 2" xfId="23305"/>
    <cellStyle name="20% - Accent1 18 6" xfId="17417"/>
    <cellStyle name="20% - Accent1 19" xfId="98"/>
    <cellStyle name="20% - Accent1 19 2" xfId="99"/>
    <cellStyle name="20% - Accent1 19 2 2" xfId="11710"/>
    <cellStyle name="20% - Accent1 19 2 2 2" xfId="25430"/>
    <cellStyle name="20% - Accent1 19 2 3" xfId="17422"/>
    <cellStyle name="20% - Accent1 19 3" xfId="100"/>
    <cellStyle name="20% - Accent1 19 3 2" xfId="12757"/>
    <cellStyle name="20% - Accent1 19 3 2 2" xfId="26469"/>
    <cellStyle name="20% - Accent1 19 3 3" xfId="17423"/>
    <cellStyle name="20% - Accent1 19 4" xfId="101"/>
    <cellStyle name="20% - Accent1 19 4 2" xfId="14590"/>
    <cellStyle name="20% - Accent1 19 4 2 2" xfId="28139"/>
    <cellStyle name="20% - Accent1 19 4 3" xfId="17424"/>
    <cellStyle name="20% - Accent1 19 5" xfId="10462"/>
    <cellStyle name="20% - Accent1 19 5 2" xfId="24421"/>
    <cellStyle name="20% - Accent1 19 6" xfId="17421"/>
    <cellStyle name="20% - Accent1 2" xfId="102"/>
    <cellStyle name="20% - Accent1 2 10" xfId="103"/>
    <cellStyle name="20% - Accent1 2 10 2" xfId="104"/>
    <cellStyle name="20% - Accent1 2 10 2 2" xfId="14588"/>
    <cellStyle name="20% - Accent1 2 10 2 2 2" xfId="28137"/>
    <cellStyle name="20% - Accent1 2 10 2 3" xfId="17427"/>
    <cellStyle name="20% - Accent1 2 10 3" xfId="11835"/>
    <cellStyle name="20% - Accent1 2 10 3 2" xfId="25550"/>
    <cellStyle name="20% - Accent1 2 10 4" xfId="17426"/>
    <cellStyle name="20% - Accent1 2 11" xfId="105"/>
    <cellStyle name="20% - Accent1 2 11 2" xfId="12718"/>
    <cellStyle name="20% - Accent1 2 11 2 2" xfId="26430"/>
    <cellStyle name="20% - Accent1 2 11 3" xfId="17428"/>
    <cellStyle name="20% - Accent1 2 12" xfId="106"/>
    <cellStyle name="20% - Accent1 2 12 2" xfId="13435"/>
    <cellStyle name="20% - Accent1 2 12 2 2" xfId="26984"/>
    <cellStyle name="20% - Accent1 2 12 3" xfId="17429"/>
    <cellStyle name="20% - Accent1 2 13" xfId="107"/>
    <cellStyle name="20% - Accent1 2 13 2" xfId="14016"/>
    <cellStyle name="20% - Accent1 2 13 2 2" xfId="27565"/>
    <cellStyle name="20% - Accent1 2 13 3" xfId="17430"/>
    <cellStyle name="20% - Accent1 2 14" xfId="108"/>
    <cellStyle name="20% - Accent1 2 14 2" xfId="14589"/>
    <cellStyle name="20% - Accent1 2 14 2 2" xfId="28138"/>
    <cellStyle name="20% - Accent1 2 14 3" xfId="17431"/>
    <cellStyle name="20% - Accent1 2 15" xfId="109"/>
    <cellStyle name="20% - Accent1 2 15 2" xfId="15902"/>
    <cellStyle name="20% - Accent1 2 15 2 2" xfId="29309"/>
    <cellStyle name="20% - Accent1 2 15 3" xfId="17432"/>
    <cellStyle name="20% - Accent1 2 16" xfId="8831"/>
    <cellStyle name="20% - Accent1 2 16 2" xfId="23306"/>
    <cellStyle name="20% - Accent1 2 17" xfId="17425"/>
    <cellStyle name="20% - Accent1 2 18" xfId="33062"/>
    <cellStyle name="20% - Accent1 2 2" xfId="110"/>
    <cellStyle name="20% - Accent1 2 2 10" xfId="111"/>
    <cellStyle name="20% - Accent1 2 2 10 2" xfId="14587"/>
    <cellStyle name="20% - Accent1 2 2 10 2 2" xfId="28136"/>
    <cellStyle name="20% - Accent1 2 2 10 3" xfId="17434"/>
    <cellStyle name="20% - Accent1 2 2 11" xfId="112"/>
    <cellStyle name="20% - Accent1 2 2 11 2" xfId="15948"/>
    <cellStyle name="20% - Accent1 2 2 11 2 2" xfId="29355"/>
    <cellStyle name="20% - Accent1 2 2 11 3" xfId="17435"/>
    <cellStyle name="20% - Accent1 2 2 12" xfId="8832"/>
    <cellStyle name="20% - Accent1 2 2 12 2" xfId="23307"/>
    <cellStyle name="20% - Accent1 2 2 13" xfId="17433"/>
    <cellStyle name="20% - Accent1 2 2 2" xfId="113"/>
    <cellStyle name="20% - Accent1 2 2 2 10" xfId="114"/>
    <cellStyle name="20% - Accent1 2 2 2 10 2" xfId="16091"/>
    <cellStyle name="20% - Accent1 2 2 2 10 2 2" xfId="29498"/>
    <cellStyle name="20% - Accent1 2 2 2 10 3" xfId="17437"/>
    <cellStyle name="20% - Accent1 2 2 2 11" xfId="8833"/>
    <cellStyle name="20% - Accent1 2 2 2 11 2" xfId="23308"/>
    <cellStyle name="20% - Accent1 2 2 2 12" xfId="17436"/>
    <cellStyle name="20% - Accent1 2 2 2 2" xfId="115"/>
    <cellStyle name="20% - Accent1 2 2 2 2 10" xfId="8834"/>
    <cellStyle name="20% - Accent1 2 2 2 2 10 2" xfId="23309"/>
    <cellStyle name="20% - Accent1 2 2 2 2 11" xfId="17438"/>
    <cellStyle name="20% - Accent1 2 2 2 2 2" xfId="116"/>
    <cellStyle name="20% - Accent1 2 2 2 2 2 2" xfId="117"/>
    <cellStyle name="20% - Accent1 2 2 2 2 2 2 2" xfId="10560"/>
    <cellStyle name="20% - Accent1 2 2 2 2 2 2 2 2" xfId="24502"/>
    <cellStyle name="20% - Accent1 2 2 2 2 2 2 3" xfId="17440"/>
    <cellStyle name="20% - Accent1 2 2 2 2 2 3" xfId="118"/>
    <cellStyle name="20% - Accent1 2 2 2 2 2 3 2" xfId="12489"/>
    <cellStyle name="20% - Accent1 2 2 2 2 2 3 2 2" xfId="26201"/>
    <cellStyle name="20% - Accent1 2 2 2 2 2 3 3" xfId="17441"/>
    <cellStyle name="20% - Accent1 2 2 2 2 2 4" xfId="119"/>
    <cellStyle name="20% - Accent1 2 2 2 2 2 4 2" xfId="14584"/>
    <cellStyle name="20% - Accent1 2 2 2 2 2 4 2 2" xfId="28133"/>
    <cellStyle name="20% - Accent1 2 2 2 2 2 4 3" xfId="17442"/>
    <cellStyle name="20% - Accent1 2 2 2 2 2 5" xfId="120"/>
    <cellStyle name="20% - Accent1 2 2 2 2 2 5 2" xfId="16961"/>
    <cellStyle name="20% - Accent1 2 2 2 2 2 5 2 2" xfId="30368"/>
    <cellStyle name="20% - Accent1 2 2 2 2 2 5 3" xfId="17443"/>
    <cellStyle name="20% - Accent1 2 2 2 2 2 6" xfId="8835"/>
    <cellStyle name="20% - Accent1 2 2 2 2 2 6 2" xfId="23310"/>
    <cellStyle name="20% - Accent1 2 2 2 2 2 7" xfId="17439"/>
    <cellStyle name="20% - Accent1 2 2 2 2 3" xfId="121"/>
    <cellStyle name="20% - Accent1 2 2 2 2 3 2" xfId="122"/>
    <cellStyle name="20% - Accent1 2 2 2 2 3 2 2" xfId="14583"/>
    <cellStyle name="20% - Accent1 2 2 2 2 3 2 2 2" xfId="28132"/>
    <cellStyle name="20% - Accent1 2 2 2 2 3 2 3" xfId="17445"/>
    <cellStyle name="20% - Accent1 2 2 2 2 3 3" xfId="10559"/>
    <cellStyle name="20% - Accent1 2 2 2 2 3 3 2" xfId="24501"/>
    <cellStyle name="20% - Accent1 2 2 2 2 3 4" xfId="17444"/>
    <cellStyle name="20% - Accent1 2 2 2 2 4" xfId="123"/>
    <cellStyle name="20% - Accent1 2 2 2 2 4 2" xfId="12349"/>
    <cellStyle name="20% - Accent1 2 2 2 2 4 2 2" xfId="26061"/>
    <cellStyle name="20% - Accent1 2 2 2 2 4 3" xfId="17446"/>
    <cellStyle name="20% - Accent1 2 2 2 2 5" xfId="124"/>
    <cellStyle name="20% - Accent1 2 2 2 2 5 2" xfId="12777"/>
    <cellStyle name="20% - Accent1 2 2 2 2 5 2 2" xfId="26489"/>
    <cellStyle name="20% - Accent1 2 2 2 2 5 3" xfId="17447"/>
    <cellStyle name="20% - Accent1 2 2 2 2 6" xfId="125"/>
    <cellStyle name="20% - Accent1 2 2 2 2 6 2" xfId="13913"/>
    <cellStyle name="20% - Accent1 2 2 2 2 6 2 2" xfId="27462"/>
    <cellStyle name="20% - Accent1 2 2 2 2 6 3" xfId="17448"/>
    <cellStyle name="20% - Accent1 2 2 2 2 7" xfId="126"/>
    <cellStyle name="20% - Accent1 2 2 2 2 7 2" xfId="14494"/>
    <cellStyle name="20% - Accent1 2 2 2 2 7 2 2" xfId="28043"/>
    <cellStyle name="20% - Accent1 2 2 2 2 7 3" xfId="17449"/>
    <cellStyle name="20% - Accent1 2 2 2 2 8" xfId="127"/>
    <cellStyle name="20% - Accent1 2 2 2 2 8 2" xfId="14585"/>
    <cellStyle name="20% - Accent1 2 2 2 2 8 2 2" xfId="28134"/>
    <cellStyle name="20% - Accent1 2 2 2 2 8 3" xfId="17450"/>
    <cellStyle name="20% - Accent1 2 2 2 2 9" xfId="128"/>
    <cellStyle name="20% - Accent1 2 2 2 2 9 2" xfId="16380"/>
    <cellStyle name="20% - Accent1 2 2 2 2 9 2 2" xfId="29787"/>
    <cellStyle name="20% - Accent1 2 2 2 2 9 3" xfId="17451"/>
    <cellStyle name="20% - Accent1 2 2 2 3" xfId="129"/>
    <cellStyle name="20% - Accent1 2 2 2 3 2" xfId="130"/>
    <cellStyle name="20% - Accent1 2 2 2 3 2 2" xfId="10561"/>
    <cellStyle name="20% - Accent1 2 2 2 3 2 2 2" xfId="24503"/>
    <cellStyle name="20% - Accent1 2 2 2 3 2 3" xfId="17453"/>
    <cellStyle name="20% - Accent1 2 2 2 3 3" xfId="131"/>
    <cellStyle name="20% - Accent1 2 2 2 3 3 2" xfId="11776"/>
    <cellStyle name="20% - Accent1 2 2 2 3 3 2 2" xfId="25491"/>
    <cellStyle name="20% - Accent1 2 2 2 3 3 3" xfId="17454"/>
    <cellStyle name="20% - Accent1 2 2 2 3 4" xfId="132"/>
    <cellStyle name="20% - Accent1 2 2 2 3 4 2" xfId="14582"/>
    <cellStyle name="20% - Accent1 2 2 2 3 4 2 2" xfId="28131"/>
    <cellStyle name="20% - Accent1 2 2 2 3 4 3" xfId="17455"/>
    <cellStyle name="20% - Accent1 2 2 2 3 5" xfId="133"/>
    <cellStyle name="20% - Accent1 2 2 2 3 5 2" xfId="16672"/>
    <cellStyle name="20% - Accent1 2 2 2 3 5 2 2" xfId="30079"/>
    <cellStyle name="20% - Accent1 2 2 2 3 5 3" xfId="17456"/>
    <cellStyle name="20% - Accent1 2 2 2 3 6" xfId="8836"/>
    <cellStyle name="20% - Accent1 2 2 2 3 6 2" xfId="23311"/>
    <cellStyle name="20% - Accent1 2 2 2 3 7" xfId="17452"/>
    <cellStyle name="20% - Accent1 2 2 2 4" xfId="134"/>
    <cellStyle name="20% - Accent1 2 2 2 4 2" xfId="135"/>
    <cellStyle name="20% - Accent1 2 2 2 4 2 2" xfId="14581"/>
    <cellStyle name="20% - Accent1 2 2 2 4 2 2 2" xfId="28130"/>
    <cellStyle name="20% - Accent1 2 2 2 4 2 3" xfId="17458"/>
    <cellStyle name="20% - Accent1 2 2 2 4 3" xfId="10558"/>
    <cellStyle name="20% - Accent1 2 2 2 4 3 2" xfId="24500"/>
    <cellStyle name="20% - Accent1 2 2 2 4 4" xfId="17457"/>
    <cellStyle name="20% - Accent1 2 2 2 5" xfId="136"/>
    <cellStyle name="20% - Accent1 2 2 2 5 2" xfId="12049"/>
    <cellStyle name="20% - Accent1 2 2 2 5 2 2" xfId="25764"/>
    <cellStyle name="20% - Accent1 2 2 2 5 3" xfId="17459"/>
    <cellStyle name="20% - Accent1 2 2 2 6" xfId="137"/>
    <cellStyle name="20% - Accent1 2 2 2 6 2" xfId="12750"/>
    <cellStyle name="20% - Accent1 2 2 2 6 2 2" xfId="26462"/>
    <cellStyle name="20% - Accent1 2 2 2 6 3" xfId="17460"/>
    <cellStyle name="20% - Accent1 2 2 2 7" xfId="138"/>
    <cellStyle name="20% - Accent1 2 2 2 7 2" xfId="13624"/>
    <cellStyle name="20% - Accent1 2 2 2 7 2 2" xfId="27173"/>
    <cellStyle name="20% - Accent1 2 2 2 7 3" xfId="17461"/>
    <cellStyle name="20% - Accent1 2 2 2 8" xfId="139"/>
    <cellStyle name="20% - Accent1 2 2 2 8 2" xfId="14205"/>
    <cellStyle name="20% - Accent1 2 2 2 8 2 2" xfId="27754"/>
    <cellStyle name="20% - Accent1 2 2 2 8 3" xfId="17462"/>
    <cellStyle name="20% - Accent1 2 2 2 9" xfId="140"/>
    <cellStyle name="20% - Accent1 2 2 2 9 2" xfId="14586"/>
    <cellStyle name="20% - Accent1 2 2 2 9 2 2" xfId="28135"/>
    <cellStyle name="20% - Accent1 2 2 2 9 3" xfId="17463"/>
    <cellStyle name="20% - Accent1 2 2 3" xfId="141"/>
    <cellStyle name="20% - Accent1 2 2 3 10" xfId="8837"/>
    <cellStyle name="20% - Accent1 2 2 3 10 2" xfId="23312"/>
    <cellStyle name="20% - Accent1 2 2 3 11" xfId="17464"/>
    <cellStyle name="20% - Accent1 2 2 3 2" xfId="142"/>
    <cellStyle name="20% - Accent1 2 2 3 2 2" xfId="143"/>
    <cellStyle name="20% - Accent1 2 2 3 2 2 2" xfId="10563"/>
    <cellStyle name="20% - Accent1 2 2 3 2 2 2 2" xfId="24505"/>
    <cellStyle name="20% - Accent1 2 2 3 2 2 3" xfId="17466"/>
    <cellStyle name="20% - Accent1 2 2 3 2 3" xfId="144"/>
    <cellStyle name="20% - Accent1 2 2 3 2 3 2" xfId="12713"/>
    <cellStyle name="20% - Accent1 2 2 3 2 3 2 2" xfId="26425"/>
    <cellStyle name="20% - Accent1 2 2 3 2 3 3" xfId="17467"/>
    <cellStyle name="20% - Accent1 2 2 3 2 4" xfId="145"/>
    <cellStyle name="20% - Accent1 2 2 3 2 4 2" xfId="14579"/>
    <cellStyle name="20% - Accent1 2 2 3 2 4 2 2" xfId="28128"/>
    <cellStyle name="20% - Accent1 2 2 3 2 4 3" xfId="17468"/>
    <cellStyle name="20% - Accent1 2 2 3 2 5" xfId="146"/>
    <cellStyle name="20% - Accent1 2 2 3 2 5 2" xfId="16818"/>
    <cellStyle name="20% - Accent1 2 2 3 2 5 2 2" xfId="30225"/>
    <cellStyle name="20% - Accent1 2 2 3 2 5 3" xfId="17469"/>
    <cellStyle name="20% - Accent1 2 2 3 2 6" xfId="8838"/>
    <cellStyle name="20% - Accent1 2 2 3 2 6 2" xfId="23313"/>
    <cellStyle name="20% - Accent1 2 2 3 2 7" xfId="17465"/>
    <cellStyle name="20% - Accent1 2 2 3 3" xfId="147"/>
    <cellStyle name="20% - Accent1 2 2 3 3 2" xfId="148"/>
    <cellStyle name="20% - Accent1 2 2 3 3 2 2" xfId="14578"/>
    <cellStyle name="20% - Accent1 2 2 3 3 2 2 2" xfId="28127"/>
    <cellStyle name="20% - Accent1 2 2 3 3 2 3" xfId="17471"/>
    <cellStyle name="20% - Accent1 2 2 3 3 3" xfId="10562"/>
    <cellStyle name="20% - Accent1 2 2 3 3 3 2" xfId="24504"/>
    <cellStyle name="20% - Accent1 2 2 3 3 4" xfId="17470"/>
    <cellStyle name="20% - Accent1 2 2 3 4" xfId="149"/>
    <cellStyle name="20% - Accent1 2 2 3 4 2" xfId="12206"/>
    <cellStyle name="20% - Accent1 2 2 3 4 2 2" xfId="25918"/>
    <cellStyle name="20% - Accent1 2 2 3 4 3" xfId="17472"/>
    <cellStyle name="20% - Accent1 2 2 3 5" xfId="150"/>
    <cellStyle name="20% - Accent1 2 2 3 5 2" xfId="12579"/>
    <cellStyle name="20% - Accent1 2 2 3 5 2 2" xfId="26291"/>
    <cellStyle name="20% - Accent1 2 2 3 5 3" xfId="17473"/>
    <cellStyle name="20% - Accent1 2 2 3 6" xfId="151"/>
    <cellStyle name="20% - Accent1 2 2 3 6 2" xfId="13770"/>
    <cellStyle name="20% - Accent1 2 2 3 6 2 2" xfId="27319"/>
    <cellStyle name="20% - Accent1 2 2 3 6 3" xfId="17474"/>
    <cellStyle name="20% - Accent1 2 2 3 7" xfId="152"/>
    <cellStyle name="20% - Accent1 2 2 3 7 2" xfId="14351"/>
    <cellStyle name="20% - Accent1 2 2 3 7 2 2" xfId="27900"/>
    <cellStyle name="20% - Accent1 2 2 3 7 3" xfId="17475"/>
    <cellStyle name="20% - Accent1 2 2 3 8" xfId="153"/>
    <cellStyle name="20% - Accent1 2 2 3 8 2" xfId="14580"/>
    <cellStyle name="20% - Accent1 2 2 3 8 2 2" xfId="28129"/>
    <cellStyle name="20% - Accent1 2 2 3 8 3" xfId="17476"/>
    <cellStyle name="20% - Accent1 2 2 3 9" xfId="154"/>
    <cellStyle name="20% - Accent1 2 2 3 9 2" xfId="16237"/>
    <cellStyle name="20% - Accent1 2 2 3 9 2 2" xfId="29644"/>
    <cellStyle name="20% - Accent1 2 2 3 9 3" xfId="17477"/>
    <cellStyle name="20% - Accent1 2 2 4" xfId="155"/>
    <cellStyle name="20% - Accent1 2 2 4 2" xfId="156"/>
    <cellStyle name="20% - Accent1 2 2 4 2 2" xfId="10564"/>
    <cellStyle name="20% - Accent1 2 2 4 2 2 2" xfId="24506"/>
    <cellStyle name="20% - Accent1 2 2 4 2 3" xfId="17479"/>
    <cellStyle name="20% - Accent1 2 2 4 3" xfId="157"/>
    <cellStyle name="20% - Accent1 2 2 4 3 2" xfId="12115"/>
    <cellStyle name="20% - Accent1 2 2 4 3 2 2" xfId="25827"/>
    <cellStyle name="20% - Accent1 2 2 4 3 3" xfId="17480"/>
    <cellStyle name="20% - Accent1 2 2 4 4" xfId="158"/>
    <cellStyle name="20% - Accent1 2 2 4 4 2" xfId="14577"/>
    <cellStyle name="20% - Accent1 2 2 4 4 2 2" xfId="28126"/>
    <cellStyle name="20% - Accent1 2 2 4 4 3" xfId="17481"/>
    <cellStyle name="20% - Accent1 2 2 4 5" xfId="159"/>
    <cellStyle name="20% - Accent1 2 2 4 5 2" xfId="17165"/>
    <cellStyle name="20% - Accent1 2 2 4 5 2 2" xfId="30524"/>
    <cellStyle name="20% - Accent1 2 2 4 5 3" xfId="17482"/>
    <cellStyle name="20% - Accent1 2 2 4 6" xfId="8839"/>
    <cellStyle name="20% - Accent1 2 2 4 6 2" xfId="23314"/>
    <cellStyle name="20% - Accent1 2 2 4 7" xfId="17478"/>
    <cellStyle name="20% - Accent1 2 2 5" xfId="160"/>
    <cellStyle name="20% - Accent1 2 2 5 2" xfId="161"/>
    <cellStyle name="20% - Accent1 2 2 5 2 2" xfId="14576"/>
    <cellStyle name="20% - Accent1 2 2 5 2 2 2" xfId="28125"/>
    <cellStyle name="20% - Accent1 2 2 5 2 3" xfId="17484"/>
    <cellStyle name="20% - Accent1 2 2 5 3" xfId="162"/>
    <cellStyle name="20% - Accent1 2 2 5 3 2" xfId="17254"/>
    <cellStyle name="20% - Accent1 2 2 5 3 2 2" xfId="30613"/>
    <cellStyle name="20% - Accent1 2 2 5 3 3" xfId="17485"/>
    <cellStyle name="20% - Accent1 2 2 5 4" xfId="10557"/>
    <cellStyle name="20% - Accent1 2 2 5 4 2" xfId="24499"/>
    <cellStyle name="20% - Accent1 2 2 5 5" xfId="17483"/>
    <cellStyle name="20% - Accent1 2 2 6" xfId="163"/>
    <cellStyle name="20% - Accent1 2 2 6 2" xfId="164"/>
    <cellStyle name="20% - Accent1 2 2 6 2 2" xfId="16529"/>
    <cellStyle name="20% - Accent1 2 2 6 2 2 2" xfId="29936"/>
    <cellStyle name="20% - Accent1 2 2 6 2 3" xfId="17487"/>
    <cellStyle name="20% - Accent1 2 2 6 3" xfId="11904"/>
    <cellStyle name="20% - Accent1 2 2 6 3 2" xfId="25619"/>
    <cellStyle name="20% - Accent1 2 2 6 4" xfId="17486"/>
    <cellStyle name="20% - Accent1 2 2 7" xfId="165"/>
    <cellStyle name="20% - Accent1 2 2 7 2" xfId="12416"/>
    <cellStyle name="20% - Accent1 2 2 7 2 2" xfId="26128"/>
    <cellStyle name="20% - Accent1 2 2 7 3" xfId="17488"/>
    <cellStyle name="20% - Accent1 2 2 8" xfId="166"/>
    <cellStyle name="20% - Accent1 2 2 8 2" xfId="13481"/>
    <cellStyle name="20% - Accent1 2 2 8 2 2" xfId="27030"/>
    <cellStyle name="20% - Accent1 2 2 8 3" xfId="17489"/>
    <cellStyle name="20% - Accent1 2 2 9" xfId="167"/>
    <cellStyle name="20% - Accent1 2 2 9 2" xfId="14062"/>
    <cellStyle name="20% - Accent1 2 2 9 2 2" xfId="27611"/>
    <cellStyle name="20% - Accent1 2 2 9 3" xfId="17490"/>
    <cellStyle name="20% - Accent1 2 3" xfId="168"/>
    <cellStyle name="20% - Accent1 2 3 10" xfId="169"/>
    <cellStyle name="20% - Accent1 2 3 10 2" xfId="16045"/>
    <cellStyle name="20% - Accent1 2 3 10 2 2" xfId="29452"/>
    <cellStyle name="20% - Accent1 2 3 10 3" xfId="17492"/>
    <cellStyle name="20% - Accent1 2 3 11" xfId="8840"/>
    <cellStyle name="20% - Accent1 2 3 11 2" xfId="23315"/>
    <cellStyle name="20% - Accent1 2 3 12" xfId="17491"/>
    <cellStyle name="20% - Accent1 2 3 2" xfId="170"/>
    <cellStyle name="20% - Accent1 2 3 2 10" xfId="8841"/>
    <cellStyle name="20% - Accent1 2 3 2 10 2" xfId="23316"/>
    <cellStyle name="20% - Accent1 2 3 2 11" xfId="17493"/>
    <cellStyle name="20% - Accent1 2 3 2 2" xfId="171"/>
    <cellStyle name="20% - Accent1 2 3 2 2 2" xfId="172"/>
    <cellStyle name="20% - Accent1 2 3 2 2 2 2" xfId="10567"/>
    <cellStyle name="20% - Accent1 2 3 2 2 2 2 2" xfId="24509"/>
    <cellStyle name="20% - Accent1 2 3 2 2 2 3" xfId="17495"/>
    <cellStyle name="20% - Accent1 2 3 2 2 3" xfId="173"/>
    <cellStyle name="20% - Accent1 2 3 2 2 3 2" xfId="12431"/>
    <cellStyle name="20% - Accent1 2 3 2 2 3 2 2" xfId="26143"/>
    <cellStyle name="20% - Accent1 2 3 2 2 3 3" xfId="17496"/>
    <cellStyle name="20% - Accent1 2 3 2 2 4" xfId="174"/>
    <cellStyle name="20% - Accent1 2 3 2 2 4 2" xfId="14617"/>
    <cellStyle name="20% - Accent1 2 3 2 2 4 2 2" xfId="28166"/>
    <cellStyle name="20% - Accent1 2 3 2 2 4 3" xfId="17497"/>
    <cellStyle name="20% - Accent1 2 3 2 2 5" xfId="175"/>
    <cellStyle name="20% - Accent1 2 3 2 2 5 2" xfId="16915"/>
    <cellStyle name="20% - Accent1 2 3 2 2 5 2 2" xfId="30322"/>
    <cellStyle name="20% - Accent1 2 3 2 2 5 3" xfId="17498"/>
    <cellStyle name="20% - Accent1 2 3 2 2 6" xfId="8842"/>
    <cellStyle name="20% - Accent1 2 3 2 2 6 2" xfId="23317"/>
    <cellStyle name="20% - Accent1 2 3 2 2 7" xfId="17494"/>
    <cellStyle name="20% - Accent1 2 3 2 3" xfId="176"/>
    <cellStyle name="20% - Accent1 2 3 2 3 2" xfId="177"/>
    <cellStyle name="20% - Accent1 2 3 2 3 2 2" xfId="14575"/>
    <cellStyle name="20% - Accent1 2 3 2 3 2 2 2" xfId="28124"/>
    <cellStyle name="20% - Accent1 2 3 2 3 2 3" xfId="17500"/>
    <cellStyle name="20% - Accent1 2 3 2 3 3" xfId="10566"/>
    <cellStyle name="20% - Accent1 2 3 2 3 3 2" xfId="24508"/>
    <cellStyle name="20% - Accent1 2 3 2 3 4" xfId="17499"/>
    <cellStyle name="20% - Accent1 2 3 2 4" xfId="178"/>
    <cellStyle name="20% - Accent1 2 3 2 4 2" xfId="12303"/>
    <cellStyle name="20% - Accent1 2 3 2 4 2 2" xfId="26015"/>
    <cellStyle name="20% - Accent1 2 3 2 4 3" xfId="17501"/>
    <cellStyle name="20% - Accent1 2 3 2 5" xfId="179"/>
    <cellStyle name="20% - Accent1 2 3 2 5 2" xfId="12542"/>
    <cellStyle name="20% - Accent1 2 3 2 5 2 2" xfId="26254"/>
    <cellStyle name="20% - Accent1 2 3 2 5 3" xfId="17502"/>
    <cellStyle name="20% - Accent1 2 3 2 6" xfId="180"/>
    <cellStyle name="20% - Accent1 2 3 2 6 2" xfId="13867"/>
    <cellStyle name="20% - Accent1 2 3 2 6 2 2" xfId="27416"/>
    <cellStyle name="20% - Accent1 2 3 2 6 3" xfId="17503"/>
    <cellStyle name="20% - Accent1 2 3 2 7" xfId="181"/>
    <cellStyle name="20% - Accent1 2 3 2 7 2" xfId="14448"/>
    <cellStyle name="20% - Accent1 2 3 2 7 2 2" xfId="27997"/>
    <cellStyle name="20% - Accent1 2 3 2 7 3" xfId="17504"/>
    <cellStyle name="20% - Accent1 2 3 2 8" xfId="182"/>
    <cellStyle name="20% - Accent1 2 3 2 8 2" xfId="14615"/>
    <cellStyle name="20% - Accent1 2 3 2 8 2 2" xfId="28164"/>
    <cellStyle name="20% - Accent1 2 3 2 8 3" xfId="17505"/>
    <cellStyle name="20% - Accent1 2 3 2 9" xfId="183"/>
    <cellStyle name="20% - Accent1 2 3 2 9 2" xfId="16334"/>
    <cellStyle name="20% - Accent1 2 3 2 9 2 2" xfId="29741"/>
    <cellStyle name="20% - Accent1 2 3 2 9 3" xfId="17506"/>
    <cellStyle name="20% - Accent1 2 3 3" xfId="184"/>
    <cellStyle name="20% - Accent1 2 3 3 2" xfId="185"/>
    <cellStyle name="20% - Accent1 2 3 3 2 2" xfId="10568"/>
    <cellStyle name="20% - Accent1 2 3 3 2 2 2" xfId="24510"/>
    <cellStyle name="20% - Accent1 2 3 3 2 3" xfId="17508"/>
    <cellStyle name="20% - Accent1 2 3 3 3" xfId="186"/>
    <cellStyle name="20% - Accent1 2 3 3 3 2" xfId="11852"/>
    <cellStyle name="20% - Accent1 2 3 3 3 2 2" xfId="25567"/>
    <cellStyle name="20% - Accent1 2 3 3 3 3" xfId="17509"/>
    <cellStyle name="20% - Accent1 2 3 3 4" xfId="187"/>
    <cellStyle name="20% - Accent1 2 3 3 4 2" xfId="14574"/>
    <cellStyle name="20% - Accent1 2 3 3 4 2 2" xfId="28123"/>
    <cellStyle name="20% - Accent1 2 3 3 4 3" xfId="17510"/>
    <cellStyle name="20% - Accent1 2 3 3 5" xfId="188"/>
    <cellStyle name="20% - Accent1 2 3 3 5 2" xfId="16626"/>
    <cellStyle name="20% - Accent1 2 3 3 5 2 2" xfId="30033"/>
    <cellStyle name="20% - Accent1 2 3 3 5 3" xfId="17511"/>
    <cellStyle name="20% - Accent1 2 3 3 6" xfId="8843"/>
    <cellStyle name="20% - Accent1 2 3 3 6 2" xfId="23318"/>
    <cellStyle name="20% - Accent1 2 3 3 7" xfId="17507"/>
    <cellStyle name="20% - Accent1 2 3 4" xfId="189"/>
    <cellStyle name="20% - Accent1 2 3 4 2" xfId="190"/>
    <cellStyle name="20% - Accent1 2 3 4 2 2" xfId="14573"/>
    <cellStyle name="20% - Accent1 2 3 4 2 2 2" xfId="28122"/>
    <cellStyle name="20% - Accent1 2 3 4 2 3" xfId="17513"/>
    <cellStyle name="20% - Accent1 2 3 4 3" xfId="10565"/>
    <cellStyle name="20% - Accent1 2 3 4 3 2" xfId="24507"/>
    <cellStyle name="20% - Accent1 2 3 4 4" xfId="17512"/>
    <cellStyle name="20% - Accent1 2 3 5" xfId="191"/>
    <cellStyle name="20% - Accent1 2 3 5 2" xfId="12003"/>
    <cellStyle name="20% - Accent1 2 3 5 2 2" xfId="25718"/>
    <cellStyle name="20% - Accent1 2 3 5 3" xfId="17514"/>
    <cellStyle name="20% - Accent1 2 3 6" xfId="192"/>
    <cellStyle name="20% - Accent1 2 3 6 2" xfId="12694"/>
    <cellStyle name="20% - Accent1 2 3 6 2 2" xfId="26406"/>
    <cellStyle name="20% - Accent1 2 3 6 3" xfId="17515"/>
    <cellStyle name="20% - Accent1 2 3 7" xfId="193"/>
    <cellStyle name="20% - Accent1 2 3 7 2" xfId="13578"/>
    <cellStyle name="20% - Accent1 2 3 7 2 2" xfId="27127"/>
    <cellStyle name="20% - Accent1 2 3 7 3" xfId="17516"/>
    <cellStyle name="20% - Accent1 2 3 8" xfId="194"/>
    <cellStyle name="20% - Accent1 2 3 8 2" xfId="14159"/>
    <cellStyle name="20% - Accent1 2 3 8 2 2" xfId="27708"/>
    <cellStyle name="20% - Accent1 2 3 8 3" xfId="17517"/>
    <cellStyle name="20% - Accent1 2 3 9" xfId="195"/>
    <cellStyle name="20% - Accent1 2 3 9 2" xfId="14616"/>
    <cellStyle name="20% - Accent1 2 3 9 2 2" xfId="28165"/>
    <cellStyle name="20% - Accent1 2 3 9 3" xfId="17518"/>
    <cellStyle name="20% - Accent1 2 4" xfId="196"/>
    <cellStyle name="20% - Accent1 2 4 10" xfId="8844"/>
    <cellStyle name="20% - Accent1 2 4 10 2" xfId="23319"/>
    <cellStyle name="20% - Accent1 2 4 11" xfId="17519"/>
    <cellStyle name="20% - Accent1 2 4 2" xfId="197"/>
    <cellStyle name="20% - Accent1 2 4 2 2" xfId="198"/>
    <cellStyle name="20% - Accent1 2 4 2 2 2" xfId="10570"/>
    <cellStyle name="20% - Accent1 2 4 2 2 2 2" xfId="24512"/>
    <cellStyle name="20% - Accent1 2 4 2 2 3" xfId="17521"/>
    <cellStyle name="20% - Accent1 2 4 2 3" xfId="199"/>
    <cellStyle name="20% - Accent1 2 4 2 3 2" xfId="11757"/>
    <cellStyle name="20% - Accent1 2 4 2 3 2 2" xfId="25472"/>
    <cellStyle name="20% - Accent1 2 4 2 3 3" xfId="17522"/>
    <cellStyle name="20% - Accent1 2 4 2 4" xfId="200"/>
    <cellStyle name="20% - Accent1 2 4 2 4 2" xfId="14571"/>
    <cellStyle name="20% - Accent1 2 4 2 4 2 2" xfId="28120"/>
    <cellStyle name="20% - Accent1 2 4 2 4 3" xfId="17523"/>
    <cellStyle name="20% - Accent1 2 4 2 5" xfId="201"/>
    <cellStyle name="20% - Accent1 2 4 2 5 2" xfId="16772"/>
    <cellStyle name="20% - Accent1 2 4 2 5 2 2" xfId="30179"/>
    <cellStyle name="20% - Accent1 2 4 2 5 3" xfId="17524"/>
    <cellStyle name="20% - Accent1 2 4 2 6" xfId="8845"/>
    <cellStyle name="20% - Accent1 2 4 2 6 2" xfId="23320"/>
    <cellStyle name="20% - Accent1 2 4 2 7" xfId="17520"/>
    <cellStyle name="20% - Accent1 2 4 3" xfId="202"/>
    <cellStyle name="20% - Accent1 2 4 3 2" xfId="203"/>
    <cellStyle name="20% - Accent1 2 4 3 2 2" xfId="14570"/>
    <cellStyle name="20% - Accent1 2 4 3 2 2 2" xfId="28119"/>
    <cellStyle name="20% - Accent1 2 4 3 2 3" xfId="17526"/>
    <cellStyle name="20% - Accent1 2 4 3 3" xfId="10569"/>
    <cellStyle name="20% - Accent1 2 4 3 3 2" xfId="24511"/>
    <cellStyle name="20% - Accent1 2 4 3 4" xfId="17525"/>
    <cellStyle name="20% - Accent1 2 4 4" xfId="204"/>
    <cellStyle name="20% - Accent1 2 4 4 2" xfId="12160"/>
    <cellStyle name="20% - Accent1 2 4 4 2 2" xfId="25872"/>
    <cellStyle name="20% - Accent1 2 4 4 3" xfId="17527"/>
    <cellStyle name="20% - Accent1 2 4 5" xfId="205"/>
    <cellStyle name="20% - Accent1 2 4 5 2" xfId="12509"/>
    <cellStyle name="20% - Accent1 2 4 5 2 2" xfId="26221"/>
    <cellStyle name="20% - Accent1 2 4 5 3" xfId="17528"/>
    <cellStyle name="20% - Accent1 2 4 6" xfId="206"/>
    <cellStyle name="20% - Accent1 2 4 6 2" xfId="13724"/>
    <cellStyle name="20% - Accent1 2 4 6 2 2" xfId="27273"/>
    <cellStyle name="20% - Accent1 2 4 6 3" xfId="17529"/>
    <cellStyle name="20% - Accent1 2 4 7" xfId="207"/>
    <cellStyle name="20% - Accent1 2 4 7 2" xfId="14305"/>
    <cellStyle name="20% - Accent1 2 4 7 2 2" xfId="27854"/>
    <cellStyle name="20% - Accent1 2 4 7 3" xfId="17530"/>
    <cellStyle name="20% - Accent1 2 4 8" xfId="208"/>
    <cellStyle name="20% - Accent1 2 4 8 2" xfId="14572"/>
    <cellStyle name="20% - Accent1 2 4 8 2 2" xfId="28121"/>
    <cellStyle name="20% - Accent1 2 4 8 3" xfId="17531"/>
    <cellStyle name="20% - Accent1 2 4 9" xfId="209"/>
    <cellStyle name="20% - Accent1 2 4 9 2" xfId="16191"/>
    <cellStyle name="20% - Accent1 2 4 9 2 2" xfId="29598"/>
    <cellStyle name="20% - Accent1 2 4 9 3" xfId="17532"/>
    <cellStyle name="20% - Accent1 2 5" xfId="210"/>
    <cellStyle name="20% - Accent1 2 5 2" xfId="211"/>
    <cellStyle name="20% - Accent1 2 5 2 2" xfId="212"/>
    <cellStyle name="20% - Accent1 2 5 2 2 2" xfId="10572"/>
    <cellStyle name="20% - Accent1 2 5 2 2 2 2" xfId="24514"/>
    <cellStyle name="20% - Accent1 2 5 2 2 3" xfId="17535"/>
    <cellStyle name="20% - Accent1 2 5 2 3" xfId="213"/>
    <cellStyle name="20% - Accent1 2 5 2 3 2" xfId="12681"/>
    <cellStyle name="20% - Accent1 2 5 2 3 2 2" xfId="26393"/>
    <cellStyle name="20% - Accent1 2 5 2 3 3" xfId="17536"/>
    <cellStyle name="20% - Accent1 2 5 2 4" xfId="214"/>
    <cellStyle name="20% - Accent1 2 5 2 4 2" xfId="14568"/>
    <cellStyle name="20% - Accent1 2 5 2 4 2 2" xfId="28117"/>
    <cellStyle name="20% - Accent1 2 5 2 4 3" xfId="17537"/>
    <cellStyle name="20% - Accent1 2 5 2 5" xfId="8847"/>
    <cellStyle name="20% - Accent1 2 5 2 5 2" xfId="23322"/>
    <cellStyle name="20% - Accent1 2 5 2 6" xfId="17534"/>
    <cellStyle name="20% - Accent1 2 5 3" xfId="215"/>
    <cellStyle name="20% - Accent1 2 5 3 2" xfId="10571"/>
    <cellStyle name="20% - Accent1 2 5 3 2 2" xfId="24513"/>
    <cellStyle name="20% - Accent1 2 5 3 3" xfId="17538"/>
    <cellStyle name="20% - Accent1 2 5 4" xfId="216"/>
    <cellStyle name="20% - Accent1 2 5 4 2" xfId="12591"/>
    <cellStyle name="20% - Accent1 2 5 4 2 2" xfId="26303"/>
    <cellStyle name="20% - Accent1 2 5 4 3" xfId="17539"/>
    <cellStyle name="20% - Accent1 2 5 5" xfId="217"/>
    <cellStyle name="20% - Accent1 2 5 5 2" xfId="14569"/>
    <cellStyle name="20% - Accent1 2 5 5 2 2" xfId="28118"/>
    <cellStyle name="20% - Accent1 2 5 5 3" xfId="17540"/>
    <cellStyle name="20% - Accent1 2 5 6" xfId="218"/>
    <cellStyle name="20% - Accent1 2 5 6 2" xfId="17007"/>
    <cellStyle name="20% - Accent1 2 5 6 2 2" xfId="30414"/>
    <cellStyle name="20% - Accent1 2 5 6 3" xfId="17541"/>
    <cellStyle name="20% - Accent1 2 5 7" xfId="8846"/>
    <cellStyle name="20% - Accent1 2 5 7 2" xfId="23321"/>
    <cellStyle name="20% - Accent1 2 5 8" xfId="17533"/>
    <cellStyle name="20% - Accent1 2 6" xfId="219"/>
    <cellStyle name="20% - Accent1 2 6 2" xfId="220"/>
    <cellStyle name="20% - Accent1 2 6 2 2" xfId="10573"/>
    <cellStyle name="20% - Accent1 2 6 2 2 2" xfId="24515"/>
    <cellStyle name="20% - Accent1 2 6 2 3" xfId="17543"/>
    <cellStyle name="20% - Accent1 2 6 3" xfId="221"/>
    <cellStyle name="20% - Accent1 2 6 3 2" xfId="11758"/>
    <cellStyle name="20% - Accent1 2 6 3 2 2" xfId="25473"/>
    <cellStyle name="20% - Accent1 2 6 3 3" xfId="17544"/>
    <cellStyle name="20% - Accent1 2 6 4" xfId="222"/>
    <cellStyle name="20% - Accent1 2 6 4 2" xfId="14567"/>
    <cellStyle name="20% - Accent1 2 6 4 2 2" xfId="28116"/>
    <cellStyle name="20% - Accent1 2 6 4 3" xfId="17545"/>
    <cellStyle name="20% - Accent1 2 6 5" xfId="223"/>
    <cellStyle name="20% - Accent1 2 6 5 2" xfId="17119"/>
    <cellStyle name="20% - Accent1 2 6 5 2 2" xfId="30478"/>
    <cellStyle name="20% - Accent1 2 6 5 3" xfId="17546"/>
    <cellStyle name="20% - Accent1 2 6 6" xfId="8848"/>
    <cellStyle name="20% - Accent1 2 6 6 2" xfId="23323"/>
    <cellStyle name="20% - Accent1 2 6 7" xfId="17542"/>
    <cellStyle name="20% - Accent1 2 7" xfId="224"/>
    <cellStyle name="20% - Accent1 2 7 2" xfId="225"/>
    <cellStyle name="20% - Accent1 2 7 2 2" xfId="10574"/>
    <cellStyle name="20% - Accent1 2 7 2 2 2" xfId="24516"/>
    <cellStyle name="20% - Accent1 2 7 2 3" xfId="17548"/>
    <cellStyle name="20% - Accent1 2 7 3" xfId="226"/>
    <cellStyle name="20% - Accent1 2 7 3 2" xfId="12419"/>
    <cellStyle name="20% - Accent1 2 7 3 2 2" xfId="26131"/>
    <cellStyle name="20% - Accent1 2 7 3 3" xfId="17549"/>
    <cellStyle name="20% - Accent1 2 7 4" xfId="227"/>
    <cellStyle name="20% - Accent1 2 7 4 2" xfId="14566"/>
    <cellStyle name="20% - Accent1 2 7 4 2 2" xfId="28115"/>
    <cellStyle name="20% - Accent1 2 7 4 3" xfId="17550"/>
    <cellStyle name="20% - Accent1 2 7 5" xfId="228"/>
    <cellStyle name="20% - Accent1 2 7 5 2" xfId="17208"/>
    <cellStyle name="20% - Accent1 2 7 5 2 2" xfId="30567"/>
    <cellStyle name="20% - Accent1 2 7 5 3" xfId="17551"/>
    <cellStyle name="20% - Accent1 2 7 6" xfId="8849"/>
    <cellStyle name="20% - Accent1 2 7 6 2" xfId="23324"/>
    <cellStyle name="20% - Accent1 2 7 7" xfId="17547"/>
    <cellStyle name="20% - Accent1 2 8" xfId="229"/>
    <cellStyle name="20% - Accent1 2 8 2" xfId="230"/>
    <cellStyle name="20% - Accent1 2 8 2 2" xfId="12482"/>
    <cellStyle name="20% - Accent1 2 8 2 2 2" xfId="26194"/>
    <cellStyle name="20% - Accent1 2 8 2 3" xfId="17553"/>
    <cellStyle name="20% - Accent1 2 8 3" xfId="231"/>
    <cellStyle name="20% - Accent1 2 8 3 2" xfId="14565"/>
    <cellStyle name="20% - Accent1 2 8 3 2 2" xfId="28114"/>
    <cellStyle name="20% - Accent1 2 8 3 3" xfId="17554"/>
    <cellStyle name="20% - Accent1 2 8 4" xfId="232"/>
    <cellStyle name="20% - Accent1 2 8 4 2" xfId="16483"/>
    <cellStyle name="20% - Accent1 2 8 4 2 2" xfId="29890"/>
    <cellStyle name="20% - Accent1 2 8 4 3" xfId="17555"/>
    <cellStyle name="20% - Accent1 2 8 5" xfId="10528"/>
    <cellStyle name="20% - Accent1 2 8 5 2" xfId="24470"/>
    <cellStyle name="20% - Accent1 2 8 6" xfId="17552"/>
    <cellStyle name="20% - Accent1 2 9" xfId="233"/>
    <cellStyle name="20% - Accent1 2 9 2" xfId="234"/>
    <cellStyle name="20% - Accent1 2 9 2 2" xfId="12644"/>
    <cellStyle name="20% - Accent1 2 9 2 2 2" xfId="26356"/>
    <cellStyle name="20% - Accent1 2 9 2 3" xfId="17557"/>
    <cellStyle name="20% - Accent1 2 9 3" xfId="235"/>
    <cellStyle name="20% - Accent1 2 9 3 2" xfId="14564"/>
    <cellStyle name="20% - Accent1 2 9 3 2 2" xfId="28113"/>
    <cellStyle name="20% - Accent1 2 9 3 3" xfId="17558"/>
    <cellStyle name="20% - Accent1 2 9 4" xfId="10556"/>
    <cellStyle name="20% - Accent1 2 9 4 2" xfId="24498"/>
    <cellStyle name="20% - Accent1 2 9 5" xfId="17556"/>
    <cellStyle name="20% - Accent1 20" xfId="236"/>
    <cellStyle name="20% - Accent1 20 2" xfId="237"/>
    <cellStyle name="20% - Accent1 20 2 2" xfId="12477"/>
    <cellStyle name="20% - Accent1 20 2 2 2" xfId="26189"/>
    <cellStyle name="20% - Accent1 20 2 3" xfId="17560"/>
    <cellStyle name="20% - Accent1 20 3" xfId="238"/>
    <cellStyle name="20% - Accent1 20 3 2" xfId="14563"/>
    <cellStyle name="20% - Accent1 20 3 2 2" xfId="28112"/>
    <cellStyle name="20% - Accent1 20 3 3" xfId="17561"/>
    <cellStyle name="20% - Accent1 20 4" xfId="10503"/>
    <cellStyle name="20% - Accent1 20 4 2" xfId="24451"/>
    <cellStyle name="20% - Accent1 20 5" xfId="17559"/>
    <cellStyle name="20% - Accent1 21" xfId="239"/>
    <cellStyle name="20% - Accent1 21 2" xfId="240"/>
    <cellStyle name="20% - Accent1 21 2 2" xfId="12766"/>
    <cellStyle name="20% - Accent1 21 2 2 2" xfId="26478"/>
    <cellStyle name="20% - Accent1 21 2 3" xfId="17563"/>
    <cellStyle name="20% - Accent1 21 3" xfId="241"/>
    <cellStyle name="20% - Accent1 21 3 2" xfId="14562"/>
    <cellStyle name="20% - Accent1 21 3 2 2" xfId="28111"/>
    <cellStyle name="20% - Accent1 21 3 3" xfId="17564"/>
    <cellStyle name="20% - Accent1 21 4" xfId="10545"/>
    <cellStyle name="20% - Accent1 21 4 2" xfId="24487"/>
    <cellStyle name="20% - Accent1 21 5" xfId="17562"/>
    <cellStyle name="20% - Accent1 22" xfId="242"/>
    <cellStyle name="20% - Accent1 22 2" xfId="11739"/>
    <cellStyle name="20% - Accent1 22 2 2" xfId="25454"/>
    <cellStyle name="20% - Accent1 22 3" xfId="17565"/>
    <cellStyle name="20% - Accent1 23" xfId="243"/>
    <cellStyle name="20% - Accent1 23 2" xfId="12680"/>
    <cellStyle name="20% - Accent1 23 2 2" xfId="26392"/>
    <cellStyle name="20% - Accent1 23 3" xfId="17566"/>
    <cellStyle name="20% - Accent1 24" xfId="244"/>
    <cellStyle name="20% - Accent1 24 2" xfId="13378"/>
    <cellStyle name="20% - Accent1 24 2 2" xfId="26927"/>
    <cellStyle name="20% - Accent1 24 3" xfId="17567"/>
    <cellStyle name="20% - Accent1 25" xfId="245"/>
    <cellStyle name="20% - Accent1 25 2" xfId="13959"/>
    <cellStyle name="20% - Accent1 25 2 2" xfId="27508"/>
    <cellStyle name="20% - Accent1 25 3" xfId="17568"/>
    <cellStyle name="20% - Accent1 26" xfId="246"/>
    <cellStyle name="20% - Accent1 26 2" xfId="14601"/>
    <cellStyle name="20% - Accent1 26 2 2" xfId="28150"/>
    <cellStyle name="20% - Accent1 26 3" xfId="17569"/>
    <cellStyle name="20% - Accent1 27" xfId="247"/>
    <cellStyle name="20% - Accent1 27 2" xfId="15840"/>
    <cellStyle name="20% - Accent1 27 2 2" xfId="29247"/>
    <cellStyle name="20% - Accent1 27 3" xfId="17570"/>
    <cellStyle name="20% - Accent1 28" xfId="248"/>
    <cellStyle name="20% - Accent1 28 2" xfId="15845"/>
    <cellStyle name="20% - Accent1 28 2 2" xfId="29252"/>
    <cellStyle name="20% - Accent1 28 3" xfId="17571"/>
    <cellStyle name="20% - Accent1 29" xfId="249"/>
    <cellStyle name="20% - Accent1 29 2" xfId="8820"/>
    <cellStyle name="20% - Accent1 29 2 2" xfId="23295"/>
    <cellStyle name="20% - Accent1 29 3" xfId="17572"/>
    <cellStyle name="20% - Accent1 3" xfId="250"/>
    <cellStyle name="20% - Accent1 3 10" xfId="251"/>
    <cellStyle name="20% - Accent1 3 10 2" xfId="14039"/>
    <cellStyle name="20% - Accent1 3 10 2 2" xfId="27588"/>
    <cellStyle name="20% - Accent1 3 10 3" xfId="17574"/>
    <cellStyle name="20% - Accent1 3 11" xfId="252"/>
    <cellStyle name="20% - Accent1 3 11 2" xfId="14561"/>
    <cellStyle name="20% - Accent1 3 11 2 2" xfId="28110"/>
    <cellStyle name="20% - Accent1 3 11 3" xfId="17575"/>
    <cellStyle name="20% - Accent1 3 12" xfId="253"/>
    <cellStyle name="20% - Accent1 3 12 2" xfId="15925"/>
    <cellStyle name="20% - Accent1 3 12 2 2" xfId="29332"/>
    <cellStyle name="20% - Accent1 3 12 3" xfId="17576"/>
    <cellStyle name="20% - Accent1 3 13" xfId="8850"/>
    <cellStyle name="20% - Accent1 3 13 2" xfId="23325"/>
    <cellStyle name="20% - Accent1 3 14" xfId="17573"/>
    <cellStyle name="20% - Accent1 3 2" xfId="254"/>
    <cellStyle name="20% - Accent1 3 2 10" xfId="255"/>
    <cellStyle name="20% - Accent1 3 2 10 2" xfId="16068"/>
    <cellStyle name="20% - Accent1 3 2 10 2 2" xfId="29475"/>
    <cellStyle name="20% - Accent1 3 2 10 3" xfId="17578"/>
    <cellStyle name="20% - Accent1 3 2 11" xfId="8851"/>
    <cellStyle name="20% - Accent1 3 2 11 2" xfId="23326"/>
    <cellStyle name="20% - Accent1 3 2 12" xfId="17577"/>
    <cellStyle name="20% - Accent1 3 2 2" xfId="256"/>
    <cellStyle name="20% - Accent1 3 2 2 10" xfId="8852"/>
    <cellStyle name="20% - Accent1 3 2 2 10 2" xfId="23327"/>
    <cellStyle name="20% - Accent1 3 2 2 11" xfId="17579"/>
    <cellStyle name="20% - Accent1 3 2 2 2" xfId="257"/>
    <cellStyle name="20% - Accent1 3 2 2 2 2" xfId="258"/>
    <cellStyle name="20% - Accent1 3 2 2 2 2 2" xfId="10578"/>
    <cellStyle name="20% - Accent1 3 2 2 2 2 2 2" xfId="24520"/>
    <cellStyle name="20% - Accent1 3 2 2 2 2 3" xfId="17581"/>
    <cellStyle name="20% - Accent1 3 2 2 2 3" xfId="259"/>
    <cellStyle name="20% - Accent1 3 2 2 2 3 2" xfId="12594"/>
    <cellStyle name="20% - Accent1 3 2 2 2 3 2 2" xfId="26306"/>
    <cellStyle name="20% - Accent1 3 2 2 2 3 3" xfId="17582"/>
    <cellStyle name="20% - Accent1 3 2 2 2 4" xfId="260"/>
    <cellStyle name="20% - Accent1 3 2 2 2 4 2" xfId="14558"/>
    <cellStyle name="20% - Accent1 3 2 2 2 4 2 2" xfId="28107"/>
    <cellStyle name="20% - Accent1 3 2 2 2 4 3" xfId="17583"/>
    <cellStyle name="20% - Accent1 3 2 2 2 5" xfId="261"/>
    <cellStyle name="20% - Accent1 3 2 2 2 5 2" xfId="16938"/>
    <cellStyle name="20% - Accent1 3 2 2 2 5 2 2" xfId="30345"/>
    <cellStyle name="20% - Accent1 3 2 2 2 5 3" xfId="17584"/>
    <cellStyle name="20% - Accent1 3 2 2 2 6" xfId="8853"/>
    <cellStyle name="20% - Accent1 3 2 2 2 6 2" xfId="23328"/>
    <cellStyle name="20% - Accent1 3 2 2 2 7" xfId="17580"/>
    <cellStyle name="20% - Accent1 3 2 2 3" xfId="262"/>
    <cellStyle name="20% - Accent1 3 2 2 3 2" xfId="263"/>
    <cellStyle name="20% - Accent1 3 2 2 3 2 2" xfId="14557"/>
    <cellStyle name="20% - Accent1 3 2 2 3 2 2 2" xfId="28106"/>
    <cellStyle name="20% - Accent1 3 2 2 3 2 3" xfId="17586"/>
    <cellStyle name="20% - Accent1 3 2 2 3 3" xfId="10577"/>
    <cellStyle name="20% - Accent1 3 2 2 3 3 2" xfId="24519"/>
    <cellStyle name="20% - Accent1 3 2 2 3 4" xfId="17585"/>
    <cellStyle name="20% - Accent1 3 2 2 4" xfId="264"/>
    <cellStyle name="20% - Accent1 3 2 2 4 2" xfId="12326"/>
    <cellStyle name="20% - Accent1 3 2 2 4 2 2" xfId="26038"/>
    <cellStyle name="20% - Accent1 3 2 2 4 3" xfId="17587"/>
    <cellStyle name="20% - Accent1 3 2 2 5" xfId="265"/>
    <cellStyle name="20% - Accent1 3 2 2 5 2" xfId="12526"/>
    <cellStyle name="20% - Accent1 3 2 2 5 2 2" xfId="26238"/>
    <cellStyle name="20% - Accent1 3 2 2 5 3" xfId="17588"/>
    <cellStyle name="20% - Accent1 3 2 2 6" xfId="266"/>
    <cellStyle name="20% - Accent1 3 2 2 6 2" xfId="13890"/>
    <cellStyle name="20% - Accent1 3 2 2 6 2 2" xfId="27439"/>
    <cellStyle name="20% - Accent1 3 2 2 6 3" xfId="17589"/>
    <cellStyle name="20% - Accent1 3 2 2 7" xfId="267"/>
    <cellStyle name="20% - Accent1 3 2 2 7 2" xfId="14471"/>
    <cellStyle name="20% - Accent1 3 2 2 7 2 2" xfId="28020"/>
    <cellStyle name="20% - Accent1 3 2 2 7 3" xfId="17590"/>
    <cellStyle name="20% - Accent1 3 2 2 8" xfId="268"/>
    <cellStyle name="20% - Accent1 3 2 2 8 2" xfId="14559"/>
    <cellStyle name="20% - Accent1 3 2 2 8 2 2" xfId="28108"/>
    <cellStyle name="20% - Accent1 3 2 2 8 3" xfId="17591"/>
    <cellStyle name="20% - Accent1 3 2 2 9" xfId="269"/>
    <cellStyle name="20% - Accent1 3 2 2 9 2" xfId="16357"/>
    <cellStyle name="20% - Accent1 3 2 2 9 2 2" xfId="29764"/>
    <cellStyle name="20% - Accent1 3 2 2 9 3" xfId="17592"/>
    <cellStyle name="20% - Accent1 3 2 3" xfId="270"/>
    <cellStyle name="20% - Accent1 3 2 3 2" xfId="271"/>
    <cellStyle name="20% - Accent1 3 2 3 2 2" xfId="10579"/>
    <cellStyle name="20% - Accent1 3 2 3 2 2 2" xfId="24521"/>
    <cellStyle name="20% - Accent1 3 2 3 2 3" xfId="17594"/>
    <cellStyle name="20% - Accent1 3 2 3 3" xfId="272"/>
    <cellStyle name="20% - Accent1 3 2 3 3 2" xfId="12597"/>
    <cellStyle name="20% - Accent1 3 2 3 3 2 2" xfId="26309"/>
    <cellStyle name="20% - Accent1 3 2 3 3 3" xfId="17595"/>
    <cellStyle name="20% - Accent1 3 2 3 4" xfId="273"/>
    <cellStyle name="20% - Accent1 3 2 3 4 2" xfId="14556"/>
    <cellStyle name="20% - Accent1 3 2 3 4 2 2" xfId="28105"/>
    <cellStyle name="20% - Accent1 3 2 3 4 3" xfId="17596"/>
    <cellStyle name="20% - Accent1 3 2 3 5" xfId="274"/>
    <cellStyle name="20% - Accent1 3 2 3 5 2" xfId="16649"/>
    <cellStyle name="20% - Accent1 3 2 3 5 2 2" xfId="30056"/>
    <cellStyle name="20% - Accent1 3 2 3 5 3" xfId="17597"/>
    <cellStyle name="20% - Accent1 3 2 3 6" xfId="8854"/>
    <cellStyle name="20% - Accent1 3 2 3 6 2" xfId="23329"/>
    <cellStyle name="20% - Accent1 3 2 3 7" xfId="17593"/>
    <cellStyle name="20% - Accent1 3 2 4" xfId="275"/>
    <cellStyle name="20% - Accent1 3 2 4 2" xfId="276"/>
    <cellStyle name="20% - Accent1 3 2 4 2 2" xfId="14618"/>
    <cellStyle name="20% - Accent1 3 2 4 2 2 2" xfId="28167"/>
    <cellStyle name="20% - Accent1 3 2 4 2 3" xfId="17599"/>
    <cellStyle name="20% - Accent1 3 2 4 3" xfId="10576"/>
    <cellStyle name="20% - Accent1 3 2 4 3 2" xfId="24518"/>
    <cellStyle name="20% - Accent1 3 2 4 4" xfId="17598"/>
    <cellStyle name="20% - Accent1 3 2 5" xfId="277"/>
    <cellStyle name="20% - Accent1 3 2 5 2" xfId="12026"/>
    <cellStyle name="20% - Accent1 3 2 5 2 2" xfId="25741"/>
    <cellStyle name="20% - Accent1 3 2 5 3" xfId="17600"/>
    <cellStyle name="20% - Accent1 3 2 6" xfId="278"/>
    <cellStyle name="20% - Accent1 3 2 6 2" xfId="12442"/>
    <cellStyle name="20% - Accent1 3 2 6 2 2" xfId="26154"/>
    <cellStyle name="20% - Accent1 3 2 6 3" xfId="17601"/>
    <cellStyle name="20% - Accent1 3 2 7" xfId="279"/>
    <cellStyle name="20% - Accent1 3 2 7 2" xfId="13601"/>
    <cellStyle name="20% - Accent1 3 2 7 2 2" xfId="27150"/>
    <cellStyle name="20% - Accent1 3 2 7 3" xfId="17602"/>
    <cellStyle name="20% - Accent1 3 2 8" xfId="280"/>
    <cellStyle name="20% - Accent1 3 2 8 2" xfId="14182"/>
    <cellStyle name="20% - Accent1 3 2 8 2 2" xfId="27731"/>
    <cellStyle name="20% - Accent1 3 2 8 3" xfId="17603"/>
    <cellStyle name="20% - Accent1 3 2 9" xfId="281"/>
    <cellStyle name="20% - Accent1 3 2 9 2" xfId="14560"/>
    <cellStyle name="20% - Accent1 3 2 9 2 2" xfId="28109"/>
    <cellStyle name="20% - Accent1 3 2 9 3" xfId="17604"/>
    <cellStyle name="20% - Accent1 3 3" xfId="282"/>
    <cellStyle name="20% - Accent1 3 3 10" xfId="8855"/>
    <cellStyle name="20% - Accent1 3 3 10 2" xfId="23330"/>
    <cellStyle name="20% - Accent1 3 3 11" xfId="17605"/>
    <cellStyle name="20% - Accent1 3 3 2" xfId="283"/>
    <cellStyle name="20% - Accent1 3 3 2 2" xfId="284"/>
    <cellStyle name="20% - Accent1 3 3 2 2 2" xfId="10581"/>
    <cellStyle name="20% - Accent1 3 3 2 2 2 2" xfId="24523"/>
    <cellStyle name="20% - Accent1 3 3 2 2 3" xfId="17607"/>
    <cellStyle name="20% - Accent1 3 3 2 3" xfId="285"/>
    <cellStyle name="20% - Accent1 3 3 2 3 2" xfId="12470"/>
    <cellStyle name="20% - Accent1 3 3 2 3 2 2" xfId="26182"/>
    <cellStyle name="20% - Accent1 3 3 2 3 3" xfId="17608"/>
    <cellStyle name="20% - Accent1 3 3 2 4" xfId="286"/>
    <cellStyle name="20% - Accent1 3 3 2 4 2" xfId="14602"/>
    <cellStyle name="20% - Accent1 3 3 2 4 2 2" xfId="28151"/>
    <cellStyle name="20% - Accent1 3 3 2 4 3" xfId="17609"/>
    <cellStyle name="20% - Accent1 3 3 2 5" xfId="287"/>
    <cellStyle name="20% - Accent1 3 3 2 5 2" xfId="16795"/>
    <cellStyle name="20% - Accent1 3 3 2 5 2 2" xfId="30202"/>
    <cellStyle name="20% - Accent1 3 3 2 5 3" xfId="17610"/>
    <cellStyle name="20% - Accent1 3 3 2 6" xfId="8856"/>
    <cellStyle name="20% - Accent1 3 3 2 6 2" xfId="23331"/>
    <cellStyle name="20% - Accent1 3 3 2 7" xfId="17606"/>
    <cellStyle name="20% - Accent1 3 3 3" xfId="288"/>
    <cellStyle name="20% - Accent1 3 3 3 2" xfId="289"/>
    <cellStyle name="20% - Accent1 3 3 3 2 2" xfId="14603"/>
    <cellStyle name="20% - Accent1 3 3 3 2 2 2" xfId="28152"/>
    <cellStyle name="20% - Accent1 3 3 3 2 3" xfId="17612"/>
    <cellStyle name="20% - Accent1 3 3 3 3" xfId="10580"/>
    <cellStyle name="20% - Accent1 3 3 3 3 2" xfId="24522"/>
    <cellStyle name="20% - Accent1 3 3 3 4" xfId="17611"/>
    <cellStyle name="20% - Accent1 3 3 4" xfId="290"/>
    <cellStyle name="20% - Accent1 3 3 4 2" xfId="12183"/>
    <cellStyle name="20% - Accent1 3 3 4 2 2" xfId="25895"/>
    <cellStyle name="20% - Accent1 3 3 4 3" xfId="17613"/>
    <cellStyle name="20% - Accent1 3 3 5" xfId="291"/>
    <cellStyle name="20% - Accent1 3 3 5 2" xfId="12687"/>
    <cellStyle name="20% - Accent1 3 3 5 2 2" xfId="26399"/>
    <cellStyle name="20% - Accent1 3 3 5 3" xfId="17614"/>
    <cellStyle name="20% - Accent1 3 3 6" xfId="292"/>
    <cellStyle name="20% - Accent1 3 3 6 2" xfId="13747"/>
    <cellStyle name="20% - Accent1 3 3 6 2 2" xfId="27296"/>
    <cellStyle name="20% - Accent1 3 3 6 3" xfId="17615"/>
    <cellStyle name="20% - Accent1 3 3 7" xfId="293"/>
    <cellStyle name="20% - Accent1 3 3 7 2" xfId="14328"/>
    <cellStyle name="20% - Accent1 3 3 7 2 2" xfId="27877"/>
    <cellStyle name="20% - Accent1 3 3 7 3" xfId="17616"/>
    <cellStyle name="20% - Accent1 3 3 8" xfId="294"/>
    <cellStyle name="20% - Accent1 3 3 8 2" xfId="14555"/>
    <cellStyle name="20% - Accent1 3 3 8 2 2" xfId="28104"/>
    <cellStyle name="20% - Accent1 3 3 8 3" xfId="17617"/>
    <cellStyle name="20% - Accent1 3 3 9" xfId="295"/>
    <cellStyle name="20% - Accent1 3 3 9 2" xfId="16214"/>
    <cellStyle name="20% - Accent1 3 3 9 2 2" xfId="29621"/>
    <cellStyle name="20% - Accent1 3 3 9 3" xfId="17618"/>
    <cellStyle name="20% - Accent1 3 4" xfId="296"/>
    <cellStyle name="20% - Accent1 3 4 2" xfId="297"/>
    <cellStyle name="20% - Accent1 3 4 2 2" xfId="10582"/>
    <cellStyle name="20% - Accent1 3 4 2 2 2" xfId="24524"/>
    <cellStyle name="20% - Accent1 3 4 2 3" xfId="17620"/>
    <cellStyle name="20% - Accent1 3 4 3" xfId="298"/>
    <cellStyle name="20% - Accent1 3 4 3 2" xfId="11783"/>
    <cellStyle name="20% - Accent1 3 4 3 2 2" xfId="25498"/>
    <cellStyle name="20% - Accent1 3 4 3 3" xfId="17621"/>
    <cellStyle name="20% - Accent1 3 4 4" xfId="299"/>
    <cellStyle name="20% - Accent1 3 4 4 2" xfId="14554"/>
    <cellStyle name="20% - Accent1 3 4 4 2 2" xfId="28103"/>
    <cellStyle name="20% - Accent1 3 4 4 3" xfId="17622"/>
    <cellStyle name="20% - Accent1 3 4 5" xfId="300"/>
    <cellStyle name="20% - Accent1 3 4 5 2" xfId="17142"/>
    <cellStyle name="20% - Accent1 3 4 5 2 2" xfId="30501"/>
    <cellStyle name="20% - Accent1 3 4 5 3" xfId="17623"/>
    <cellStyle name="20% - Accent1 3 4 6" xfId="8857"/>
    <cellStyle name="20% - Accent1 3 4 6 2" xfId="23332"/>
    <cellStyle name="20% - Accent1 3 4 7" xfId="17619"/>
    <cellStyle name="20% - Accent1 3 5" xfId="301"/>
    <cellStyle name="20% - Accent1 3 5 2" xfId="302"/>
    <cellStyle name="20% - Accent1 3 5 2 2" xfId="10583"/>
    <cellStyle name="20% - Accent1 3 5 2 2 2" xfId="24525"/>
    <cellStyle name="20% - Accent1 3 5 2 3" xfId="17625"/>
    <cellStyle name="20% - Accent1 3 5 3" xfId="303"/>
    <cellStyle name="20% - Accent1 3 5 3 2" xfId="12710"/>
    <cellStyle name="20% - Accent1 3 5 3 2 2" xfId="26422"/>
    <cellStyle name="20% - Accent1 3 5 3 3" xfId="17626"/>
    <cellStyle name="20% - Accent1 3 5 4" xfId="304"/>
    <cellStyle name="20% - Accent1 3 5 4 2" xfId="14553"/>
    <cellStyle name="20% - Accent1 3 5 4 2 2" xfId="28102"/>
    <cellStyle name="20% - Accent1 3 5 4 3" xfId="17627"/>
    <cellStyle name="20% - Accent1 3 5 5" xfId="305"/>
    <cellStyle name="20% - Accent1 3 5 5 2" xfId="17231"/>
    <cellStyle name="20% - Accent1 3 5 5 2 2" xfId="30590"/>
    <cellStyle name="20% - Accent1 3 5 5 3" xfId="17628"/>
    <cellStyle name="20% - Accent1 3 5 6" xfId="8858"/>
    <cellStyle name="20% - Accent1 3 5 6 2" xfId="23333"/>
    <cellStyle name="20% - Accent1 3 5 7" xfId="17624"/>
    <cellStyle name="20% - Accent1 3 6" xfId="306"/>
    <cellStyle name="20% - Accent1 3 6 2" xfId="307"/>
    <cellStyle name="20% - Accent1 3 6 2 2" xfId="14552"/>
    <cellStyle name="20% - Accent1 3 6 2 2 2" xfId="28101"/>
    <cellStyle name="20% - Accent1 3 6 2 3" xfId="17630"/>
    <cellStyle name="20% - Accent1 3 6 3" xfId="308"/>
    <cellStyle name="20% - Accent1 3 6 3 2" xfId="16506"/>
    <cellStyle name="20% - Accent1 3 6 3 2 2" xfId="29913"/>
    <cellStyle name="20% - Accent1 3 6 3 3" xfId="17631"/>
    <cellStyle name="20% - Accent1 3 6 4" xfId="10575"/>
    <cellStyle name="20% - Accent1 3 6 4 2" xfId="24517"/>
    <cellStyle name="20% - Accent1 3 6 5" xfId="17629"/>
    <cellStyle name="20% - Accent1 3 7" xfId="309"/>
    <cellStyle name="20% - Accent1 3 7 2" xfId="11878"/>
    <cellStyle name="20% - Accent1 3 7 2 2" xfId="25593"/>
    <cellStyle name="20% - Accent1 3 7 3" xfId="17632"/>
    <cellStyle name="20% - Accent1 3 8" xfId="310"/>
    <cellStyle name="20% - Accent1 3 8 2" xfId="12569"/>
    <cellStyle name="20% - Accent1 3 8 2 2" xfId="26281"/>
    <cellStyle name="20% - Accent1 3 8 3" xfId="17633"/>
    <cellStyle name="20% - Accent1 3 9" xfId="311"/>
    <cellStyle name="20% - Accent1 3 9 2" xfId="13458"/>
    <cellStyle name="20% - Accent1 3 9 2 2" xfId="27007"/>
    <cellStyle name="20% - Accent1 3 9 3" xfId="17634"/>
    <cellStyle name="20% - Accent1 30" xfId="23246"/>
    <cellStyle name="20% - Accent1 4" xfId="312"/>
    <cellStyle name="20% - Accent1 4 10" xfId="313"/>
    <cellStyle name="20% - Accent1 4 10 2" xfId="14551"/>
    <cellStyle name="20% - Accent1 4 10 2 2" xfId="28100"/>
    <cellStyle name="20% - Accent1 4 10 3" xfId="17636"/>
    <cellStyle name="20% - Accent1 4 11" xfId="314"/>
    <cellStyle name="20% - Accent1 4 11 2" xfId="15879"/>
    <cellStyle name="20% - Accent1 4 11 2 2" xfId="29286"/>
    <cellStyle name="20% - Accent1 4 11 3" xfId="17637"/>
    <cellStyle name="20% - Accent1 4 12" xfId="8859"/>
    <cellStyle name="20% - Accent1 4 12 2" xfId="23334"/>
    <cellStyle name="20% - Accent1 4 13" xfId="17635"/>
    <cellStyle name="20% - Accent1 4 2" xfId="315"/>
    <cellStyle name="20% - Accent1 4 2 10" xfId="316"/>
    <cellStyle name="20% - Accent1 4 2 10 2" xfId="16022"/>
    <cellStyle name="20% - Accent1 4 2 10 2 2" xfId="29429"/>
    <cellStyle name="20% - Accent1 4 2 10 3" xfId="17639"/>
    <cellStyle name="20% - Accent1 4 2 11" xfId="8860"/>
    <cellStyle name="20% - Accent1 4 2 11 2" xfId="23335"/>
    <cellStyle name="20% - Accent1 4 2 12" xfId="17638"/>
    <cellStyle name="20% - Accent1 4 2 2" xfId="317"/>
    <cellStyle name="20% - Accent1 4 2 2 10" xfId="8861"/>
    <cellStyle name="20% - Accent1 4 2 2 10 2" xfId="23336"/>
    <cellStyle name="20% - Accent1 4 2 2 11" xfId="17640"/>
    <cellStyle name="20% - Accent1 4 2 2 2" xfId="318"/>
    <cellStyle name="20% - Accent1 4 2 2 2 2" xfId="319"/>
    <cellStyle name="20% - Accent1 4 2 2 2 2 2" xfId="10587"/>
    <cellStyle name="20% - Accent1 4 2 2 2 2 2 2" xfId="24529"/>
    <cellStyle name="20% - Accent1 4 2 2 2 2 3" xfId="17642"/>
    <cellStyle name="20% - Accent1 4 2 2 2 3" xfId="320"/>
    <cellStyle name="20% - Accent1 4 2 2 2 3 2" xfId="12403"/>
    <cellStyle name="20% - Accent1 4 2 2 2 3 2 2" xfId="26115"/>
    <cellStyle name="20% - Accent1 4 2 2 2 3 3" xfId="17643"/>
    <cellStyle name="20% - Accent1 4 2 2 2 4" xfId="321"/>
    <cellStyle name="20% - Accent1 4 2 2 2 4 2" xfId="14548"/>
    <cellStyle name="20% - Accent1 4 2 2 2 4 2 2" xfId="28097"/>
    <cellStyle name="20% - Accent1 4 2 2 2 4 3" xfId="17644"/>
    <cellStyle name="20% - Accent1 4 2 2 2 5" xfId="322"/>
    <cellStyle name="20% - Accent1 4 2 2 2 5 2" xfId="16892"/>
    <cellStyle name="20% - Accent1 4 2 2 2 5 2 2" xfId="30299"/>
    <cellStyle name="20% - Accent1 4 2 2 2 5 3" xfId="17645"/>
    <cellStyle name="20% - Accent1 4 2 2 2 6" xfId="8862"/>
    <cellStyle name="20% - Accent1 4 2 2 2 6 2" xfId="23337"/>
    <cellStyle name="20% - Accent1 4 2 2 2 7" xfId="17641"/>
    <cellStyle name="20% - Accent1 4 2 2 3" xfId="323"/>
    <cellStyle name="20% - Accent1 4 2 2 3 2" xfId="324"/>
    <cellStyle name="20% - Accent1 4 2 2 3 2 2" xfId="14547"/>
    <cellStyle name="20% - Accent1 4 2 2 3 2 2 2" xfId="28096"/>
    <cellStyle name="20% - Accent1 4 2 2 3 2 3" xfId="17647"/>
    <cellStyle name="20% - Accent1 4 2 2 3 3" xfId="10586"/>
    <cellStyle name="20% - Accent1 4 2 2 3 3 2" xfId="24528"/>
    <cellStyle name="20% - Accent1 4 2 2 3 4" xfId="17646"/>
    <cellStyle name="20% - Accent1 4 2 2 4" xfId="325"/>
    <cellStyle name="20% - Accent1 4 2 2 4 2" xfId="12280"/>
    <cellStyle name="20% - Accent1 4 2 2 4 2 2" xfId="25992"/>
    <cellStyle name="20% - Accent1 4 2 2 4 3" xfId="17648"/>
    <cellStyle name="20% - Accent1 4 2 2 5" xfId="326"/>
    <cellStyle name="20% - Accent1 4 2 2 5 2" xfId="12721"/>
    <cellStyle name="20% - Accent1 4 2 2 5 2 2" xfId="26433"/>
    <cellStyle name="20% - Accent1 4 2 2 5 3" xfId="17649"/>
    <cellStyle name="20% - Accent1 4 2 2 6" xfId="327"/>
    <cellStyle name="20% - Accent1 4 2 2 6 2" xfId="13844"/>
    <cellStyle name="20% - Accent1 4 2 2 6 2 2" xfId="27393"/>
    <cellStyle name="20% - Accent1 4 2 2 6 3" xfId="17650"/>
    <cellStyle name="20% - Accent1 4 2 2 7" xfId="328"/>
    <cellStyle name="20% - Accent1 4 2 2 7 2" xfId="14425"/>
    <cellStyle name="20% - Accent1 4 2 2 7 2 2" xfId="27974"/>
    <cellStyle name="20% - Accent1 4 2 2 7 3" xfId="17651"/>
    <cellStyle name="20% - Accent1 4 2 2 8" xfId="329"/>
    <cellStyle name="20% - Accent1 4 2 2 8 2" xfId="14549"/>
    <cellStyle name="20% - Accent1 4 2 2 8 2 2" xfId="28098"/>
    <cellStyle name="20% - Accent1 4 2 2 8 3" xfId="17652"/>
    <cellStyle name="20% - Accent1 4 2 2 9" xfId="330"/>
    <cellStyle name="20% - Accent1 4 2 2 9 2" xfId="16311"/>
    <cellStyle name="20% - Accent1 4 2 2 9 2 2" xfId="29718"/>
    <cellStyle name="20% - Accent1 4 2 2 9 3" xfId="17653"/>
    <cellStyle name="20% - Accent1 4 2 3" xfId="331"/>
    <cellStyle name="20% - Accent1 4 2 3 2" xfId="332"/>
    <cellStyle name="20% - Accent1 4 2 3 2 2" xfId="10588"/>
    <cellStyle name="20% - Accent1 4 2 3 2 2 2" xfId="24530"/>
    <cellStyle name="20% - Accent1 4 2 3 2 3" xfId="17655"/>
    <cellStyle name="20% - Accent1 4 2 3 3" xfId="333"/>
    <cellStyle name="20% - Accent1 4 2 3 3 2" xfId="12699"/>
    <cellStyle name="20% - Accent1 4 2 3 3 2 2" xfId="26411"/>
    <cellStyle name="20% - Accent1 4 2 3 3 3" xfId="17656"/>
    <cellStyle name="20% - Accent1 4 2 3 4" xfId="334"/>
    <cellStyle name="20% - Accent1 4 2 3 4 2" xfId="14546"/>
    <cellStyle name="20% - Accent1 4 2 3 4 2 2" xfId="28095"/>
    <cellStyle name="20% - Accent1 4 2 3 4 3" xfId="17657"/>
    <cellStyle name="20% - Accent1 4 2 3 5" xfId="335"/>
    <cellStyle name="20% - Accent1 4 2 3 5 2" xfId="16603"/>
    <cellStyle name="20% - Accent1 4 2 3 5 2 2" xfId="30010"/>
    <cellStyle name="20% - Accent1 4 2 3 5 3" xfId="17658"/>
    <cellStyle name="20% - Accent1 4 2 3 6" xfId="8863"/>
    <cellStyle name="20% - Accent1 4 2 3 6 2" xfId="23338"/>
    <cellStyle name="20% - Accent1 4 2 3 7" xfId="17654"/>
    <cellStyle name="20% - Accent1 4 2 4" xfId="336"/>
    <cellStyle name="20% - Accent1 4 2 4 2" xfId="337"/>
    <cellStyle name="20% - Accent1 4 2 4 2 2" xfId="14545"/>
    <cellStyle name="20% - Accent1 4 2 4 2 2 2" xfId="28094"/>
    <cellStyle name="20% - Accent1 4 2 4 2 3" xfId="17660"/>
    <cellStyle name="20% - Accent1 4 2 4 3" xfId="10585"/>
    <cellStyle name="20% - Accent1 4 2 4 3 2" xfId="24527"/>
    <cellStyle name="20% - Accent1 4 2 4 4" xfId="17659"/>
    <cellStyle name="20% - Accent1 4 2 5" xfId="338"/>
    <cellStyle name="20% - Accent1 4 2 5 2" xfId="11980"/>
    <cellStyle name="20% - Accent1 4 2 5 2 2" xfId="25695"/>
    <cellStyle name="20% - Accent1 4 2 5 3" xfId="17661"/>
    <cellStyle name="20% - Accent1 4 2 6" xfId="339"/>
    <cellStyle name="20% - Accent1 4 2 6 2" xfId="12620"/>
    <cellStyle name="20% - Accent1 4 2 6 2 2" xfId="26332"/>
    <cellStyle name="20% - Accent1 4 2 6 3" xfId="17662"/>
    <cellStyle name="20% - Accent1 4 2 7" xfId="340"/>
    <cellStyle name="20% - Accent1 4 2 7 2" xfId="13555"/>
    <cellStyle name="20% - Accent1 4 2 7 2 2" xfId="27104"/>
    <cellStyle name="20% - Accent1 4 2 7 3" xfId="17663"/>
    <cellStyle name="20% - Accent1 4 2 8" xfId="341"/>
    <cellStyle name="20% - Accent1 4 2 8 2" xfId="14136"/>
    <cellStyle name="20% - Accent1 4 2 8 2 2" xfId="27685"/>
    <cellStyle name="20% - Accent1 4 2 8 3" xfId="17664"/>
    <cellStyle name="20% - Accent1 4 2 9" xfId="342"/>
    <cellStyle name="20% - Accent1 4 2 9 2" xfId="14550"/>
    <cellStyle name="20% - Accent1 4 2 9 2 2" xfId="28099"/>
    <cellStyle name="20% - Accent1 4 2 9 3" xfId="17665"/>
    <cellStyle name="20% - Accent1 4 3" xfId="343"/>
    <cellStyle name="20% - Accent1 4 3 10" xfId="8864"/>
    <cellStyle name="20% - Accent1 4 3 10 2" xfId="23339"/>
    <cellStyle name="20% - Accent1 4 3 11" xfId="17666"/>
    <cellStyle name="20% - Accent1 4 3 2" xfId="344"/>
    <cellStyle name="20% - Accent1 4 3 2 2" xfId="345"/>
    <cellStyle name="20% - Accent1 4 3 2 2 2" xfId="10590"/>
    <cellStyle name="20% - Accent1 4 3 2 2 2 2" xfId="24532"/>
    <cellStyle name="20% - Accent1 4 3 2 2 3" xfId="17668"/>
    <cellStyle name="20% - Accent1 4 3 2 3" xfId="346"/>
    <cellStyle name="20% - Accent1 4 3 2 3 2" xfId="12570"/>
    <cellStyle name="20% - Accent1 4 3 2 3 2 2" xfId="26282"/>
    <cellStyle name="20% - Accent1 4 3 2 3 3" xfId="17669"/>
    <cellStyle name="20% - Accent1 4 3 2 4" xfId="347"/>
    <cellStyle name="20% - Accent1 4 3 2 4 2" xfId="14543"/>
    <cellStyle name="20% - Accent1 4 3 2 4 2 2" xfId="28092"/>
    <cellStyle name="20% - Accent1 4 3 2 4 3" xfId="17670"/>
    <cellStyle name="20% - Accent1 4 3 2 5" xfId="348"/>
    <cellStyle name="20% - Accent1 4 3 2 5 2" xfId="16752"/>
    <cellStyle name="20% - Accent1 4 3 2 5 2 2" xfId="30159"/>
    <cellStyle name="20% - Accent1 4 3 2 5 3" xfId="17671"/>
    <cellStyle name="20% - Accent1 4 3 2 6" xfId="8865"/>
    <cellStyle name="20% - Accent1 4 3 2 6 2" xfId="23340"/>
    <cellStyle name="20% - Accent1 4 3 2 7" xfId="17667"/>
    <cellStyle name="20% - Accent1 4 3 3" xfId="349"/>
    <cellStyle name="20% - Accent1 4 3 3 2" xfId="350"/>
    <cellStyle name="20% - Accent1 4 3 3 2 2" xfId="14542"/>
    <cellStyle name="20% - Accent1 4 3 3 2 2 2" xfId="28091"/>
    <cellStyle name="20% - Accent1 4 3 3 2 3" xfId="17673"/>
    <cellStyle name="20% - Accent1 4 3 3 3" xfId="10589"/>
    <cellStyle name="20% - Accent1 4 3 3 3 2" xfId="24531"/>
    <cellStyle name="20% - Accent1 4 3 3 4" xfId="17672"/>
    <cellStyle name="20% - Accent1 4 3 4" xfId="351"/>
    <cellStyle name="20% - Accent1 4 3 4 2" xfId="12140"/>
    <cellStyle name="20% - Accent1 4 3 4 2 2" xfId="25852"/>
    <cellStyle name="20% - Accent1 4 3 4 3" xfId="17674"/>
    <cellStyle name="20% - Accent1 4 3 5" xfId="352"/>
    <cellStyle name="20% - Accent1 4 3 5 2" xfId="12720"/>
    <cellStyle name="20% - Accent1 4 3 5 2 2" xfId="26432"/>
    <cellStyle name="20% - Accent1 4 3 5 3" xfId="17675"/>
    <cellStyle name="20% - Accent1 4 3 6" xfId="353"/>
    <cellStyle name="20% - Accent1 4 3 6 2" xfId="13704"/>
    <cellStyle name="20% - Accent1 4 3 6 2 2" xfId="27253"/>
    <cellStyle name="20% - Accent1 4 3 6 3" xfId="17676"/>
    <cellStyle name="20% - Accent1 4 3 7" xfId="354"/>
    <cellStyle name="20% - Accent1 4 3 7 2" xfId="14285"/>
    <cellStyle name="20% - Accent1 4 3 7 2 2" xfId="27834"/>
    <cellStyle name="20% - Accent1 4 3 7 3" xfId="17677"/>
    <cellStyle name="20% - Accent1 4 3 8" xfId="355"/>
    <cellStyle name="20% - Accent1 4 3 8 2" xfId="14544"/>
    <cellStyle name="20% - Accent1 4 3 8 2 2" xfId="28093"/>
    <cellStyle name="20% - Accent1 4 3 8 3" xfId="17678"/>
    <cellStyle name="20% - Accent1 4 3 9" xfId="356"/>
    <cellStyle name="20% - Accent1 4 3 9 2" xfId="16171"/>
    <cellStyle name="20% - Accent1 4 3 9 2 2" xfId="29578"/>
    <cellStyle name="20% - Accent1 4 3 9 3" xfId="17679"/>
    <cellStyle name="20% - Accent1 4 4" xfId="357"/>
    <cellStyle name="20% - Accent1 4 4 2" xfId="358"/>
    <cellStyle name="20% - Accent1 4 4 2 2" xfId="10591"/>
    <cellStyle name="20% - Accent1 4 4 2 2 2" xfId="24533"/>
    <cellStyle name="20% - Accent1 4 4 2 3" xfId="17681"/>
    <cellStyle name="20% - Accent1 4 4 3" xfId="359"/>
    <cellStyle name="20% - Accent1 4 4 3 2" xfId="12698"/>
    <cellStyle name="20% - Accent1 4 4 3 2 2" xfId="26410"/>
    <cellStyle name="20% - Accent1 4 4 3 3" xfId="17682"/>
    <cellStyle name="20% - Accent1 4 4 4" xfId="360"/>
    <cellStyle name="20% - Accent1 4 4 4 2" xfId="14541"/>
    <cellStyle name="20% - Accent1 4 4 4 2 2" xfId="28090"/>
    <cellStyle name="20% - Accent1 4 4 4 3" xfId="17683"/>
    <cellStyle name="20% - Accent1 4 4 5" xfId="361"/>
    <cellStyle name="20% - Accent1 4 4 5 2" xfId="16460"/>
    <cellStyle name="20% - Accent1 4 4 5 2 2" xfId="29867"/>
    <cellStyle name="20% - Accent1 4 4 5 3" xfId="17684"/>
    <cellStyle name="20% - Accent1 4 4 6" xfId="8866"/>
    <cellStyle name="20% - Accent1 4 4 6 2" xfId="23341"/>
    <cellStyle name="20% - Accent1 4 4 7" xfId="17680"/>
    <cellStyle name="20% - Accent1 4 5" xfId="362"/>
    <cellStyle name="20% - Accent1 4 5 2" xfId="363"/>
    <cellStyle name="20% - Accent1 4 5 2 2" xfId="14604"/>
    <cellStyle name="20% - Accent1 4 5 2 2 2" xfId="28153"/>
    <cellStyle name="20% - Accent1 4 5 2 3" xfId="17686"/>
    <cellStyle name="20% - Accent1 4 5 3" xfId="10584"/>
    <cellStyle name="20% - Accent1 4 5 3 2" xfId="24526"/>
    <cellStyle name="20% - Accent1 4 5 4" xfId="17685"/>
    <cellStyle name="20% - Accent1 4 6" xfId="364"/>
    <cellStyle name="20% - Accent1 4 6 2" xfId="11811"/>
    <cellStyle name="20% - Accent1 4 6 2 2" xfId="25526"/>
    <cellStyle name="20% - Accent1 4 6 3" xfId="17687"/>
    <cellStyle name="20% - Accent1 4 7" xfId="365"/>
    <cellStyle name="20% - Accent1 4 7 2" xfId="12716"/>
    <cellStyle name="20% - Accent1 4 7 2 2" xfId="26428"/>
    <cellStyle name="20% - Accent1 4 7 3" xfId="17688"/>
    <cellStyle name="20% - Accent1 4 8" xfId="366"/>
    <cellStyle name="20% - Accent1 4 8 2" xfId="13412"/>
    <cellStyle name="20% - Accent1 4 8 2 2" xfId="26961"/>
    <cellStyle name="20% - Accent1 4 8 3" xfId="17689"/>
    <cellStyle name="20% - Accent1 4 9" xfId="367"/>
    <cellStyle name="20% - Accent1 4 9 2" xfId="13993"/>
    <cellStyle name="20% - Accent1 4 9 2 2" xfId="27542"/>
    <cellStyle name="20% - Accent1 4 9 3" xfId="17690"/>
    <cellStyle name="20% - Accent1 5" xfId="368"/>
    <cellStyle name="20% - Accent1 5 10" xfId="369"/>
    <cellStyle name="20% - Accent1 5 10 2" xfId="14605"/>
    <cellStyle name="20% - Accent1 5 10 2 2" xfId="28154"/>
    <cellStyle name="20% - Accent1 5 10 3" xfId="17692"/>
    <cellStyle name="20% - Accent1 5 11" xfId="370"/>
    <cellStyle name="20% - Accent1 5 11 2" xfId="15862"/>
    <cellStyle name="20% - Accent1 5 11 2 2" xfId="29269"/>
    <cellStyle name="20% - Accent1 5 11 3" xfId="17693"/>
    <cellStyle name="20% - Accent1 5 12" xfId="8867"/>
    <cellStyle name="20% - Accent1 5 12 2" xfId="23342"/>
    <cellStyle name="20% - Accent1 5 13" xfId="17691"/>
    <cellStyle name="20% - Accent1 5 2" xfId="371"/>
    <cellStyle name="20% - Accent1 5 2 10" xfId="372"/>
    <cellStyle name="20% - Accent1 5 2 10 2" xfId="16005"/>
    <cellStyle name="20% - Accent1 5 2 10 2 2" xfId="29412"/>
    <cellStyle name="20% - Accent1 5 2 10 3" xfId="17695"/>
    <cellStyle name="20% - Accent1 5 2 11" xfId="8868"/>
    <cellStyle name="20% - Accent1 5 2 11 2" xfId="23343"/>
    <cellStyle name="20% - Accent1 5 2 12" xfId="17694"/>
    <cellStyle name="20% - Accent1 5 2 2" xfId="373"/>
    <cellStyle name="20% - Accent1 5 2 2 10" xfId="8869"/>
    <cellStyle name="20% - Accent1 5 2 2 10 2" xfId="23344"/>
    <cellStyle name="20% - Accent1 5 2 2 11" xfId="17696"/>
    <cellStyle name="20% - Accent1 5 2 2 2" xfId="374"/>
    <cellStyle name="20% - Accent1 5 2 2 2 2" xfId="375"/>
    <cellStyle name="20% - Accent1 5 2 2 2 2 2" xfId="10595"/>
    <cellStyle name="20% - Accent1 5 2 2 2 2 2 2" xfId="24537"/>
    <cellStyle name="20% - Accent1 5 2 2 2 2 3" xfId="17698"/>
    <cellStyle name="20% - Accent1 5 2 2 2 3" xfId="376"/>
    <cellStyle name="20% - Accent1 5 2 2 2 3 2" xfId="12544"/>
    <cellStyle name="20% - Accent1 5 2 2 2 3 2 2" xfId="26256"/>
    <cellStyle name="20% - Accent1 5 2 2 2 3 3" xfId="17699"/>
    <cellStyle name="20% - Accent1 5 2 2 2 4" xfId="377"/>
    <cellStyle name="20% - Accent1 5 2 2 2 4 2" xfId="14608"/>
    <cellStyle name="20% - Accent1 5 2 2 2 4 2 2" xfId="28157"/>
    <cellStyle name="20% - Accent1 5 2 2 2 4 3" xfId="17700"/>
    <cellStyle name="20% - Accent1 5 2 2 2 5" xfId="378"/>
    <cellStyle name="20% - Accent1 5 2 2 2 5 2" xfId="16875"/>
    <cellStyle name="20% - Accent1 5 2 2 2 5 2 2" xfId="30282"/>
    <cellStyle name="20% - Accent1 5 2 2 2 5 3" xfId="17701"/>
    <cellStyle name="20% - Accent1 5 2 2 2 6" xfId="8870"/>
    <cellStyle name="20% - Accent1 5 2 2 2 6 2" xfId="23345"/>
    <cellStyle name="20% - Accent1 5 2 2 2 7" xfId="17697"/>
    <cellStyle name="20% - Accent1 5 2 2 3" xfId="379"/>
    <cellStyle name="20% - Accent1 5 2 2 3 2" xfId="380"/>
    <cellStyle name="20% - Accent1 5 2 2 3 2 2" xfId="14609"/>
    <cellStyle name="20% - Accent1 5 2 2 3 2 2 2" xfId="28158"/>
    <cellStyle name="20% - Accent1 5 2 2 3 2 3" xfId="17703"/>
    <cellStyle name="20% - Accent1 5 2 2 3 3" xfId="10594"/>
    <cellStyle name="20% - Accent1 5 2 2 3 3 2" xfId="24536"/>
    <cellStyle name="20% - Accent1 5 2 2 3 4" xfId="17702"/>
    <cellStyle name="20% - Accent1 5 2 2 4" xfId="381"/>
    <cellStyle name="20% - Accent1 5 2 2 4 2" xfId="12263"/>
    <cellStyle name="20% - Accent1 5 2 2 4 2 2" xfId="25975"/>
    <cellStyle name="20% - Accent1 5 2 2 4 3" xfId="17704"/>
    <cellStyle name="20% - Accent1 5 2 2 5" xfId="382"/>
    <cellStyle name="20% - Accent1 5 2 2 5 2" xfId="12613"/>
    <cellStyle name="20% - Accent1 5 2 2 5 2 2" xfId="26325"/>
    <cellStyle name="20% - Accent1 5 2 2 5 3" xfId="17705"/>
    <cellStyle name="20% - Accent1 5 2 2 6" xfId="383"/>
    <cellStyle name="20% - Accent1 5 2 2 6 2" xfId="13827"/>
    <cellStyle name="20% - Accent1 5 2 2 6 2 2" xfId="27376"/>
    <cellStyle name="20% - Accent1 5 2 2 6 3" xfId="17706"/>
    <cellStyle name="20% - Accent1 5 2 2 7" xfId="384"/>
    <cellStyle name="20% - Accent1 5 2 2 7 2" xfId="14408"/>
    <cellStyle name="20% - Accent1 5 2 2 7 2 2" xfId="27957"/>
    <cellStyle name="20% - Accent1 5 2 2 7 3" xfId="17707"/>
    <cellStyle name="20% - Accent1 5 2 2 8" xfId="385"/>
    <cellStyle name="20% - Accent1 5 2 2 8 2" xfId="14607"/>
    <cellStyle name="20% - Accent1 5 2 2 8 2 2" xfId="28156"/>
    <cellStyle name="20% - Accent1 5 2 2 8 3" xfId="17708"/>
    <cellStyle name="20% - Accent1 5 2 2 9" xfId="386"/>
    <cellStyle name="20% - Accent1 5 2 2 9 2" xfId="16294"/>
    <cellStyle name="20% - Accent1 5 2 2 9 2 2" xfId="29701"/>
    <cellStyle name="20% - Accent1 5 2 2 9 3" xfId="17709"/>
    <cellStyle name="20% - Accent1 5 2 3" xfId="387"/>
    <cellStyle name="20% - Accent1 5 2 3 2" xfId="388"/>
    <cellStyle name="20% - Accent1 5 2 3 2 2" xfId="10596"/>
    <cellStyle name="20% - Accent1 5 2 3 2 2 2" xfId="24538"/>
    <cellStyle name="20% - Accent1 5 2 3 2 3" xfId="17711"/>
    <cellStyle name="20% - Accent1 5 2 3 3" xfId="389"/>
    <cellStyle name="20% - Accent1 5 2 3 3 2" xfId="12656"/>
    <cellStyle name="20% - Accent1 5 2 3 3 2 2" xfId="26368"/>
    <cellStyle name="20% - Accent1 5 2 3 3 3" xfId="17712"/>
    <cellStyle name="20% - Accent1 5 2 3 4" xfId="390"/>
    <cellStyle name="20% - Accent1 5 2 3 4 2" xfId="14610"/>
    <cellStyle name="20% - Accent1 5 2 3 4 2 2" xfId="28159"/>
    <cellStyle name="20% - Accent1 5 2 3 4 3" xfId="17713"/>
    <cellStyle name="20% - Accent1 5 2 3 5" xfId="391"/>
    <cellStyle name="20% - Accent1 5 2 3 5 2" xfId="16586"/>
    <cellStyle name="20% - Accent1 5 2 3 5 2 2" xfId="29993"/>
    <cellStyle name="20% - Accent1 5 2 3 5 3" xfId="17714"/>
    <cellStyle name="20% - Accent1 5 2 3 6" xfId="8871"/>
    <cellStyle name="20% - Accent1 5 2 3 6 2" xfId="23346"/>
    <cellStyle name="20% - Accent1 5 2 3 7" xfId="17710"/>
    <cellStyle name="20% - Accent1 5 2 4" xfId="392"/>
    <cellStyle name="20% - Accent1 5 2 4 2" xfId="393"/>
    <cellStyle name="20% - Accent1 5 2 4 2 2" xfId="14611"/>
    <cellStyle name="20% - Accent1 5 2 4 2 2 2" xfId="28160"/>
    <cellStyle name="20% - Accent1 5 2 4 2 3" xfId="17716"/>
    <cellStyle name="20% - Accent1 5 2 4 3" xfId="10593"/>
    <cellStyle name="20% - Accent1 5 2 4 3 2" xfId="24535"/>
    <cellStyle name="20% - Accent1 5 2 4 4" xfId="17715"/>
    <cellStyle name="20% - Accent1 5 2 5" xfId="394"/>
    <cellStyle name="20% - Accent1 5 2 5 2" xfId="11963"/>
    <cellStyle name="20% - Accent1 5 2 5 2 2" xfId="25678"/>
    <cellStyle name="20% - Accent1 5 2 5 3" xfId="17717"/>
    <cellStyle name="20% - Accent1 5 2 6" xfId="395"/>
    <cellStyle name="20% - Accent1 5 2 6 2" xfId="12114"/>
    <cellStyle name="20% - Accent1 5 2 6 2 2" xfId="25826"/>
    <cellStyle name="20% - Accent1 5 2 6 3" xfId="17718"/>
    <cellStyle name="20% - Accent1 5 2 7" xfId="396"/>
    <cellStyle name="20% - Accent1 5 2 7 2" xfId="13538"/>
    <cellStyle name="20% - Accent1 5 2 7 2 2" xfId="27087"/>
    <cellStyle name="20% - Accent1 5 2 7 3" xfId="17719"/>
    <cellStyle name="20% - Accent1 5 2 8" xfId="397"/>
    <cellStyle name="20% - Accent1 5 2 8 2" xfId="14119"/>
    <cellStyle name="20% - Accent1 5 2 8 2 2" xfId="27668"/>
    <cellStyle name="20% - Accent1 5 2 8 3" xfId="17720"/>
    <cellStyle name="20% - Accent1 5 2 9" xfId="398"/>
    <cellStyle name="20% - Accent1 5 2 9 2" xfId="14606"/>
    <cellStyle name="20% - Accent1 5 2 9 2 2" xfId="28155"/>
    <cellStyle name="20% - Accent1 5 2 9 3" xfId="17721"/>
    <cellStyle name="20% - Accent1 5 3" xfId="399"/>
    <cellStyle name="20% - Accent1 5 3 10" xfId="8872"/>
    <cellStyle name="20% - Accent1 5 3 10 2" xfId="23347"/>
    <cellStyle name="20% - Accent1 5 3 11" xfId="17722"/>
    <cellStyle name="20% - Accent1 5 3 2" xfId="400"/>
    <cellStyle name="20% - Accent1 5 3 2 2" xfId="401"/>
    <cellStyle name="20% - Accent1 5 3 2 2 2" xfId="10598"/>
    <cellStyle name="20% - Accent1 5 3 2 2 2 2" xfId="24540"/>
    <cellStyle name="20% - Accent1 5 3 2 2 3" xfId="17724"/>
    <cellStyle name="20% - Accent1 5 3 2 3" xfId="402"/>
    <cellStyle name="20% - Accent1 5 3 2 3 2" xfId="12464"/>
    <cellStyle name="20% - Accent1 5 3 2 3 2 2" xfId="26176"/>
    <cellStyle name="20% - Accent1 5 3 2 3 3" xfId="17725"/>
    <cellStyle name="20% - Accent1 5 3 2 4" xfId="403"/>
    <cellStyle name="20% - Accent1 5 3 2 4 2" xfId="14613"/>
    <cellStyle name="20% - Accent1 5 3 2 4 2 2" xfId="28162"/>
    <cellStyle name="20% - Accent1 5 3 2 4 3" xfId="17726"/>
    <cellStyle name="20% - Accent1 5 3 2 5" xfId="404"/>
    <cellStyle name="20% - Accent1 5 3 2 5 2" xfId="16725"/>
    <cellStyle name="20% - Accent1 5 3 2 5 2 2" xfId="30132"/>
    <cellStyle name="20% - Accent1 5 3 2 5 3" xfId="17727"/>
    <cellStyle name="20% - Accent1 5 3 2 6" xfId="8873"/>
    <cellStyle name="20% - Accent1 5 3 2 6 2" xfId="23348"/>
    <cellStyle name="20% - Accent1 5 3 2 7" xfId="17723"/>
    <cellStyle name="20% - Accent1 5 3 3" xfId="405"/>
    <cellStyle name="20% - Accent1 5 3 3 2" xfId="406"/>
    <cellStyle name="20% - Accent1 5 3 3 2 2" xfId="14614"/>
    <cellStyle name="20% - Accent1 5 3 3 2 2 2" xfId="28163"/>
    <cellStyle name="20% - Accent1 5 3 3 2 3" xfId="17729"/>
    <cellStyle name="20% - Accent1 5 3 3 3" xfId="10597"/>
    <cellStyle name="20% - Accent1 5 3 3 3 2" xfId="24539"/>
    <cellStyle name="20% - Accent1 5 3 3 4" xfId="17728"/>
    <cellStyle name="20% - Accent1 5 3 4" xfId="407"/>
    <cellStyle name="20% - Accent1 5 3 4 2" xfId="12105"/>
    <cellStyle name="20% - Accent1 5 3 4 2 2" xfId="25817"/>
    <cellStyle name="20% - Accent1 5 3 4 3" xfId="17730"/>
    <cellStyle name="20% - Accent1 5 3 5" xfId="408"/>
    <cellStyle name="20% - Accent1 5 3 5 2" xfId="12434"/>
    <cellStyle name="20% - Accent1 5 3 5 2 2" xfId="26146"/>
    <cellStyle name="20% - Accent1 5 3 5 3" xfId="17731"/>
    <cellStyle name="20% - Accent1 5 3 6" xfId="409"/>
    <cellStyle name="20% - Accent1 5 3 6 2" xfId="13677"/>
    <cellStyle name="20% - Accent1 5 3 6 2 2" xfId="27226"/>
    <cellStyle name="20% - Accent1 5 3 6 3" xfId="17732"/>
    <cellStyle name="20% - Accent1 5 3 7" xfId="410"/>
    <cellStyle name="20% - Accent1 5 3 7 2" xfId="14258"/>
    <cellStyle name="20% - Accent1 5 3 7 2 2" xfId="27807"/>
    <cellStyle name="20% - Accent1 5 3 7 3" xfId="17733"/>
    <cellStyle name="20% - Accent1 5 3 8" xfId="411"/>
    <cellStyle name="20% - Accent1 5 3 8 2" xfId="14612"/>
    <cellStyle name="20% - Accent1 5 3 8 2 2" xfId="28161"/>
    <cellStyle name="20% - Accent1 5 3 8 3" xfId="17734"/>
    <cellStyle name="20% - Accent1 5 3 9" xfId="412"/>
    <cellStyle name="20% - Accent1 5 3 9 2" xfId="16144"/>
    <cellStyle name="20% - Accent1 5 3 9 2 2" xfId="29551"/>
    <cellStyle name="20% - Accent1 5 3 9 3" xfId="17735"/>
    <cellStyle name="20% - Accent1 5 4" xfId="413"/>
    <cellStyle name="20% - Accent1 5 4 2" xfId="414"/>
    <cellStyle name="20% - Accent1 5 4 2 2" xfId="10599"/>
    <cellStyle name="20% - Accent1 5 4 2 2 2" xfId="24541"/>
    <cellStyle name="20% - Accent1 5 4 2 3" xfId="17737"/>
    <cellStyle name="20% - Accent1 5 4 3" xfId="415"/>
    <cellStyle name="20% - Accent1 5 4 3 2" xfId="12428"/>
    <cellStyle name="20% - Accent1 5 4 3 2 2" xfId="26140"/>
    <cellStyle name="20% - Accent1 5 4 3 3" xfId="17738"/>
    <cellStyle name="20% - Accent1 5 4 4" xfId="416"/>
    <cellStyle name="20% - Accent1 5 4 4 2" xfId="14619"/>
    <cellStyle name="20% - Accent1 5 4 4 2 2" xfId="28168"/>
    <cellStyle name="20% - Accent1 5 4 4 3" xfId="17739"/>
    <cellStyle name="20% - Accent1 5 4 5" xfId="417"/>
    <cellStyle name="20% - Accent1 5 4 5 2" xfId="16443"/>
    <cellStyle name="20% - Accent1 5 4 5 2 2" xfId="29850"/>
    <cellStyle name="20% - Accent1 5 4 5 3" xfId="17740"/>
    <cellStyle name="20% - Accent1 5 4 6" xfId="8874"/>
    <cellStyle name="20% - Accent1 5 4 6 2" xfId="23349"/>
    <cellStyle name="20% - Accent1 5 4 7" xfId="17736"/>
    <cellStyle name="20% - Accent1 5 5" xfId="418"/>
    <cellStyle name="20% - Accent1 5 5 2" xfId="419"/>
    <cellStyle name="20% - Accent1 5 5 2 2" xfId="14620"/>
    <cellStyle name="20% - Accent1 5 5 2 2 2" xfId="28169"/>
    <cellStyle name="20% - Accent1 5 5 2 3" xfId="17742"/>
    <cellStyle name="20% - Accent1 5 5 3" xfId="10592"/>
    <cellStyle name="20% - Accent1 5 5 3 2" xfId="24534"/>
    <cellStyle name="20% - Accent1 5 5 4" xfId="17741"/>
    <cellStyle name="20% - Accent1 5 6" xfId="420"/>
    <cellStyle name="20% - Accent1 5 6 2" xfId="11794"/>
    <cellStyle name="20% - Accent1 5 6 2 2" xfId="25509"/>
    <cellStyle name="20% - Accent1 5 6 3" xfId="17743"/>
    <cellStyle name="20% - Accent1 5 7" xfId="421"/>
    <cellStyle name="20% - Accent1 5 7 2" xfId="12556"/>
    <cellStyle name="20% - Accent1 5 7 2 2" xfId="26268"/>
    <cellStyle name="20% - Accent1 5 7 3" xfId="17744"/>
    <cellStyle name="20% - Accent1 5 8" xfId="422"/>
    <cellStyle name="20% - Accent1 5 8 2" xfId="13395"/>
    <cellStyle name="20% - Accent1 5 8 2 2" xfId="26944"/>
    <cellStyle name="20% - Accent1 5 8 3" xfId="17745"/>
    <cellStyle name="20% - Accent1 5 9" xfId="423"/>
    <cellStyle name="20% - Accent1 5 9 2" xfId="13976"/>
    <cellStyle name="20% - Accent1 5 9 2 2" xfId="27525"/>
    <cellStyle name="20% - Accent1 5 9 3" xfId="17746"/>
    <cellStyle name="20% - Accent1 6" xfId="424"/>
    <cellStyle name="20% - Accent1 6 10" xfId="425"/>
    <cellStyle name="20% - Accent1 6 10 2" xfId="14621"/>
    <cellStyle name="20% - Accent1 6 10 2 2" xfId="28170"/>
    <cellStyle name="20% - Accent1 6 10 3" xfId="17748"/>
    <cellStyle name="20% - Accent1 6 11" xfId="426"/>
    <cellStyle name="20% - Accent1 6 11 2" xfId="15968"/>
    <cellStyle name="20% - Accent1 6 11 2 2" xfId="29375"/>
    <cellStyle name="20% - Accent1 6 11 3" xfId="17749"/>
    <cellStyle name="20% - Accent1 6 12" xfId="8875"/>
    <cellStyle name="20% - Accent1 6 12 2" xfId="23350"/>
    <cellStyle name="20% - Accent1 6 13" xfId="17747"/>
    <cellStyle name="20% - Accent1 6 2" xfId="427"/>
    <cellStyle name="20% - Accent1 6 2 10" xfId="428"/>
    <cellStyle name="20% - Accent1 6 2 10 2" xfId="16111"/>
    <cellStyle name="20% - Accent1 6 2 10 2 2" xfId="29518"/>
    <cellStyle name="20% - Accent1 6 2 10 3" xfId="17751"/>
    <cellStyle name="20% - Accent1 6 2 11" xfId="8876"/>
    <cellStyle name="20% - Accent1 6 2 11 2" xfId="23351"/>
    <cellStyle name="20% - Accent1 6 2 12" xfId="17750"/>
    <cellStyle name="20% - Accent1 6 2 2" xfId="429"/>
    <cellStyle name="20% - Accent1 6 2 2 10" xfId="8877"/>
    <cellStyle name="20% - Accent1 6 2 2 10 2" xfId="23352"/>
    <cellStyle name="20% - Accent1 6 2 2 11" xfId="17752"/>
    <cellStyle name="20% - Accent1 6 2 2 2" xfId="430"/>
    <cellStyle name="20% - Accent1 6 2 2 2 2" xfId="431"/>
    <cellStyle name="20% - Accent1 6 2 2 2 2 2" xfId="10603"/>
    <cellStyle name="20% - Accent1 6 2 2 2 2 2 2" xfId="24545"/>
    <cellStyle name="20% - Accent1 6 2 2 2 2 3" xfId="17754"/>
    <cellStyle name="20% - Accent1 6 2 2 2 3" xfId="432"/>
    <cellStyle name="20% - Accent1 6 2 2 2 3 2" xfId="12811"/>
    <cellStyle name="20% - Accent1 6 2 2 2 3 2 2" xfId="26523"/>
    <cellStyle name="20% - Accent1 6 2 2 2 3 3" xfId="17755"/>
    <cellStyle name="20% - Accent1 6 2 2 2 4" xfId="433"/>
    <cellStyle name="20% - Accent1 6 2 2 2 4 2" xfId="14624"/>
    <cellStyle name="20% - Accent1 6 2 2 2 4 2 2" xfId="28173"/>
    <cellStyle name="20% - Accent1 6 2 2 2 4 3" xfId="17756"/>
    <cellStyle name="20% - Accent1 6 2 2 2 5" xfId="434"/>
    <cellStyle name="20% - Accent1 6 2 2 2 5 2" xfId="16981"/>
    <cellStyle name="20% - Accent1 6 2 2 2 5 2 2" xfId="30388"/>
    <cellStyle name="20% - Accent1 6 2 2 2 5 3" xfId="17757"/>
    <cellStyle name="20% - Accent1 6 2 2 2 6" xfId="8878"/>
    <cellStyle name="20% - Accent1 6 2 2 2 6 2" xfId="23353"/>
    <cellStyle name="20% - Accent1 6 2 2 2 7" xfId="17753"/>
    <cellStyle name="20% - Accent1 6 2 2 3" xfId="435"/>
    <cellStyle name="20% - Accent1 6 2 2 3 2" xfId="436"/>
    <cellStyle name="20% - Accent1 6 2 2 3 2 2" xfId="14625"/>
    <cellStyle name="20% - Accent1 6 2 2 3 2 2 2" xfId="28174"/>
    <cellStyle name="20% - Accent1 6 2 2 3 2 3" xfId="17759"/>
    <cellStyle name="20% - Accent1 6 2 2 3 3" xfId="10602"/>
    <cellStyle name="20% - Accent1 6 2 2 3 3 2" xfId="24544"/>
    <cellStyle name="20% - Accent1 6 2 2 3 4" xfId="17758"/>
    <cellStyle name="20% - Accent1 6 2 2 4" xfId="437"/>
    <cellStyle name="20% - Accent1 6 2 2 4 2" xfId="12369"/>
    <cellStyle name="20% - Accent1 6 2 2 4 2 2" xfId="26081"/>
    <cellStyle name="20% - Accent1 6 2 2 4 3" xfId="17760"/>
    <cellStyle name="20% - Accent1 6 2 2 5" xfId="438"/>
    <cellStyle name="20% - Accent1 6 2 2 5 2" xfId="12801"/>
    <cellStyle name="20% - Accent1 6 2 2 5 2 2" xfId="26513"/>
    <cellStyle name="20% - Accent1 6 2 2 5 3" xfId="17761"/>
    <cellStyle name="20% - Accent1 6 2 2 6" xfId="439"/>
    <cellStyle name="20% - Accent1 6 2 2 6 2" xfId="13933"/>
    <cellStyle name="20% - Accent1 6 2 2 6 2 2" xfId="27482"/>
    <cellStyle name="20% - Accent1 6 2 2 6 3" xfId="17762"/>
    <cellStyle name="20% - Accent1 6 2 2 7" xfId="440"/>
    <cellStyle name="20% - Accent1 6 2 2 7 2" xfId="14514"/>
    <cellStyle name="20% - Accent1 6 2 2 7 2 2" xfId="28063"/>
    <cellStyle name="20% - Accent1 6 2 2 7 3" xfId="17763"/>
    <cellStyle name="20% - Accent1 6 2 2 8" xfId="441"/>
    <cellStyle name="20% - Accent1 6 2 2 8 2" xfId="14623"/>
    <cellStyle name="20% - Accent1 6 2 2 8 2 2" xfId="28172"/>
    <cellStyle name="20% - Accent1 6 2 2 8 3" xfId="17764"/>
    <cellStyle name="20% - Accent1 6 2 2 9" xfId="442"/>
    <cellStyle name="20% - Accent1 6 2 2 9 2" xfId="16400"/>
    <cellStyle name="20% - Accent1 6 2 2 9 2 2" xfId="29807"/>
    <cellStyle name="20% - Accent1 6 2 2 9 3" xfId="17765"/>
    <cellStyle name="20% - Accent1 6 2 3" xfId="443"/>
    <cellStyle name="20% - Accent1 6 2 3 2" xfId="444"/>
    <cellStyle name="20% - Accent1 6 2 3 2 2" xfId="10604"/>
    <cellStyle name="20% - Accent1 6 2 3 2 2 2" xfId="24546"/>
    <cellStyle name="20% - Accent1 6 2 3 2 3" xfId="17767"/>
    <cellStyle name="20% - Accent1 6 2 3 3" xfId="445"/>
    <cellStyle name="20% - Accent1 6 2 3 3 2" xfId="12514"/>
    <cellStyle name="20% - Accent1 6 2 3 3 2 2" xfId="26226"/>
    <cellStyle name="20% - Accent1 6 2 3 3 3" xfId="17768"/>
    <cellStyle name="20% - Accent1 6 2 3 4" xfId="446"/>
    <cellStyle name="20% - Accent1 6 2 3 4 2" xfId="14626"/>
    <cellStyle name="20% - Accent1 6 2 3 4 2 2" xfId="28175"/>
    <cellStyle name="20% - Accent1 6 2 3 4 3" xfId="17769"/>
    <cellStyle name="20% - Accent1 6 2 3 5" xfId="447"/>
    <cellStyle name="20% - Accent1 6 2 3 5 2" xfId="16692"/>
    <cellStyle name="20% - Accent1 6 2 3 5 2 2" xfId="30099"/>
    <cellStyle name="20% - Accent1 6 2 3 5 3" xfId="17770"/>
    <cellStyle name="20% - Accent1 6 2 3 6" xfId="8879"/>
    <cellStyle name="20% - Accent1 6 2 3 6 2" xfId="23354"/>
    <cellStyle name="20% - Accent1 6 2 3 7" xfId="17766"/>
    <cellStyle name="20% - Accent1 6 2 4" xfId="448"/>
    <cellStyle name="20% - Accent1 6 2 4 2" xfId="449"/>
    <cellStyle name="20% - Accent1 6 2 4 2 2" xfId="14627"/>
    <cellStyle name="20% - Accent1 6 2 4 2 2 2" xfId="28176"/>
    <cellStyle name="20% - Accent1 6 2 4 2 3" xfId="17772"/>
    <cellStyle name="20% - Accent1 6 2 4 3" xfId="10601"/>
    <cellStyle name="20% - Accent1 6 2 4 3 2" xfId="24543"/>
    <cellStyle name="20% - Accent1 6 2 4 4" xfId="17771"/>
    <cellStyle name="20% - Accent1 6 2 5" xfId="450"/>
    <cellStyle name="20% - Accent1 6 2 5 2" xfId="12069"/>
    <cellStyle name="20% - Accent1 6 2 5 2 2" xfId="25784"/>
    <cellStyle name="20% - Accent1 6 2 5 3" xfId="17773"/>
    <cellStyle name="20% - Accent1 6 2 6" xfId="451"/>
    <cellStyle name="20% - Accent1 6 2 6 2" xfId="12565"/>
    <cellStyle name="20% - Accent1 6 2 6 2 2" xfId="26277"/>
    <cellStyle name="20% - Accent1 6 2 6 3" xfId="17774"/>
    <cellStyle name="20% - Accent1 6 2 7" xfId="452"/>
    <cellStyle name="20% - Accent1 6 2 7 2" xfId="13644"/>
    <cellStyle name="20% - Accent1 6 2 7 2 2" xfId="27193"/>
    <cellStyle name="20% - Accent1 6 2 7 3" xfId="17775"/>
    <cellStyle name="20% - Accent1 6 2 8" xfId="453"/>
    <cellStyle name="20% - Accent1 6 2 8 2" xfId="14225"/>
    <cellStyle name="20% - Accent1 6 2 8 2 2" xfId="27774"/>
    <cellStyle name="20% - Accent1 6 2 8 3" xfId="17776"/>
    <cellStyle name="20% - Accent1 6 2 9" xfId="454"/>
    <cellStyle name="20% - Accent1 6 2 9 2" xfId="14622"/>
    <cellStyle name="20% - Accent1 6 2 9 2 2" xfId="28171"/>
    <cellStyle name="20% - Accent1 6 2 9 3" xfId="17777"/>
    <cellStyle name="20% - Accent1 6 3" xfId="455"/>
    <cellStyle name="20% - Accent1 6 3 10" xfId="8880"/>
    <cellStyle name="20% - Accent1 6 3 10 2" xfId="23355"/>
    <cellStyle name="20% - Accent1 6 3 11" xfId="17778"/>
    <cellStyle name="20% - Accent1 6 3 2" xfId="456"/>
    <cellStyle name="20% - Accent1 6 3 2 2" xfId="457"/>
    <cellStyle name="20% - Accent1 6 3 2 2 2" xfId="10606"/>
    <cellStyle name="20% - Accent1 6 3 2 2 2 2" xfId="24548"/>
    <cellStyle name="20% - Accent1 6 3 2 2 3" xfId="17780"/>
    <cellStyle name="20% - Accent1 6 3 2 3" xfId="458"/>
    <cellStyle name="20% - Accent1 6 3 2 3 2" xfId="12537"/>
    <cellStyle name="20% - Accent1 6 3 2 3 2 2" xfId="26249"/>
    <cellStyle name="20% - Accent1 6 3 2 3 3" xfId="17781"/>
    <cellStyle name="20% - Accent1 6 3 2 4" xfId="459"/>
    <cellStyle name="20% - Accent1 6 3 2 4 2" xfId="14629"/>
    <cellStyle name="20% - Accent1 6 3 2 4 2 2" xfId="28178"/>
    <cellStyle name="20% - Accent1 6 3 2 4 3" xfId="17782"/>
    <cellStyle name="20% - Accent1 6 3 2 5" xfId="460"/>
    <cellStyle name="20% - Accent1 6 3 2 5 2" xfId="16838"/>
    <cellStyle name="20% - Accent1 6 3 2 5 2 2" xfId="30245"/>
    <cellStyle name="20% - Accent1 6 3 2 5 3" xfId="17783"/>
    <cellStyle name="20% - Accent1 6 3 2 6" xfId="8881"/>
    <cellStyle name="20% - Accent1 6 3 2 6 2" xfId="23356"/>
    <cellStyle name="20% - Accent1 6 3 2 7" xfId="17779"/>
    <cellStyle name="20% - Accent1 6 3 3" xfId="461"/>
    <cellStyle name="20% - Accent1 6 3 3 2" xfId="462"/>
    <cellStyle name="20% - Accent1 6 3 3 2 2" xfId="14630"/>
    <cellStyle name="20% - Accent1 6 3 3 2 2 2" xfId="28179"/>
    <cellStyle name="20% - Accent1 6 3 3 2 3" xfId="17785"/>
    <cellStyle name="20% - Accent1 6 3 3 3" xfId="10605"/>
    <cellStyle name="20% - Accent1 6 3 3 3 2" xfId="24547"/>
    <cellStyle name="20% - Accent1 6 3 3 4" xfId="17784"/>
    <cellStyle name="20% - Accent1 6 3 4" xfId="463"/>
    <cellStyle name="20% - Accent1 6 3 4 2" xfId="12226"/>
    <cellStyle name="20% - Accent1 6 3 4 2 2" xfId="25938"/>
    <cellStyle name="20% - Accent1 6 3 4 3" xfId="17786"/>
    <cellStyle name="20% - Accent1 6 3 5" xfId="464"/>
    <cellStyle name="20% - Accent1 6 3 5 2" xfId="12510"/>
    <cellStyle name="20% - Accent1 6 3 5 2 2" xfId="26222"/>
    <cellStyle name="20% - Accent1 6 3 5 3" xfId="17787"/>
    <cellStyle name="20% - Accent1 6 3 6" xfId="465"/>
    <cellStyle name="20% - Accent1 6 3 6 2" xfId="13790"/>
    <cellStyle name="20% - Accent1 6 3 6 2 2" xfId="27339"/>
    <cellStyle name="20% - Accent1 6 3 6 3" xfId="17788"/>
    <cellStyle name="20% - Accent1 6 3 7" xfId="466"/>
    <cellStyle name="20% - Accent1 6 3 7 2" xfId="14371"/>
    <cellStyle name="20% - Accent1 6 3 7 2 2" xfId="27920"/>
    <cellStyle name="20% - Accent1 6 3 7 3" xfId="17789"/>
    <cellStyle name="20% - Accent1 6 3 8" xfId="467"/>
    <cellStyle name="20% - Accent1 6 3 8 2" xfId="14628"/>
    <cellStyle name="20% - Accent1 6 3 8 2 2" xfId="28177"/>
    <cellStyle name="20% - Accent1 6 3 8 3" xfId="17790"/>
    <cellStyle name="20% - Accent1 6 3 9" xfId="468"/>
    <cellStyle name="20% - Accent1 6 3 9 2" xfId="16257"/>
    <cellStyle name="20% - Accent1 6 3 9 2 2" xfId="29664"/>
    <cellStyle name="20% - Accent1 6 3 9 3" xfId="17791"/>
    <cellStyle name="20% - Accent1 6 4" xfId="469"/>
    <cellStyle name="20% - Accent1 6 4 2" xfId="470"/>
    <cellStyle name="20% - Accent1 6 4 2 2" xfId="10607"/>
    <cellStyle name="20% - Accent1 6 4 2 2 2" xfId="24549"/>
    <cellStyle name="20% - Accent1 6 4 2 3" xfId="17793"/>
    <cellStyle name="20% - Accent1 6 4 3" xfId="471"/>
    <cellStyle name="20% - Accent1 6 4 3 2" xfId="12481"/>
    <cellStyle name="20% - Accent1 6 4 3 2 2" xfId="26193"/>
    <cellStyle name="20% - Accent1 6 4 3 3" xfId="17794"/>
    <cellStyle name="20% - Accent1 6 4 4" xfId="472"/>
    <cellStyle name="20% - Accent1 6 4 4 2" xfId="14631"/>
    <cellStyle name="20% - Accent1 6 4 4 2 2" xfId="28180"/>
    <cellStyle name="20% - Accent1 6 4 4 3" xfId="17795"/>
    <cellStyle name="20% - Accent1 6 4 5" xfId="473"/>
    <cellStyle name="20% - Accent1 6 4 5 2" xfId="16549"/>
    <cellStyle name="20% - Accent1 6 4 5 2 2" xfId="29956"/>
    <cellStyle name="20% - Accent1 6 4 5 3" xfId="17796"/>
    <cellStyle name="20% - Accent1 6 4 6" xfId="8882"/>
    <cellStyle name="20% - Accent1 6 4 6 2" xfId="23357"/>
    <cellStyle name="20% - Accent1 6 4 7" xfId="17792"/>
    <cellStyle name="20% - Accent1 6 5" xfId="474"/>
    <cellStyle name="20% - Accent1 6 5 2" xfId="475"/>
    <cellStyle name="20% - Accent1 6 5 2 2" xfId="14632"/>
    <cellStyle name="20% - Accent1 6 5 2 2 2" xfId="28181"/>
    <cellStyle name="20% - Accent1 6 5 2 3" xfId="17798"/>
    <cellStyle name="20% - Accent1 6 5 3" xfId="10600"/>
    <cellStyle name="20% - Accent1 6 5 3 2" xfId="24542"/>
    <cellStyle name="20% - Accent1 6 5 4" xfId="17797"/>
    <cellStyle name="20% - Accent1 6 6" xfId="476"/>
    <cellStyle name="20% - Accent1 6 6 2" xfId="11924"/>
    <cellStyle name="20% - Accent1 6 6 2 2" xfId="25639"/>
    <cellStyle name="20% - Accent1 6 6 3" xfId="17799"/>
    <cellStyle name="20% - Accent1 6 7" xfId="477"/>
    <cellStyle name="20% - Accent1 6 7 2" xfId="12564"/>
    <cellStyle name="20% - Accent1 6 7 2 2" xfId="26276"/>
    <cellStyle name="20% - Accent1 6 7 3" xfId="17800"/>
    <cellStyle name="20% - Accent1 6 8" xfId="478"/>
    <cellStyle name="20% - Accent1 6 8 2" xfId="13501"/>
    <cellStyle name="20% - Accent1 6 8 2 2" xfId="27050"/>
    <cellStyle name="20% - Accent1 6 8 3" xfId="17801"/>
    <cellStyle name="20% - Accent1 6 9" xfId="479"/>
    <cellStyle name="20% - Accent1 6 9 2" xfId="14082"/>
    <cellStyle name="20% - Accent1 6 9 2 2" xfId="27631"/>
    <cellStyle name="20% - Accent1 6 9 3" xfId="17802"/>
    <cellStyle name="20% - Accent1 7" xfId="480"/>
    <cellStyle name="20% - Accent1 7 10" xfId="481"/>
    <cellStyle name="20% - Accent1 7 10 2" xfId="15988"/>
    <cellStyle name="20% - Accent1 7 10 2 2" xfId="29395"/>
    <cellStyle name="20% - Accent1 7 10 3" xfId="17804"/>
    <cellStyle name="20% - Accent1 7 11" xfId="8883"/>
    <cellStyle name="20% - Accent1 7 11 2" xfId="23358"/>
    <cellStyle name="20% - Accent1 7 12" xfId="17803"/>
    <cellStyle name="20% - Accent1 7 2" xfId="482"/>
    <cellStyle name="20% - Accent1 7 2 10" xfId="8884"/>
    <cellStyle name="20% - Accent1 7 2 10 2" xfId="23359"/>
    <cellStyle name="20% - Accent1 7 2 11" xfId="17805"/>
    <cellStyle name="20% - Accent1 7 2 2" xfId="483"/>
    <cellStyle name="20% - Accent1 7 2 2 2" xfId="484"/>
    <cellStyle name="20% - Accent1 7 2 2 2 2" xfId="10610"/>
    <cellStyle name="20% - Accent1 7 2 2 2 2 2" xfId="24552"/>
    <cellStyle name="20% - Accent1 7 2 2 2 3" xfId="17807"/>
    <cellStyle name="20% - Accent1 7 2 2 3" xfId="485"/>
    <cellStyle name="20% - Accent1 7 2 2 3 2" xfId="11782"/>
    <cellStyle name="20% - Accent1 7 2 2 3 2 2" xfId="25497"/>
    <cellStyle name="20% - Accent1 7 2 2 3 3" xfId="17808"/>
    <cellStyle name="20% - Accent1 7 2 2 4" xfId="486"/>
    <cellStyle name="20% - Accent1 7 2 2 4 2" xfId="14635"/>
    <cellStyle name="20% - Accent1 7 2 2 4 2 2" xfId="28184"/>
    <cellStyle name="20% - Accent1 7 2 2 4 3" xfId="17809"/>
    <cellStyle name="20% - Accent1 7 2 2 5" xfId="487"/>
    <cellStyle name="20% - Accent1 7 2 2 5 2" xfId="16858"/>
    <cellStyle name="20% - Accent1 7 2 2 5 2 2" xfId="30265"/>
    <cellStyle name="20% - Accent1 7 2 2 5 3" xfId="17810"/>
    <cellStyle name="20% - Accent1 7 2 2 6" xfId="8885"/>
    <cellStyle name="20% - Accent1 7 2 2 6 2" xfId="23360"/>
    <cellStyle name="20% - Accent1 7 2 2 7" xfId="17806"/>
    <cellStyle name="20% - Accent1 7 2 3" xfId="488"/>
    <cellStyle name="20% - Accent1 7 2 3 2" xfId="489"/>
    <cellStyle name="20% - Accent1 7 2 3 2 2" xfId="14636"/>
    <cellStyle name="20% - Accent1 7 2 3 2 2 2" xfId="28185"/>
    <cellStyle name="20% - Accent1 7 2 3 2 3" xfId="17812"/>
    <cellStyle name="20% - Accent1 7 2 3 3" xfId="10609"/>
    <cellStyle name="20% - Accent1 7 2 3 3 2" xfId="24551"/>
    <cellStyle name="20% - Accent1 7 2 3 4" xfId="17811"/>
    <cellStyle name="20% - Accent1 7 2 4" xfId="490"/>
    <cellStyle name="20% - Accent1 7 2 4 2" xfId="12246"/>
    <cellStyle name="20% - Accent1 7 2 4 2 2" xfId="25958"/>
    <cellStyle name="20% - Accent1 7 2 4 3" xfId="17813"/>
    <cellStyle name="20% - Accent1 7 2 5" xfId="491"/>
    <cellStyle name="20% - Accent1 7 2 5 2" xfId="12682"/>
    <cellStyle name="20% - Accent1 7 2 5 2 2" xfId="26394"/>
    <cellStyle name="20% - Accent1 7 2 5 3" xfId="17814"/>
    <cellStyle name="20% - Accent1 7 2 6" xfId="492"/>
    <cellStyle name="20% - Accent1 7 2 6 2" xfId="13810"/>
    <cellStyle name="20% - Accent1 7 2 6 2 2" xfId="27359"/>
    <cellStyle name="20% - Accent1 7 2 6 3" xfId="17815"/>
    <cellStyle name="20% - Accent1 7 2 7" xfId="493"/>
    <cellStyle name="20% - Accent1 7 2 7 2" xfId="14391"/>
    <cellStyle name="20% - Accent1 7 2 7 2 2" xfId="27940"/>
    <cellStyle name="20% - Accent1 7 2 7 3" xfId="17816"/>
    <cellStyle name="20% - Accent1 7 2 8" xfId="494"/>
    <cellStyle name="20% - Accent1 7 2 8 2" xfId="14634"/>
    <cellStyle name="20% - Accent1 7 2 8 2 2" xfId="28183"/>
    <cellStyle name="20% - Accent1 7 2 8 3" xfId="17817"/>
    <cellStyle name="20% - Accent1 7 2 9" xfId="495"/>
    <cellStyle name="20% - Accent1 7 2 9 2" xfId="16277"/>
    <cellStyle name="20% - Accent1 7 2 9 2 2" xfId="29684"/>
    <cellStyle name="20% - Accent1 7 2 9 3" xfId="17818"/>
    <cellStyle name="20% - Accent1 7 3" xfId="496"/>
    <cellStyle name="20% - Accent1 7 3 2" xfId="497"/>
    <cellStyle name="20% - Accent1 7 3 2 2" xfId="10611"/>
    <cellStyle name="20% - Accent1 7 3 2 2 2" xfId="24553"/>
    <cellStyle name="20% - Accent1 7 3 2 3" xfId="17820"/>
    <cellStyle name="20% - Accent1 7 3 3" xfId="498"/>
    <cellStyle name="20% - Accent1 7 3 3 2" xfId="12573"/>
    <cellStyle name="20% - Accent1 7 3 3 2 2" xfId="26285"/>
    <cellStyle name="20% - Accent1 7 3 3 3" xfId="17821"/>
    <cellStyle name="20% - Accent1 7 3 4" xfId="499"/>
    <cellStyle name="20% - Accent1 7 3 4 2" xfId="14637"/>
    <cellStyle name="20% - Accent1 7 3 4 2 2" xfId="28186"/>
    <cellStyle name="20% - Accent1 7 3 4 3" xfId="17822"/>
    <cellStyle name="20% - Accent1 7 3 5" xfId="500"/>
    <cellStyle name="20% - Accent1 7 3 5 2" xfId="16569"/>
    <cellStyle name="20% - Accent1 7 3 5 2 2" xfId="29976"/>
    <cellStyle name="20% - Accent1 7 3 5 3" xfId="17823"/>
    <cellStyle name="20% - Accent1 7 3 6" xfId="8886"/>
    <cellStyle name="20% - Accent1 7 3 6 2" xfId="23361"/>
    <cellStyle name="20% - Accent1 7 3 7" xfId="17819"/>
    <cellStyle name="20% - Accent1 7 4" xfId="501"/>
    <cellStyle name="20% - Accent1 7 4 2" xfId="502"/>
    <cellStyle name="20% - Accent1 7 4 2 2" xfId="14638"/>
    <cellStyle name="20% - Accent1 7 4 2 2 2" xfId="28187"/>
    <cellStyle name="20% - Accent1 7 4 2 3" xfId="17825"/>
    <cellStyle name="20% - Accent1 7 4 3" xfId="10608"/>
    <cellStyle name="20% - Accent1 7 4 3 2" xfId="24550"/>
    <cellStyle name="20% - Accent1 7 4 4" xfId="17824"/>
    <cellStyle name="20% - Accent1 7 5" xfId="503"/>
    <cellStyle name="20% - Accent1 7 5 2" xfId="11944"/>
    <cellStyle name="20% - Accent1 7 5 2 2" xfId="25659"/>
    <cellStyle name="20% - Accent1 7 5 3" xfId="17826"/>
    <cellStyle name="20% - Accent1 7 6" xfId="504"/>
    <cellStyle name="20% - Accent1 7 6 2" xfId="12592"/>
    <cellStyle name="20% - Accent1 7 6 2 2" xfId="26304"/>
    <cellStyle name="20% - Accent1 7 6 3" xfId="17827"/>
    <cellStyle name="20% - Accent1 7 7" xfId="505"/>
    <cellStyle name="20% - Accent1 7 7 2" xfId="13521"/>
    <cellStyle name="20% - Accent1 7 7 2 2" xfId="27070"/>
    <cellStyle name="20% - Accent1 7 7 3" xfId="17828"/>
    <cellStyle name="20% - Accent1 7 8" xfId="506"/>
    <cellStyle name="20% - Accent1 7 8 2" xfId="14102"/>
    <cellStyle name="20% - Accent1 7 8 2 2" xfId="27651"/>
    <cellStyle name="20% - Accent1 7 8 3" xfId="17829"/>
    <cellStyle name="20% - Accent1 7 9" xfId="507"/>
    <cellStyle name="20% - Accent1 7 9 2" xfId="14633"/>
    <cellStyle name="20% - Accent1 7 9 2 2" xfId="28182"/>
    <cellStyle name="20% - Accent1 7 9 3" xfId="17830"/>
    <cellStyle name="20% - Accent1 8" xfId="508"/>
    <cellStyle name="20% - Accent1 8 10" xfId="8887"/>
    <cellStyle name="20% - Accent1 8 10 2" xfId="23362"/>
    <cellStyle name="20% - Accent1 8 11" xfId="17831"/>
    <cellStyle name="20% - Accent1 8 2" xfId="509"/>
    <cellStyle name="20% - Accent1 8 2 2" xfId="510"/>
    <cellStyle name="20% - Accent1 8 2 2 2" xfId="10613"/>
    <cellStyle name="20% - Accent1 8 2 2 2 2" xfId="24555"/>
    <cellStyle name="20% - Accent1 8 2 2 3" xfId="17833"/>
    <cellStyle name="20% - Accent1 8 2 3" xfId="511"/>
    <cellStyle name="20% - Accent1 8 2 3 2" xfId="12714"/>
    <cellStyle name="20% - Accent1 8 2 3 2 2" xfId="26426"/>
    <cellStyle name="20% - Accent1 8 2 3 3" xfId="17834"/>
    <cellStyle name="20% - Accent1 8 2 4" xfId="512"/>
    <cellStyle name="20% - Accent1 8 2 4 2" xfId="14640"/>
    <cellStyle name="20% - Accent1 8 2 4 2 2" xfId="28189"/>
    <cellStyle name="20% - Accent1 8 2 4 3" xfId="17835"/>
    <cellStyle name="20% - Accent1 8 2 5" xfId="513"/>
    <cellStyle name="20% - Accent1 8 2 5 2" xfId="16712"/>
    <cellStyle name="20% - Accent1 8 2 5 2 2" xfId="30119"/>
    <cellStyle name="20% - Accent1 8 2 5 3" xfId="17836"/>
    <cellStyle name="20% - Accent1 8 2 6" xfId="8888"/>
    <cellStyle name="20% - Accent1 8 2 6 2" xfId="23363"/>
    <cellStyle name="20% - Accent1 8 2 7" xfId="17832"/>
    <cellStyle name="20% - Accent1 8 3" xfId="514"/>
    <cellStyle name="20% - Accent1 8 3 2" xfId="515"/>
    <cellStyle name="20% - Accent1 8 3 2 2" xfId="14641"/>
    <cellStyle name="20% - Accent1 8 3 2 2 2" xfId="28190"/>
    <cellStyle name="20% - Accent1 8 3 2 3" xfId="17838"/>
    <cellStyle name="20% - Accent1 8 3 3" xfId="10612"/>
    <cellStyle name="20% - Accent1 8 3 3 2" xfId="24554"/>
    <cellStyle name="20% - Accent1 8 3 4" xfId="17837"/>
    <cellStyle name="20% - Accent1 8 4" xfId="516"/>
    <cellStyle name="20% - Accent1 8 4 2" xfId="12090"/>
    <cellStyle name="20% - Accent1 8 4 2 2" xfId="25804"/>
    <cellStyle name="20% - Accent1 8 4 3" xfId="17839"/>
    <cellStyle name="20% - Accent1 8 5" xfId="517"/>
    <cellStyle name="20% - Accent1 8 5 2" xfId="12580"/>
    <cellStyle name="20% - Accent1 8 5 2 2" xfId="26292"/>
    <cellStyle name="20% - Accent1 8 5 3" xfId="17840"/>
    <cellStyle name="20% - Accent1 8 6" xfId="518"/>
    <cellStyle name="20% - Accent1 8 6 2" xfId="13664"/>
    <cellStyle name="20% - Accent1 8 6 2 2" xfId="27213"/>
    <cellStyle name="20% - Accent1 8 6 3" xfId="17841"/>
    <cellStyle name="20% - Accent1 8 7" xfId="519"/>
    <cellStyle name="20% - Accent1 8 7 2" xfId="14245"/>
    <cellStyle name="20% - Accent1 8 7 2 2" xfId="27794"/>
    <cellStyle name="20% - Accent1 8 7 3" xfId="17842"/>
    <cellStyle name="20% - Accent1 8 8" xfId="520"/>
    <cellStyle name="20% - Accent1 8 8 2" xfId="14639"/>
    <cellStyle name="20% - Accent1 8 8 2 2" xfId="28188"/>
    <cellStyle name="20% - Accent1 8 8 3" xfId="17843"/>
    <cellStyle name="20% - Accent1 8 9" xfId="521"/>
    <cellStyle name="20% - Accent1 8 9 2" xfId="16131"/>
    <cellStyle name="20% - Accent1 8 9 2 2" xfId="29538"/>
    <cellStyle name="20% - Accent1 8 9 3" xfId="17844"/>
    <cellStyle name="20% - Accent1 9" xfId="522"/>
    <cellStyle name="20% - Accent1 9 2" xfId="523"/>
    <cellStyle name="20% - Accent1 9 2 2" xfId="10614"/>
    <cellStyle name="20% - Accent1 9 2 2 2" xfId="24556"/>
    <cellStyle name="20% - Accent1 9 2 3" xfId="17846"/>
    <cellStyle name="20% - Accent1 9 3" xfId="524"/>
    <cellStyle name="20% - Accent1 9 3 2" xfId="12583"/>
    <cellStyle name="20% - Accent1 9 3 2 2" xfId="26295"/>
    <cellStyle name="20% - Accent1 9 3 3" xfId="17847"/>
    <cellStyle name="20% - Accent1 9 4" xfId="525"/>
    <cellStyle name="20% - Accent1 9 4 2" xfId="14642"/>
    <cellStyle name="20% - Accent1 9 4 2 2" xfId="28191"/>
    <cellStyle name="20% - Accent1 9 4 3" xfId="17848"/>
    <cellStyle name="20% - Accent1 9 5" xfId="526"/>
    <cellStyle name="20% - Accent1 9 5 2" xfId="17096"/>
    <cellStyle name="20% - Accent1 9 5 2 2" xfId="30455"/>
    <cellStyle name="20% - Accent1 9 5 3" xfId="17849"/>
    <cellStyle name="20% - Accent1 9 6" xfId="8889"/>
    <cellStyle name="20% - Accent1 9 6 2" xfId="23364"/>
    <cellStyle name="20% - Accent1 9 7" xfId="17845"/>
    <cellStyle name="20% - Accent2" xfId="32" builtinId="34" customBuiltin="1"/>
    <cellStyle name="20% - Accent2 10" xfId="527"/>
    <cellStyle name="20% - Accent2 10 2" xfId="528"/>
    <cellStyle name="20% - Accent2 10 2 2" xfId="529"/>
    <cellStyle name="20% - Accent2 10 2 2 2" xfId="12582"/>
    <cellStyle name="20% - Accent2 10 2 2 2 2" xfId="26294"/>
    <cellStyle name="20% - Accent2 10 2 2 3" xfId="17852"/>
    <cellStyle name="20% - Accent2 10 2 3" xfId="530"/>
    <cellStyle name="20% - Accent2 10 2 3 2" xfId="14645"/>
    <cellStyle name="20% - Accent2 10 2 3 2 2" xfId="28194"/>
    <cellStyle name="20% - Accent2 10 2 3 3" xfId="17853"/>
    <cellStyle name="20% - Accent2 10 2 4" xfId="10616"/>
    <cellStyle name="20% - Accent2 10 2 4 2" xfId="24558"/>
    <cellStyle name="20% - Accent2 10 2 5" xfId="17851"/>
    <cellStyle name="20% - Accent2 10 3" xfId="531"/>
    <cellStyle name="20% - Accent2 10 3 2" xfId="12404"/>
    <cellStyle name="20% - Accent2 10 3 2 2" xfId="26116"/>
    <cellStyle name="20% - Accent2 10 3 3" xfId="17854"/>
    <cellStyle name="20% - Accent2 10 4" xfId="532"/>
    <cellStyle name="20% - Accent2 10 4 2" xfId="14644"/>
    <cellStyle name="20% - Accent2 10 4 2 2" xfId="28193"/>
    <cellStyle name="20% - Accent2 10 4 3" xfId="17855"/>
    <cellStyle name="20% - Accent2 10 5" xfId="533"/>
    <cellStyle name="20% - Accent2 10 5 2" xfId="17186"/>
    <cellStyle name="20% - Accent2 10 5 2 2" xfId="30545"/>
    <cellStyle name="20% - Accent2 10 5 3" xfId="17856"/>
    <cellStyle name="20% - Accent2 10 6" xfId="8891"/>
    <cellStyle name="20% - Accent2 10 6 2" xfId="23366"/>
    <cellStyle name="20% - Accent2 10 7" xfId="17850"/>
    <cellStyle name="20% - Accent2 11" xfId="534"/>
    <cellStyle name="20% - Accent2 11 2" xfId="535"/>
    <cellStyle name="20% - Accent2 11 2 2" xfId="10617"/>
    <cellStyle name="20% - Accent2 11 2 2 2" xfId="24559"/>
    <cellStyle name="20% - Accent2 11 2 3" xfId="17858"/>
    <cellStyle name="20% - Accent2 11 3" xfId="536"/>
    <cellStyle name="20% - Accent2 11 3 2" xfId="12538"/>
    <cellStyle name="20% - Accent2 11 3 2 2" xfId="26250"/>
    <cellStyle name="20% - Accent2 11 3 3" xfId="17859"/>
    <cellStyle name="20% - Accent2 11 4" xfId="537"/>
    <cellStyle name="20% - Accent2 11 4 2" xfId="14646"/>
    <cellStyle name="20% - Accent2 11 4 2 2" xfId="28195"/>
    <cellStyle name="20% - Accent2 11 4 3" xfId="17860"/>
    <cellStyle name="20% - Accent2 11 5" xfId="538"/>
    <cellStyle name="20% - Accent2 11 5 2" xfId="17275"/>
    <cellStyle name="20% - Accent2 11 5 2 2" xfId="30634"/>
    <cellStyle name="20% - Accent2 11 5 3" xfId="17861"/>
    <cellStyle name="20% - Accent2 11 6" xfId="8892"/>
    <cellStyle name="20% - Accent2 11 6 2" xfId="23367"/>
    <cellStyle name="20% - Accent2 11 7" xfId="17857"/>
    <cellStyle name="20% - Accent2 12" xfId="539"/>
    <cellStyle name="20% - Accent2 12 2" xfId="540"/>
    <cellStyle name="20% - Accent2 12 2 2" xfId="541"/>
    <cellStyle name="20% - Accent2 12 2 2 2" xfId="10619"/>
    <cellStyle name="20% - Accent2 12 2 2 2 2" xfId="24561"/>
    <cellStyle name="20% - Accent2 12 2 2 3" xfId="17864"/>
    <cellStyle name="20% - Accent2 12 2 3" xfId="542"/>
    <cellStyle name="20% - Accent2 12 2 3 2" xfId="12456"/>
    <cellStyle name="20% - Accent2 12 2 3 2 2" xfId="26168"/>
    <cellStyle name="20% - Accent2 12 2 3 3" xfId="17865"/>
    <cellStyle name="20% - Accent2 12 2 4" xfId="543"/>
    <cellStyle name="20% - Accent2 12 2 4 2" xfId="14648"/>
    <cellStyle name="20% - Accent2 12 2 4 2 2" xfId="28197"/>
    <cellStyle name="20% - Accent2 12 2 4 3" xfId="17866"/>
    <cellStyle name="20% - Accent2 12 2 5" xfId="8894"/>
    <cellStyle name="20% - Accent2 12 2 5 2" xfId="23369"/>
    <cellStyle name="20% - Accent2 12 2 6" xfId="17863"/>
    <cellStyle name="20% - Accent2 12 3" xfId="544"/>
    <cellStyle name="20% - Accent2 12 3 2" xfId="10618"/>
    <cellStyle name="20% - Accent2 12 3 2 2" xfId="24560"/>
    <cellStyle name="20% - Accent2 12 3 3" xfId="17867"/>
    <cellStyle name="20% - Accent2 12 4" xfId="545"/>
    <cellStyle name="20% - Accent2 12 4 2" xfId="12558"/>
    <cellStyle name="20% - Accent2 12 4 2 2" xfId="26270"/>
    <cellStyle name="20% - Accent2 12 4 3" xfId="17868"/>
    <cellStyle name="20% - Accent2 12 5" xfId="546"/>
    <cellStyle name="20% - Accent2 12 5 2" xfId="14647"/>
    <cellStyle name="20% - Accent2 12 5 2 2" xfId="28196"/>
    <cellStyle name="20% - Accent2 12 5 3" xfId="17869"/>
    <cellStyle name="20% - Accent2 12 6" xfId="547"/>
    <cellStyle name="20% - Accent2 12 6 2" xfId="16427"/>
    <cellStyle name="20% - Accent2 12 6 2 2" xfId="29834"/>
    <cellStyle name="20% - Accent2 12 6 3" xfId="17870"/>
    <cellStyle name="20% - Accent2 12 7" xfId="8893"/>
    <cellStyle name="20% - Accent2 12 7 2" xfId="23368"/>
    <cellStyle name="20% - Accent2 12 8" xfId="17862"/>
    <cellStyle name="20% - Accent2 13" xfId="548"/>
    <cellStyle name="20% - Accent2 13 2" xfId="549"/>
    <cellStyle name="20% - Accent2 13 2 2" xfId="10620"/>
    <cellStyle name="20% - Accent2 13 2 2 2" xfId="24562"/>
    <cellStyle name="20% - Accent2 13 2 3" xfId="17872"/>
    <cellStyle name="20% - Accent2 13 3" xfId="550"/>
    <cellStyle name="20% - Accent2 13 3 2" xfId="12560"/>
    <cellStyle name="20% - Accent2 13 3 2 2" xfId="26272"/>
    <cellStyle name="20% - Accent2 13 3 3" xfId="17873"/>
    <cellStyle name="20% - Accent2 13 4" xfId="551"/>
    <cellStyle name="20% - Accent2 13 4 2" xfId="14649"/>
    <cellStyle name="20% - Accent2 13 4 2 2" xfId="28198"/>
    <cellStyle name="20% - Accent2 13 4 3" xfId="17874"/>
    <cellStyle name="20% - Accent2 13 5" xfId="8895"/>
    <cellStyle name="20% - Accent2 13 5 2" xfId="23370"/>
    <cellStyle name="20% - Accent2 13 6" xfId="17871"/>
    <cellStyle name="20% - Accent2 14" xfId="552"/>
    <cellStyle name="20% - Accent2 14 2" xfId="553"/>
    <cellStyle name="20% - Accent2 14 2 2" xfId="10621"/>
    <cellStyle name="20% - Accent2 14 2 2 2" xfId="24563"/>
    <cellStyle name="20% - Accent2 14 2 3" xfId="17876"/>
    <cellStyle name="20% - Accent2 14 3" xfId="554"/>
    <cellStyle name="20% - Accent2 14 3 2" xfId="12776"/>
    <cellStyle name="20% - Accent2 14 3 2 2" xfId="26488"/>
    <cellStyle name="20% - Accent2 14 3 3" xfId="17877"/>
    <cellStyle name="20% - Accent2 14 4" xfId="555"/>
    <cellStyle name="20% - Accent2 14 4 2" xfId="14650"/>
    <cellStyle name="20% - Accent2 14 4 2 2" xfId="28199"/>
    <cellStyle name="20% - Accent2 14 4 3" xfId="17878"/>
    <cellStyle name="20% - Accent2 14 5" xfId="8896"/>
    <cellStyle name="20% - Accent2 14 5 2" xfId="23371"/>
    <cellStyle name="20% - Accent2 14 6" xfId="17875"/>
    <cellStyle name="20% - Accent2 15" xfId="556"/>
    <cellStyle name="20% - Accent2 15 2" xfId="557"/>
    <cellStyle name="20% - Accent2 15 2 2" xfId="10622"/>
    <cellStyle name="20% - Accent2 15 2 2 2" xfId="24564"/>
    <cellStyle name="20% - Accent2 15 2 3" xfId="17880"/>
    <cellStyle name="20% - Accent2 15 3" xfId="558"/>
    <cellStyle name="20% - Accent2 15 3 2" xfId="12665"/>
    <cellStyle name="20% - Accent2 15 3 2 2" xfId="26377"/>
    <cellStyle name="20% - Accent2 15 3 3" xfId="17881"/>
    <cellStyle name="20% - Accent2 15 4" xfId="559"/>
    <cellStyle name="20% - Accent2 15 4 2" xfId="14651"/>
    <cellStyle name="20% - Accent2 15 4 2 2" xfId="28200"/>
    <cellStyle name="20% - Accent2 15 4 3" xfId="17882"/>
    <cellStyle name="20% - Accent2 15 5" xfId="8897"/>
    <cellStyle name="20% - Accent2 15 5 2" xfId="23372"/>
    <cellStyle name="20% - Accent2 15 6" xfId="17879"/>
    <cellStyle name="20% - Accent2 16" xfId="560"/>
    <cellStyle name="20% - Accent2 16 2" xfId="561"/>
    <cellStyle name="20% - Accent2 16 2 2" xfId="10623"/>
    <cellStyle name="20% - Accent2 16 2 2 2" xfId="24565"/>
    <cellStyle name="20% - Accent2 16 2 3" xfId="17884"/>
    <cellStyle name="20% - Accent2 16 3" xfId="562"/>
    <cellStyle name="20% - Accent2 16 3 2" xfId="12417"/>
    <cellStyle name="20% - Accent2 16 3 2 2" xfId="26129"/>
    <cellStyle name="20% - Accent2 16 3 3" xfId="17885"/>
    <cellStyle name="20% - Accent2 16 4" xfId="563"/>
    <cellStyle name="20% - Accent2 16 4 2" xfId="14652"/>
    <cellStyle name="20% - Accent2 16 4 2 2" xfId="28201"/>
    <cellStyle name="20% - Accent2 16 4 3" xfId="17886"/>
    <cellStyle name="20% - Accent2 16 5" xfId="8898"/>
    <cellStyle name="20% - Accent2 16 5 2" xfId="23373"/>
    <cellStyle name="20% - Accent2 16 6" xfId="17883"/>
    <cellStyle name="20% - Accent2 17" xfId="564"/>
    <cellStyle name="20% - Accent2 17 2" xfId="565"/>
    <cellStyle name="20% - Accent2 17 2 2" xfId="10624"/>
    <cellStyle name="20% - Accent2 17 2 2 2" xfId="24566"/>
    <cellStyle name="20% - Accent2 17 2 3" xfId="17888"/>
    <cellStyle name="20% - Accent2 17 3" xfId="566"/>
    <cellStyle name="20% - Accent2 17 3 2" xfId="12525"/>
    <cellStyle name="20% - Accent2 17 3 2 2" xfId="26237"/>
    <cellStyle name="20% - Accent2 17 3 3" xfId="17889"/>
    <cellStyle name="20% - Accent2 17 4" xfId="567"/>
    <cellStyle name="20% - Accent2 17 4 2" xfId="14653"/>
    <cellStyle name="20% - Accent2 17 4 2 2" xfId="28202"/>
    <cellStyle name="20% - Accent2 17 4 3" xfId="17890"/>
    <cellStyle name="20% - Accent2 17 5" xfId="8899"/>
    <cellStyle name="20% - Accent2 17 5 2" xfId="23374"/>
    <cellStyle name="20% - Accent2 17 6" xfId="17887"/>
    <cellStyle name="20% - Accent2 18" xfId="568"/>
    <cellStyle name="20% - Accent2 18 2" xfId="569"/>
    <cellStyle name="20% - Accent2 18 2 2" xfId="10625"/>
    <cellStyle name="20% - Accent2 18 2 2 2" xfId="24567"/>
    <cellStyle name="20% - Accent2 18 2 3" xfId="17892"/>
    <cellStyle name="20% - Accent2 18 3" xfId="570"/>
    <cellStyle name="20% - Accent2 18 3 2" xfId="12740"/>
    <cellStyle name="20% - Accent2 18 3 2 2" xfId="26452"/>
    <cellStyle name="20% - Accent2 18 3 3" xfId="17893"/>
    <cellStyle name="20% - Accent2 18 4" xfId="571"/>
    <cellStyle name="20% - Accent2 18 4 2" xfId="14654"/>
    <cellStyle name="20% - Accent2 18 4 2 2" xfId="28203"/>
    <cellStyle name="20% - Accent2 18 4 3" xfId="17894"/>
    <cellStyle name="20% - Accent2 18 5" xfId="8900"/>
    <cellStyle name="20% - Accent2 18 5 2" xfId="23375"/>
    <cellStyle name="20% - Accent2 18 6" xfId="17891"/>
    <cellStyle name="20% - Accent2 19" xfId="572"/>
    <cellStyle name="20% - Accent2 19 2" xfId="573"/>
    <cellStyle name="20% - Accent2 19 2 2" xfId="11711"/>
    <cellStyle name="20% - Accent2 19 2 2 2" xfId="25431"/>
    <cellStyle name="20% - Accent2 19 2 3" xfId="17896"/>
    <cellStyle name="20% - Accent2 19 3" xfId="574"/>
    <cellStyle name="20% - Accent2 19 3 2" xfId="12630"/>
    <cellStyle name="20% - Accent2 19 3 2 2" xfId="26342"/>
    <cellStyle name="20% - Accent2 19 3 3" xfId="17897"/>
    <cellStyle name="20% - Accent2 19 4" xfId="575"/>
    <cellStyle name="20% - Accent2 19 4 2" xfId="14655"/>
    <cellStyle name="20% - Accent2 19 4 2 2" xfId="28204"/>
    <cellStyle name="20% - Accent2 19 4 3" xfId="17898"/>
    <cellStyle name="20% - Accent2 19 5" xfId="10463"/>
    <cellStyle name="20% - Accent2 19 5 2" xfId="24422"/>
    <cellStyle name="20% - Accent2 19 6" xfId="17895"/>
    <cellStyle name="20% - Accent2 2" xfId="576"/>
    <cellStyle name="20% - Accent2 2 10" xfId="577"/>
    <cellStyle name="20% - Accent2 2 10 2" xfId="578"/>
    <cellStyle name="20% - Accent2 2 10 2 2" xfId="14657"/>
    <cellStyle name="20% - Accent2 2 10 2 2 2" xfId="28206"/>
    <cellStyle name="20% - Accent2 2 10 2 3" xfId="17901"/>
    <cellStyle name="20% - Accent2 2 10 3" xfId="11838"/>
    <cellStyle name="20% - Accent2 2 10 3 2" xfId="25553"/>
    <cellStyle name="20% - Accent2 2 10 4" xfId="17900"/>
    <cellStyle name="20% - Accent2 2 11" xfId="579"/>
    <cellStyle name="20% - Accent2 2 11 2" xfId="11764"/>
    <cellStyle name="20% - Accent2 2 11 2 2" xfId="25479"/>
    <cellStyle name="20% - Accent2 2 11 3" xfId="17902"/>
    <cellStyle name="20% - Accent2 2 12" xfId="580"/>
    <cellStyle name="20% - Accent2 2 12 2" xfId="13437"/>
    <cellStyle name="20% - Accent2 2 12 2 2" xfId="26986"/>
    <cellStyle name="20% - Accent2 2 12 3" xfId="17903"/>
    <cellStyle name="20% - Accent2 2 13" xfId="581"/>
    <cellStyle name="20% - Accent2 2 13 2" xfId="14018"/>
    <cellStyle name="20% - Accent2 2 13 2 2" xfId="27567"/>
    <cellStyle name="20% - Accent2 2 13 3" xfId="17904"/>
    <cellStyle name="20% - Accent2 2 14" xfId="582"/>
    <cellStyle name="20% - Accent2 2 14 2" xfId="14656"/>
    <cellStyle name="20% - Accent2 2 14 2 2" xfId="28205"/>
    <cellStyle name="20% - Accent2 2 14 3" xfId="17905"/>
    <cellStyle name="20% - Accent2 2 15" xfId="583"/>
    <cellStyle name="20% - Accent2 2 15 2" xfId="15904"/>
    <cellStyle name="20% - Accent2 2 15 2 2" xfId="29311"/>
    <cellStyle name="20% - Accent2 2 15 3" xfId="17906"/>
    <cellStyle name="20% - Accent2 2 16" xfId="8901"/>
    <cellStyle name="20% - Accent2 2 16 2" xfId="23376"/>
    <cellStyle name="20% - Accent2 2 17" xfId="17899"/>
    <cellStyle name="20% - Accent2 2 18" xfId="33066"/>
    <cellStyle name="20% - Accent2 2 2" xfId="584"/>
    <cellStyle name="20% - Accent2 2 2 10" xfId="585"/>
    <cellStyle name="20% - Accent2 2 2 10 2" xfId="14658"/>
    <cellStyle name="20% - Accent2 2 2 10 2 2" xfId="28207"/>
    <cellStyle name="20% - Accent2 2 2 10 3" xfId="17908"/>
    <cellStyle name="20% - Accent2 2 2 11" xfId="586"/>
    <cellStyle name="20% - Accent2 2 2 11 2" xfId="15950"/>
    <cellStyle name="20% - Accent2 2 2 11 2 2" xfId="29357"/>
    <cellStyle name="20% - Accent2 2 2 11 3" xfId="17909"/>
    <cellStyle name="20% - Accent2 2 2 12" xfId="8902"/>
    <cellStyle name="20% - Accent2 2 2 12 2" xfId="23377"/>
    <cellStyle name="20% - Accent2 2 2 13" xfId="17907"/>
    <cellStyle name="20% - Accent2 2 2 2" xfId="587"/>
    <cellStyle name="20% - Accent2 2 2 2 10" xfId="588"/>
    <cellStyle name="20% - Accent2 2 2 2 10 2" xfId="16093"/>
    <cellStyle name="20% - Accent2 2 2 2 10 2 2" xfId="29500"/>
    <cellStyle name="20% - Accent2 2 2 2 10 3" xfId="17911"/>
    <cellStyle name="20% - Accent2 2 2 2 11" xfId="8903"/>
    <cellStyle name="20% - Accent2 2 2 2 11 2" xfId="23378"/>
    <cellStyle name="20% - Accent2 2 2 2 12" xfId="17910"/>
    <cellStyle name="20% - Accent2 2 2 2 2" xfId="589"/>
    <cellStyle name="20% - Accent2 2 2 2 2 10" xfId="8904"/>
    <cellStyle name="20% - Accent2 2 2 2 2 10 2" xfId="23379"/>
    <cellStyle name="20% - Accent2 2 2 2 2 11" xfId="17912"/>
    <cellStyle name="20% - Accent2 2 2 2 2 2" xfId="590"/>
    <cellStyle name="20% - Accent2 2 2 2 2 2 2" xfId="591"/>
    <cellStyle name="20% - Accent2 2 2 2 2 2 2 2" xfId="10630"/>
    <cellStyle name="20% - Accent2 2 2 2 2 2 2 2 2" xfId="24572"/>
    <cellStyle name="20% - Accent2 2 2 2 2 2 2 3" xfId="17914"/>
    <cellStyle name="20% - Accent2 2 2 2 2 2 3" xfId="592"/>
    <cellStyle name="20% - Accent2 2 2 2 2 2 3 2" xfId="12662"/>
    <cellStyle name="20% - Accent2 2 2 2 2 2 3 2 2" xfId="26374"/>
    <cellStyle name="20% - Accent2 2 2 2 2 2 3 3" xfId="17915"/>
    <cellStyle name="20% - Accent2 2 2 2 2 2 4" xfId="593"/>
    <cellStyle name="20% - Accent2 2 2 2 2 2 4 2" xfId="14661"/>
    <cellStyle name="20% - Accent2 2 2 2 2 2 4 2 2" xfId="28210"/>
    <cellStyle name="20% - Accent2 2 2 2 2 2 4 3" xfId="17916"/>
    <cellStyle name="20% - Accent2 2 2 2 2 2 5" xfId="594"/>
    <cellStyle name="20% - Accent2 2 2 2 2 2 5 2" xfId="16963"/>
    <cellStyle name="20% - Accent2 2 2 2 2 2 5 2 2" xfId="30370"/>
    <cellStyle name="20% - Accent2 2 2 2 2 2 5 3" xfId="17917"/>
    <cellStyle name="20% - Accent2 2 2 2 2 2 6" xfId="8905"/>
    <cellStyle name="20% - Accent2 2 2 2 2 2 6 2" xfId="23380"/>
    <cellStyle name="20% - Accent2 2 2 2 2 2 7" xfId="17913"/>
    <cellStyle name="20% - Accent2 2 2 2 2 3" xfId="595"/>
    <cellStyle name="20% - Accent2 2 2 2 2 3 2" xfId="596"/>
    <cellStyle name="20% - Accent2 2 2 2 2 3 2 2" xfId="14662"/>
    <cellStyle name="20% - Accent2 2 2 2 2 3 2 2 2" xfId="28211"/>
    <cellStyle name="20% - Accent2 2 2 2 2 3 2 3" xfId="17919"/>
    <cellStyle name="20% - Accent2 2 2 2 2 3 3" xfId="10629"/>
    <cellStyle name="20% - Accent2 2 2 2 2 3 3 2" xfId="24571"/>
    <cellStyle name="20% - Accent2 2 2 2 2 3 4" xfId="17918"/>
    <cellStyle name="20% - Accent2 2 2 2 2 4" xfId="597"/>
    <cellStyle name="20% - Accent2 2 2 2 2 4 2" xfId="12351"/>
    <cellStyle name="20% - Accent2 2 2 2 2 4 2 2" xfId="26063"/>
    <cellStyle name="20% - Accent2 2 2 2 2 4 3" xfId="17920"/>
    <cellStyle name="20% - Accent2 2 2 2 2 5" xfId="598"/>
    <cellStyle name="20% - Accent2 2 2 2 2 5 2" xfId="12790"/>
    <cellStyle name="20% - Accent2 2 2 2 2 5 2 2" xfId="26502"/>
    <cellStyle name="20% - Accent2 2 2 2 2 5 3" xfId="17921"/>
    <cellStyle name="20% - Accent2 2 2 2 2 6" xfId="599"/>
    <cellStyle name="20% - Accent2 2 2 2 2 6 2" xfId="13915"/>
    <cellStyle name="20% - Accent2 2 2 2 2 6 2 2" xfId="27464"/>
    <cellStyle name="20% - Accent2 2 2 2 2 6 3" xfId="17922"/>
    <cellStyle name="20% - Accent2 2 2 2 2 7" xfId="600"/>
    <cellStyle name="20% - Accent2 2 2 2 2 7 2" xfId="14496"/>
    <cellStyle name="20% - Accent2 2 2 2 2 7 2 2" xfId="28045"/>
    <cellStyle name="20% - Accent2 2 2 2 2 7 3" xfId="17923"/>
    <cellStyle name="20% - Accent2 2 2 2 2 8" xfId="601"/>
    <cellStyle name="20% - Accent2 2 2 2 2 8 2" xfId="14660"/>
    <cellStyle name="20% - Accent2 2 2 2 2 8 2 2" xfId="28209"/>
    <cellStyle name="20% - Accent2 2 2 2 2 8 3" xfId="17924"/>
    <cellStyle name="20% - Accent2 2 2 2 2 9" xfId="602"/>
    <cellStyle name="20% - Accent2 2 2 2 2 9 2" xfId="16382"/>
    <cellStyle name="20% - Accent2 2 2 2 2 9 2 2" xfId="29789"/>
    <cellStyle name="20% - Accent2 2 2 2 2 9 3" xfId="17925"/>
    <cellStyle name="20% - Accent2 2 2 2 3" xfId="603"/>
    <cellStyle name="20% - Accent2 2 2 2 3 2" xfId="604"/>
    <cellStyle name="20% - Accent2 2 2 2 3 2 2" xfId="10631"/>
    <cellStyle name="20% - Accent2 2 2 2 3 2 2 2" xfId="24573"/>
    <cellStyle name="20% - Accent2 2 2 2 3 2 3" xfId="17927"/>
    <cellStyle name="20% - Accent2 2 2 2 3 3" xfId="605"/>
    <cellStyle name="20% - Accent2 2 2 2 3 3 2" xfId="12557"/>
    <cellStyle name="20% - Accent2 2 2 2 3 3 2 2" xfId="26269"/>
    <cellStyle name="20% - Accent2 2 2 2 3 3 3" xfId="17928"/>
    <cellStyle name="20% - Accent2 2 2 2 3 4" xfId="606"/>
    <cellStyle name="20% - Accent2 2 2 2 3 4 2" xfId="14663"/>
    <cellStyle name="20% - Accent2 2 2 2 3 4 2 2" xfId="28212"/>
    <cellStyle name="20% - Accent2 2 2 2 3 4 3" xfId="17929"/>
    <cellStyle name="20% - Accent2 2 2 2 3 5" xfId="607"/>
    <cellStyle name="20% - Accent2 2 2 2 3 5 2" xfId="16674"/>
    <cellStyle name="20% - Accent2 2 2 2 3 5 2 2" xfId="30081"/>
    <cellStyle name="20% - Accent2 2 2 2 3 5 3" xfId="17930"/>
    <cellStyle name="20% - Accent2 2 2 2 3 6" xfId="8906"/>
    <cellStyle name="20% - Accent2 2 2 2 3 6 2" xfId="23381"/>
    <cellStyle name="20% - Accent2 2 2 2 3 7" xfId="17926"/>
    <cellStyle name="20% - Accent2 2 2 2 4" xfId="608"/>
    <cellStyle name="20% - Accent2 2 2 2 4 2" xfId="609"/>
    <cellStyle name="20% - Accent2 2 2 2 4 2 2" xfId="14664"/>
    <cellStyle name="20% - Accent2 2 2 2 4 2 2 2" xfId="28213"/>
    <cellStyle name="20% - Accent2 2 2 2 4 2 3" xfId="17932"/>
    <cellStyle name="20% - Accent2 2 2 2 4 3" xfId="10628"/>
    <cellStyle name="20% - Accent2 2 2 2 4 3 2" xfId="24570"/>
    <cellStyle name="20% - Accent2 2 2 2 4 4" xfId="17931"/>
    <cellStyle name="20% - Accent2 2 2 2 5" xfId="610"/>
    <cellStyle name="20% - Accent2 2 2 2 5 2" xfId="12051"/>
    <cellStyle name="20% - Accent2 2 2 2 5 2 2" xfId="25766"/>
    <cellStyle name="20% - Accent2 2 2 2 5 3" xfId="17933"/>
    <cellStyle name="20% - Accent2 2 2 2 6" xfId="611"/>
    <cellStyle name="20% - Accent2 2 2 2 6 2" xfId="12760"/>
    <cellStyle name="20% - Accent2 2 2 2 6 2 2" xfId="26472"/>
    <cellStyle name="20% - Accent2 2 2 2 6 3" xfId="17934"/>
    <cellStyle name="20% - Accent2 2 2 2 7" xfId="612"/>
    <cellStyle name="20% - Accent2 2 2 2 7 2" xfId="13626"/>
    <cellStyle name="20% - Accent2 2 2 2 7 2 2" xfId="27175"/>
    <cellStyle name="20% - Accent2 2 2 2 7 3" xfId="17935"/>
    <cellStyle name="20% - Accent2 2 2 2 8" xfId="613"/>
    <cellStyle name="20% - Accent2 2 2 2 8 2" xfId="14207"/>
    <cellStyle name="20% - Accent2 2 2 2 8 2 2" xfId="27756"/>
    <cellStyle name="20% - Accent2 2 2 2 8 3" xfId="17936"/>
    <cellStyle name="20% - Accent2 2 2 2 9" xfId="614"/>
    <cellStyle name="20% - Accent2 2 2 2 9 2" xfId="14659"/>
    <cellStyle name="20% - Accent2 2 2 2 9 2 2" xfId="28208"/>
    <cellStyle name="20% - Accent2 2 2 2 9 3" xfId="17937"/>
    <cellStyle name="20% - Accent2 2 2 3" xfId="615"/>
    <cellStyle name="20% - Accent2 2 2 3 10" xfId="8907"/>
    <cellStyle name="20% - Accent2 2 2 3 10 2" xfId="23382"/>
    <cellStyle name="20% - Accent2 2 2 3 11" xfId="17938"/>
    <cellStyle name="20% - Accent2 2 2 3 2" xfId="616"/>
    <cellStyle name="20% - Accent2 2 2 3 2 2" xfId="617"/>
    <cellStyle name="20% - Accent2 2 2 3 2 2 2" xfId="10633"/>
    <cellStyle name="20% - Accent2 2 2 3 2 2 2 2" xfId="24575"/>
    <cellStyle name="20% - Accent2 2 2 3 2 2 3" xfId="17940"/>
    <cellStyle name="20% - Accent2 2 2 3 2 3" xfId="618"/>
    <cellStyle name="20% - Accent2 2 2 3 2 3 2" xfId="12749"/>
    <cellStyle name="20% - Accent2 2 2 3 2 3 2 2" xfId="26461"/>
    <cellStyle name="20% - Accent2 2 2 3 2 3 3" xfId="17941"/>
    <cellStyle name="20% - Accent2 2 2 3 2 4" xfId="619"/>
    <cellStyle name="20% - Accent2 2 2 3 2 4 2" xfId="14666"/>
    <cellStyle name="20% - Accent2 2 2 3 2 4 2 2" xfId="28215"/>
    <cellStyle name="20% - Accent2 2 2 3 2 4 3" xfId="17942"/>
    <cellStyle name="20% - Accent2 2 2 3 2 5" xfId="620"/>
    <cellStyle name="20% - Accent2 2 2 3 2 5 2" xfId="16820"/>
    <cellStyle name="20% - Accent2 2 2 3 2 5 2 2" xfId="30227"/>
    <cellStyle name="20% - Accent2 2 2 3 2 5 3" xfId="17943"/>
    <cellStyle name="20% - Accent2 2 2 3 2 6" xfId="8908"/>
    <cellStyle name="20% - Accent2 2 2 3 2 6 2" xfId="23383"/>
    <cellStyle name="20% - Accent2 2 2 3 2 7" xfId="17939"/>
    <cellStyle name="20% - Accent2 2 2 3 3" xfId="621"/>
    <cellStyle name="20% - Accent2 2 2 3 3 2" xfId="622"/>
    <cellStyle name="20% - Accent2 2 2 3 3 2 2" xfId="14667"/>
    <cellStyle name="20% - Accent2 2 2 3 3 2 2 2" xfId="28216"/>
    <cellStyle name="20% - Accent2 2 2 3 3 2 3" xfId="17945"/>
    <cellStyle name="20% - Accent2 2 2 3 3 3" xfId="10632"/>
    <cellStyle name="20% - Accent2 2 2 3 3 3 2" xfId="24574"/>
    <cellStyle name="20% - Accent2 2 2 3 3 4" xfId="17944"/>
    <cellStyle name="20% - Accent2 2 2 3 4" xfId="623"/>
    <cellStyle name="20% - Accent2 2 2 3 4 2" xfId="12208"/>
    <cellStyle name="20% - Accent2 2 2 3 4 2 2" xfId="25920"/>
    <cellStyle name="20% - Accent2 2 2 3 4 3" xfId="17946"/>
    <cellStyle name="20% - Accent2 2 2 3 5" xfId="624"/>
    <cellStyle name="20% - Accent2 2 2 3 5 2" xfId="12663"/>
    <cellStyle name="20% - Accent2 2 2 3 5 2 2" xfId="26375"/>
    <cellStyle name="20% - Accent2 2 2 3 5 3" xfId="17947"/>
    <cellStyle name="20% - Accent2 2 2 3 6" xfId="625"/>
    <cellStyle name="20% - Accent2 2 2 3 6 2" xfId="13772"/>
    <cellStyle name="20% - Accent2 2 2 3 6 2 2" xfId="27321"/>
    <cellStyle name="20% - Accent2 2 2 3 6 3" xfId="17948"/>
    <cellStyle name="20% - Accent2 2 2 3 7" xfId="626"/>
    <cellStyle name="20% - Accent2 2 2 3 7 2" xfId="14353"/>
    <cellStyle name="20% - Accent2 2 2 3 7 2 2" xfId="27902"/>
    <cellStyle name="20% - Accent2 2 2 3 7 3" xfId="17949"/>
    <cellStyle name="20% - Accent2 2 2 3 8" xfId="627"/>
    <cellStyle name="20% - Accent2 2 2 3 8 2" xfId="14665"/>
    <cellStyle name="20% - Accent2 2 2 3 8 2 2" xfId="28214"/>
    <cellStyle name="20% - Accent2 2 2 3 8 3" xfId="17950"/>
    <cellStyle name="20% - Accent2 2 2 3 9" xfId="628"/>
    <cellStyle name="20% - Accent2 2 2 3 9 2" xfId="16239"/>
    <cellStyle name="20% - Accent2 2 2 3 9 2 2" xfId="29646"/>
    <cellStyle name="20% - Accent2 2 2 3 9 3" xfId="17951"/>
    <cellStyle name="20% - Accent2 2 2 4" xfId="629"/>
    <cellStyle name="20% - Accent2 2 2 4 2" xfId="630"/>
    <cellStyle name="20% - Accent2 2 2 4 2 2" xfId="10634"/>
    <cellStyle name="20% - Accent2 2 2 4 2 2 2" xfId="24576"/>
    <cellStyle name="20% - Accent2 2 2 4 2 3" xfId="17953"/>
    <cellStyle name="20% - Accent2 2 2 4 3" xfId="631"/>
    <cellStyle name="20% - Accent2 2 2 4 3 2" xfId="12550"/>
    <cellStyle name="20% - Accent2 2 2 4 3 2 2" xfId="26262"/>
    <cellStyle name="20% - Accent2 2 2 4 3 3" xfId="17954"/>
    <cellStyle name="20% - Accent2 2 2 4 4" xfId="632"/>
    <cellStyle name="20% - Accent2 2 2 4 4 2" xfId="14668"/>
    <cellStyle name="20% - Accent2 2 2 4 4 2 2" xfId="28217"/>
    <cellStyle name="20% - Accent2 2 2 4 4 3" xfId="17955"/>
    <cellStyle name="20% - Accent2 2 2 4 5" xfId="633"/>
    <cellStyle name="20% - Accent2 2 2 4 5 2" xfId="17167"/>
    <cellStyle name="20% - Accent2 2 2 4 5 2 2" xfId="30526"/>
    <cellStyle name="20% - Accent2 2 2 4 5 3" xfId="17956"/>
    <cellStyle name="20% - Accent2 2 2 4 6" xfId="8909"/>
    <cellStyle name="20% - Accent2 2 2 4 6 2" xfId="23384"/>
    <cellStyle name="20% - Accent2 2 2 4 7" xfId="17952"/>
    <cellStyle name="20% - Accent2 2 2 5" xfId="634"/>
    <cellStyle name="20% - Accent2 2 2 5 2" xfId="635"/>
    <cellStyle name="20% - Accent2 2 2 5 2 2" xfId="14669"/>
    <cellStyle name="20% - Accent2 2 2 5 2 2 2" xfId="28218"/>
    <cellStyle name="20% - Accent2 2 2 5 2 3" xfId="17958"/>
    <cellStyle name="20% - Accent2 2 2 5 3" xfId="636"/>
    <cellStyle name="20% - Accent2 2 2 5 3 2" xfId="17256"/>
    <cellStyle name="20% - Accent2 2 2 5 3 2 2" xfId="30615"/>
    <cellStyle name="20% - Accent2 2 2 5 3 3" xfId="17959"/>
    <cellStyle name="20% - Accent2 2 2 5 4" xfId="10627"/>
    <cellStyle name="20% - Accent2 2 2 5 4 2" xfId="24569"/>
    <cellStyle name="20% - Accent2 2 2 5 5" xfId="17957"/>
    <cellStyle name="20% - Accent2 2 2 6" xfId="637"/>
    <cellStyle name="20% - Accent2 2 2 6 2" xfId="638"/>
    <cellStyle name="20% - Accent2 2 2 6 2 2" xfId="16531"/>
    <cellStyle name="20% - Accent2 2 2 6 2 2 2" xfId="29938"/>
    <cellStyle name="20% - Accent2 2 2 6 2 3" xfId="17961"/>
    <cellStyle name="20% - Accent2 2 2 6 3" xfId="11906"/>
    <cellStyle name="20% - Accent2 2 2 6 3 2" xfId="25621"/>
    <cellStyle name="20% - Accent2 2 2 6 4" xfId="17960"/>
    <cellStyle name="20% - Accent2 2 2 7" xfId="639"/>
    <cellStyle name="20% - Accent2 2 2 7 2" xfId="11873"/>
    <cellStyle name="20% - Accent2 2 2 7 2 2" xfId="25588"/>
    <cellStyle name="20% - Accent2 2 2 7 3" xfId="17962"/>
    <cellStyle name="20% - Accent2 2 2 8" xfId="640"/>
    <cellStyle name="20% - Accent2 2 2 8 2" xfId="13483"/>
    <cellStyle name="20% - Accent2 2 2 8 2 2" xfId="27032"/>
    <cellStyle name="20% - Accent2 2 2 8 3" xfId="17963"/>
    <cellStyle name="20% - Accent2 2 2 9" xfId="641"/>
    <cellStyle name="20% - Accent2 2 2 9 2" xfId="14064"/>
    <cellStyle name="20% - Accent2 2 2 9 2 2" xfId="27613"/>
    <cellStyle name="20% - Accent2 2 2 9 3" xfId="17964"/>
    <cellStyle name="20% - Accent2 2 3" xfId="642"/>
    <cellStyle name="20% - Accent2 2 3 10" xfId="643"/>
    <cellStyle name="20% - Accent2 2 3 10 2" xfId="16047"/>
    <cellStyle name="20% - Accent2 2 3 10 2 2" xfId="29454"/>
    <cellStyle name="20% - Accent2 2 3 10 3" xfId="17966"/>
    <cellStyle name="20% - Accent2 2 3 11" xfId="8910"/>
    <cellStyle name="20% - Accent2 2 3 11 2" xfId="23385"/>
    <cellStyle name="20% - Accent2 2 3 12" xfId="17965"/>
    <cellStyle name="20% - Accent2 2 3 2" xfId="644"/>
    <cellStyle name="20% - Accent2 2 3 2 10" xfId="8911"/>
    <cellStyle name="20% - Accent2 2 3 2 10 2" xfId="23386"/>
    <cellStyle name="20% - Accent2 2 3 2 11" xfId="17967"/>
    <cellStyle name="20% - Accent2 2 3 2 2" xfId="645"/>
    <cellStyle name="20% - Accent2 2 3 2 2 2" xfId="646"/>
    <cellStyle name="20% - Accent2 2 3 2 2 2 2" xfId="10637"/>
    <cellStyle name="20% - Accent2 2 3 2 2 2 2 2" xfId="24579"/>
    <cellStyle name="20% - Accent2 2 3 2 2 2 3" xfId="17969"/>
    <cellStyle name="20% - Accent2 2 3 2 2 3" xfId="647"/>
    <cellStyle name="20% - Accent2 2 3 2 2 3 2" xfId="12647"/>
    <cellStyle name="20% - Accent2 2 3 2 2 3 2 2" xfId="26359"/>
    <cellStyle name="20% - Accent2 2 3 2 2 3 3" xfId="17970"/>
    <cellStyle name="20% - Accent2 2 3 2 2 4" xfId="648"/>
    <cellStyle name="20% - Accent2 2 3 2 2 4 2" xfId="14672"/>
    <cellStyle name="20% - Accent2 2 3 2 2 4 2 2" xfId="28221"/>
    <cellStyle name="20% - Accent2 2 3 2 2 4 3" xfId="17971"/>
    <cellStyle name="20% - Accent2 2 3 2 2 5" xfId="649"/>
    <cellStyle name="20% - Accent2 2 3 2 2 5 2" xfId="16917"/>
    <cellStyle name="20% - Accent2 2 3 2 2 5 2 2" xfId="30324"/>
    <cellStyle name="20% - Accent2 2 3 2 2 5 3" xfId="17972"/>
    <cellStyle name="20% - Accent2 2 3 2 2 6" xfId="8912"/>
    <cellStyle name="20% - Accent2 2 3 2 2 6 2" xfId="23387"/>
    <cellStyle name="20% - Accent2 2 3 2 2 7" xfId="17968"/>
    <cellStyle name="20% - Accent2 2 3 2 3" xfId="650"/>
    <cellStyle name="20% - Accent2 2 3 2 3 2" xfId="651"/>
    <cellStyle name="20% - Accent2 2 3 2 3 2 2" xfId="14673"/>
    <cellStyle name="20% - Accent2 2 3 2 3 2 2 2" xfId="28222"/>
    <cellStyle name="20% - Accent2 2 3 2 3 2 3" xfId="17974"/>
    <cellStyle name="20% - Accent2 2 3 2 3 3" xfId="10636"/>
    <cellStyle name="20% - Accent2 2 3 2 3 3 2" xfId="24578"/>
    <cellStyle name="20% - Accent2 2 3 2 3 4" xfId="17973"/>
    <cellStyle name="20% - Accent2 2 3 2 4" xfId="652"/>
    <cellStyle name="20% - Accent2 2 3 2 4 2" xfId="12305"/>
    <cellStyle name="20% - Accent2 2 3 2 4 2 2" xfId="26017"/>
    <cellStyle name="20% - Accent2 2 3 2 4 3" xfId="17975"/>
    <cellStyle name="20% - Accent2 2 3 2 5" xfId="653"/>
    <cellStyle name="20% - Accent2 2 3 2 5 2" xfId="12423"/>
    <cellStyle name="20% - Accent2 2 3 2 5 2 2" xfId="26135"/>
    <cellStyle name="20% - Accent2 2 3 2 5 3" xfId="17976"/>
    <cellStyle name="20% - Accent2 2 3 2 6" xfId="654"/>
    <cellStyle name="20% - Accent2 2 3 2 6 2" xfId="13869"/>
    <cellStyle name="20% - Accent2 2 3 2 6 2 2" xfId="27418"/>
    <cellStyle name="20% - Accent2 2 3 2 6 3" xfId="17977"/>
    <cellStyle name="20% - Accent2 2 3 2 7" xfId="655"/>
    <cellStyle name="20% - Accent2 2 3 2 7 2" xfId="14450"/>
    <cellStyle name="20% - Accent2 2 3 2 7 2 2" xfId="27999"/>
    <cellStyle name="20% - Accent2 2 3 2 7 3" xfId="17978"/>
    <cellStyle name="20% - Accent2 2 3 2 8" xfId="656"/>
    <cellStyle name="20% - Accent2 2 3 2 8 2" xfId="14671"/>
    <cellStyle name="20% - Accent2 2 3 2 8 2 2" xfId="28220"/>
    <cellStyle name="20% - Accent2 2 3 2 8 3" xfId="17979"/>
    <cellStyle name="20% - Accent2 2 3 2 9" xfId="657"/>
    <cellStyle name="20% - Accent2 2 3 2 9 2" xfId="16336"/>
    <cellStyle name="20% - Accent2 2 3 2 9 2 2" xfId="29743"/>
    <cellStyle name="20% - Accent2 2 3 2 9 3" xfId="17980"/>
    <cellStyle name="20% - Accent2 2 3 3" xfId="658"/>
    <cellStyle name="20% - Accent2 2 3 3 2" xfId="659"/>
    <cellStyle name="20% - Accent2 2 3 3 2 2" xfId="10638"/>
    <cellStyle name="20% - Accent2 2 3 3 2 2 2" xfId="24580"/>
    <cellStyle name="20% - Accent2 2 3 3 2 3" xfId="17982"/>
    <cellStyle name="20% - Accent2 2 3 3 3" xfId="660"/>
    <cellStyle name="20% - Accent2 2 3 3 3 2" xfId="12678"/>
    <cellStyle name="20% - Accent2 2 3 3 3 2 2" xfId="26390"/>
    <cellStyle name="20% - Accent2 2 3 3 3 3" xfId="17983"/>
    <cellStyle name="20% - Accent2 2 3 3 4" xfId="661"/>
    <cellStyle name="20% - Accent2 2 3 3 4 2" xfId="14674"/>
    <cellStyle name="20% - Accent2 2 3 3 4 2 2" xfId="28223"/>
    <cellStyle name="20% - Accent2 2 3 3 4 3" xfId="17984"/>
    <cellStyle name="20% - Accent2 2 3 3 5" xfId="662"/>
    <cellStyle name="20% - Accent2 2 3 3 5 2" xfId="16628"/>
    <cellStyle name="20% - Accent2 2 3 3 5 2 2" xfId="30035"/>
    <cellStyle name="20% - Accent2 2 3 3 5 3" xfId="17985"/>
    <cellStyle name="20% - Accent2 2 3 3 6" xfId="8913"/>
    <cellStyle name="20% - Accent2 2 3 3 6 2" xfId="23388"/>
    <cellStyle name="20% - Accent2 2 3 3 7" xfId="17981"/>
    <cellStyle name="20% - Accent2 2 3 4" xfId="663"/>
    <cellStyle name="20% - Accent2 2 3 4 2" xfId="664"/>
    <cellStyle name="20% - Accent2 2 3 4 2 2" xfId="14675"/>
    <cellStyle name="20% - Accent2 2 3 4 2 2 2" xfId="28224"/>
    <cellStyle name="20% - Accent2 2 3 4 2 3" xfId="17987"/>
    <cellStyle name="20% - Accent2 2 3 4 3" xfId="10635"/>
    <cellStyle name="20% - Accent2 2 3 4 3 2" xfId="24577"/>
    <cellStyle name="20% - Accent2 2 3 4 4" xfId="17986"/>
    <cellStyle name="20% - Accent2 2 3 5" xfId="665"/>
    <cellStyle name="20% - Accent2 2 3 5 2" xfId="12005"/>
    <cellStyle name="20% - Accent2 2 3 5 2 2" xfId="25720"/>
    <cellStyle name="20% - Accent2 2 3 5 3" xfId="17988"/>
    <cellStyle name="20% - Accent2 2 3 6" xfId="666"/>
    <cellStyle name="20% - Accent2 2 3 6 2" xfId="12605"/>
    <cellStyle name="20% - Accent2 2 3 6 2 2" xfId="26317"/>
    <cellStyle name="20% - Accent2 2 3 6 3" xfId="17989"/>
    <cellStyle name="20% - Accent2 2 3 7" xfId="667"/>
    <cellStyle name="20% - Accent2 2 3 7 2" xfId="13580"/>
    <cellStyle name="20% - Accent2 2 3 7 2 2" xfId="27129"/>
    <cellStyle name="20% - Accent2 2 3 7 3" xfId="17990"/>
    <cellStyle name="20% - Accent2 2 3 8" xfId="668"/>
    <cellStyle name="20% - Accent2 2 3 8 2" xfId="14161"/>
    <cellStyle name="20% - Accent2 2 3 8 2 2" xfId="27710"/>
    <cellStyle name="20% - Accent2 2 3 8 3" xfId="17991"/>
    <cellStyle name="20% - Accent2 2 3 9" xfId="669"/>
    <cellStyle name="20% - Accent2 2 3 9 2" xfId="14670"/>
    <cellStyle name="20% - Accent2 2 3 9 2 2" xfId="28219"/>
    <cellStyle name="20% - Accent2 2 3 9 3" xfId="17992"/>
    <cellStyle name="20% - Accent2 2 4" xfId="670"/>
    <cellStyle name="20% - Accent2 2 4 10" xfId="8914"/>
    <cellStyle name="20% - Accent2 2 4 10 2" xfId="23389"/>
    <cellStyle name="20% - Accent2 2 4 11" xfId="17993"/>
    <cellStyle name="20% - Accent2 2 4 2" xfId="671"/>
    <cellStyle name="20% - Accent2 2 4 2 2" xfId="672"/>
    <cellStyle name="20% - Accent2 2 4 2 2 2" xfId="10640"/>
    <cellStyle name="20% - Accent2 2 4 2 2 2 2" xfId="24582"/>
    <cellStyle name="20% - Accent2 2 4 2 2 3" xfId="17995"/>
    <cellStyle name="20% - Accent2 2 4 2 3" xfId="673"/>
    <cellStyle name="20% - Accent2 2 4 2 3 2" xfId="12774"/>
    <cellStyle name="20% - Accent2 2 4 2 3 2 2" xfId="26486"/>
    <cellStyle name="20% - Accent2 2 4 2 3 3" xfId="17996"/>
    <cellStyle name="20% - Accent2 2 4 2 4" xfId="674"/>
    <cellStyle name="20% - Accent2 2 4 2 4 2" xfId="14677"/>
    <cellStyle name="20% - Accent2 2 4 2 4 2 2" xfId="28226"/>
    <cellStyle name="20% - Accent2 2 4 2 4 3" xfId="17997"/>
    <cellStyle name="20% - Accent2 2 4 2 5" xfId="675"/>
    <cellStyle name="20% - Accent2 2 4 2 5 2" xfId="16774"/>
    <cellStyle name="20% - Accent2 2 4 2 5 2 2" xfId="30181"/>
    <cellStyle name="20% - Accent2 2 4 2 5 3" xfId="17998"/>
    <cellStyle name="20% - Accent2 2 4 2 6" xfId="8915"/>
    <cellStyle name="20% - Accent2 2 4 2 6 2" xfId="23390"/>
    <cellStyle name="20% - Accent2 2 4 2 7" xfId="17994"/>
    <cellStyle name="20% - Accent2 2 4 3" xfId="676"/>
    <cellStyle name="20% - Accent2 2 4 3 2" xfId="677"/>
    <cellStyle name="20% - Accent2 2 4 3 2 2" xfId="14678"/>
    <cellStyle name="20% - Accent2 2 4 3 2 2 2" xfId="28227"/>
    <cellStyle name="20% - Accent2 2 4 3 2 3" xfId="18000"/>
    <cellStyle name="20% - Accent2 2 4 3 3" xfId="10639"/>
    <cellStyle name="20% - Accent2 2 4 3 3 2" xfId="24581"/>
    <cellStyle name="20% - Accent2 2 4 3 4" xfId="17999"/>
    <cellStyle name="20% - Accent2 2 4 4" xfId="678"/>
    <cellStyle name="20% - Accent2 2 4 4 2" xfId="12162"/>
    <cellStyle name="20% - Accent2 2 4 4 2 2" xfId="25874"/>
    <cellStyle name="20% - Accent2 2 4 4 3" xfId="18001"/>
    <cellStyle name="20% - Accent2 2 4 5" xfId="679"/>
    <cellStyle name="20% - Accent2 2 4 5 2" xfId="12679"/>
    <cellStyle name="20% - Accent2 2 4 5 2 2" xfId="26391"/>
    <cellStyle name="20% - Accent2 2 4 5 3" xfId="18002"/>
    <cellStyle name="20% - Accent2 2 4 6" xfId="680"/>
    <cellStyle name="20% - Accent2 2 4 6 2" xfId="13726"/>
    <cellStyle name="20% - Accent2 2 4 6 2 2" xfId="27275"/>
    <cellStyle name="20% - Accent2 2 4 6 3" xfId="18003"/>
    <cellStyle name="20% - Accent2 2 4 7" xfId="681"/>
    <cellStyle name="20% - Accent2 2 4 7 2" xfId="14307"/>
    <cellStyle name="20% - Accent2 2 4 7 2 2" xfId="27856"/>
    <cellStyle name="20% - Accent2 2 4 7 3" xfId="18004"/>
    <cellStyle name="20% - Accent2 2 4 8" xfId="682"/>
    <cellStyle name="20% - Accent2 2 4 8 2" xfId="14676"/>
    <cellStyle name="20% - Accent2 2 4 8 2 2" xfId="28225"/>
    <cellStyle name="20% - Accent2 2 4 8 3" xfId="18005"/>
    <cellStyle name="20% - Accent2 2 4 9" xfId="683"/>
    <cellStyle name="20% - Accent2 2 4 9 2" xfId="16193"/>
    <cellStyle name="20% - Accent2 2 4 9 2 2" xfId="29600"/>
    <cellStyle name="20% - Accent2 2 4 9 3" xfId="18006"/>
    <cellStyle name="20% - Accent2 2 5" xfId="684"/>
    <cellStyle name="20% - Accent2 2 5 2" xfId="685"/>
    <cellStyle name="20% - Accent2 2 5 2 2" xfId="686"/>
    <cellStyle name="20% - Accent2 2 5 2 2 2" xfId="10642"/>
    <cellStyle name="20% - Accent2 2 5 2 2 2 2" xfId="24584"/>
    <cellStyle name="20% - Accent2 2 5 2 2 3" xfId="18009"/>
    <cellStyle name="20% - Accent2 2 5 2 3" xfId="687"/>
    <cellStyle name="20% - Accent2 2 5 2 3 2" xfId="12533"/>
    <cellStyle name="20% - Accent2 2 5 2 3 2 2" xfId="26245"/>
    <cellStyle name="20% - Accent2 2 5 2 3 3" xfId="18010"/>
    <cellStyle name="20% - Accent2 2 5 2 4" xfId="688"/>
    <cellStyle name="20% - Accent2 2 5 2 4 2" xfId="14680"/>
    <cellStyle name="20% - Accent2 2 5 2 4 2 2" xfId="28229"/>
    <cellStyle name="20% - Accent2 2 5 2 4 3" xfId="18011"/>
    <cellStyle name="20% - Accent2 2 5 2 5" xfId="8917"/>
    <cellStyle name="20% - Accent2 2 5 2 5 2" xfId="23392"/>
    <cellStyle name="20% - Accent2 2 5 2 6" xfId="18008"/>
    <cellStyle name="20% - Accent2 2 5 3" xfId="689"/>
    <cellStyle name="20% - Accent2 2 5 3 2" xfId="10641"/>
    <cellStyle name="20% - Accent2 2 5 3 2 2" xfId="24583"/>
    <cellStyle name="20% - Accent2 2 5 3 3" xfId="18012"/>
    <cellStyle name="20% - Accent2 2 5 4" xfId="690"/>
    <cellStyle name="20% - Accent2 2 5 4 2" xfId="12523"/>
    <cellStyle name="20% - Accent2 2 5 4 2 2" xfId="26235"/>
    <cellStyle name="20% - Accent2 2 5 4 3" xfId="18013"/>
    <cellStyle name="20% - Accent2 2 5 5" xfId="691"/>
    <cellStyle name="20% - Accent2 2 5 5 2" xfId="14679"/>
    <cellStyle name="20% - Accent2 2 5 5 2 2" xfId="28228"/>
    <cellStyle name="20% - Accent2 2 5 5 3" xfId="18014"/>
    <cellStyle name="20% - Accent2 2 5 6" xfId="692"/>
    <cellStyle name="20% - Accent2 2 5 6 2" xfId="17008"/>
    <cellStyle name="20% - Accent2 2 5 6 2 2" xfId="30415"/>
    <cellStyle name="20% - Accent2 2 5 6 3" xfId="18015"/>
    <cellStyle name="20% - Accent2 2 5 7" xfId="8916"/>
    <cellStyle name="20% - Accent2 2 5 7 2" xfId="23391"/>
    <cellStyle name="20% - Accent2 2 5 8" xfId="18007"/>
    <cellStyle name="20% - Accent2 2 6" xfId="693"/>
    <cellStyle name="20% - Accent2 2 6 2" xfId="694"/>
    <cellStyle name="20% - Accent2 2 6 2 2" xfId="10643"/>
    <cellStyle name="20% - Accent2 2 6 2 2 2" xfId="24585"/>
    <cellStyle name="20% - Accent2 2 6 2 3" xfId="18017"/>
    <cellStyle name="20% - Accent2 2 6 3" xfId="695"/>
    <cellStyle name="20% - Accent2 2 6 3 2" xfId="12690"/>
    <cellStyle name="20% - Accent2 2 6 3 2 2" xfId="26402"/>
    <cellStyle name="20% - Accent2 2 6 3 3" xfId="18018"/>
    <cellStyle name="20% - Accent2 2 6 4" xfId="696"/>
    <cellStyle name="20% - Accent2 2 6 4 2" xfId="14681"/>
    <cellStyle name="20% - Accent2 2 6 4 2 2" xfId="28230"/>
    <cellStyle name="20% - Accent2 2 6 4 3" xfId="18019"/>
    <cellStyle name="20% - Accent2 2 6 5" xfId="697"/>
    <cellStyle name="20% - Accent2 2 6 5 2" xfId="17121"/>
    <cellStyle name="20% - Accent2 2 6 5 2 2" xfId="30480"/>
    <cellStyle name="20% - Accent2 2 6 5 3" xfId="18020"/>
    <cellStyle name="20% - Accent2 2 6 6" xfId="8918"/>
    <cellStyle name="20% - Accent2 2 6 6 2" xfId="23393"/>
    <cellStyle name="20% - Accent2 2 6 7" xfId="18016"/>
    <cellStyle name="20% - Accent2 2 7" xfId="698"/>
    <cellStyle name="20% - Accent2 2 7 2" xfId="699"/>
    <cellStyle name="20% - Accent2 2 7 2 2" xfId="10644"/>
    <cellStyle name="20% - Accent2 2 7 2 2 2" xfId="24586"/>
    <cellStyle name="20% - Accent2 2 7 2 3" xfId="18022"/>
    <cellStyle name="20% - Accent2 2 7 3" xfId="700"/>
    <cellStyle name="20% - Accent2 2 7 3 2" xfId="12466"/>
    <cellStyle name="20% - Accent2 2 7 3 2 2" xfId="26178"/>
    <cellStyle name="20% - Accent2 2 7 3 3" xfId="18023"/>
    <cellStyle name="20% - Accent2 2 7 4" xfId="701"/>
    <cellStyle name="20% - Accent2 2 7 4 2" xfId="14682"/>
    <cellStyle name="20% - Accent2 2 7 4 2 2" xfId="28231"/>
    <cellStyle name="20% - Accent2 2 7 4 3" xfId="18024"/>
    <cellStyle name="20% - Accent2 2 7 5" xfId="702"/>
    <cellStyle name="20% - Accent2 2 7 5 2" xfId="17210"/>
    <cellStyle name="20% - Accent2 2 7 5 2 2" xfId="30569"/>
    <cellStyle name="20% - Accent2 2 7 5 3" xfId="18025"/>
    <cellStyle name="20% - Accent2 2 7 6" xfId="8919"/>
    <cellStyle name="20% - Accent2 2 7 6 2" xfId="23394"/>
    <cellStyle name="20% - Accent2 2 7 7" xfId="18021"/>
    <cellStyle name="20% - Accent2 2 8" xfId="703"/>
    <cellStyle name="20% - Accent2 2 8 2" xfId="704"/>
    <cellStyle name="20% - Accent2 2 8 2 2" xfId="12572"/>
    <cellStyle name="20% - Accent2 2 8 2 2 2" xfId="26284"/>
    <cellStyle name="20% - Accent2 2 8 2 3" xfId="18027"/>
    <cellStyle name="20% - Accent2 2 8 3" xfId="705"/>
    <cellStyle name="20% - Accent2 2 8 3 2" xfId="14683"/>
    <cellStyle name="20% - Accent2 2 8 3 2 2" xfId="28232"/>
    <cellStyle name="20% - Accent2 2 8 3 3" xfId="18028"/>
    <cellStyle name="20% - Accent2 2 8 4" xfId="706"/>
    <cellStyle name="20% - Accent2 2 8 4 2" xfId="16485"/>
    <cellStyle name="20% - Accent2 2 8 4 2 2" xfId="29892"/>
    <cellStyle name="20% - Accent2 2 8 4 3" xfId="18029"/>
    <cellStyle name="20% - Accent2 2 8 5" xfId="10529"/>
    <cellStyle name="20% - Accent2 2 8 5 2" xfId="24471"/>
    <cellStyle name="20% - Accent2 2 8 6" xfId="18026"/>
    <cellStyle name="20% - Accent2 2 9" xfId="707"/>
    <cellStyle name="20% - Accent2 2 9 2" xfId="708"/>
    <cellStyle name="20% - Accent2 2 9 2 2" xfId="12789"/>
    <cellStyle name="20% - Accent2 2 9 2 2 2" xfId="26501"/>
    <cellStyle name="20% - Accent2 2 9 2 3" xfId="18031"/>
    <cellStyle name="20% - Accent2 2 9 3" xfId="709"/>
    <cellStyle name="20% - Accent2 2 9 3 2" xfId="14684"/>
    <cellStyle name="20% - Accent2 2 9 3 2 2" xfId="28233"/>
    <cellStyle name="20% - Accent2 2 9 3 3" xfId="18032"/>
    <cellStyle name="20% - Accent2 2 9 4" xfId="10626"/>
    <cellStyle name="20% - Accent2 2 9 4 2" xfId="24568"/>
    <cellStyle name="20% - Accent2 2 9 5" xfId="18030"/>
    <cellStyle name="20% - Accent2 20" xfId="710"/>
    <cellStyle name="20% - Accent2 20 2" xfId="711"/>
    <cellStyle name="20% - Accent2 20 2 2" xfId="12677"/>
    <cellStyle name="20% - Accent2 20 2 2 2" xfId="26389"/>
    <cellStyle name="20% - Accent2 20 2 3" xfId="18034"/>
    <cellStyle name="20% - Accent2 20 3" xfId="712"/>
    <cellStyle name="20% - Accent2 20 3 2" xfId="14685"/>
    <cellStyle name="20% - Accent2 20 3 2 2" xfId="28234"/>
    <cellStyle name="20% - Accent2 20 3 3" xfId="18035"/>
    <cellStyle name="20% - Accent2 20 4" xfId="10504"/>
    <cellStyle name="20% - Accent2 20 4 2" xfId="24452"/>
    <cellStyle name="20% - Accent2 20 5" xfId="18033"/>
    <cellStyle name="20% - Accent2 21" xfId="713"/>
    <cellStyle name="20% - Accent2 21 2" xfId="714"/>
    <cellStyle name="20% - Accent2 21 2 2" xfId="12539"/>
    <cellStyle name="20% - Accent2 21 2 2 2" xfId="26251"/>
    <cellStyle name="20% - Accent2 21 2 3" xfId="18037"/>
    <cellStyle name="20% - Accent2 21 3" xfId="715"/>
    <cellStyle name="20% - Accent2 21 3 2" xfId="14686"/>
    <cellStyle name="20% - Accent2 21 3 2 2" xfId="28235"/>
    <cellStyle name="20% - Accent2 21 3 3" xfId="18038"/>
    <cellStyle name="20% - Accent2 21 4" xfId="10615"/>
    <cellStyle name="20% - Accent2 21 4 2" xfId="24557"/>
    <cellStyle name="20% - Accent2 21 5" xfId="18036"/>
    <cellStyle name="20% - Accent2 22" xfId="716"/>
    <cellStyle name="20% - Accent2 22 2" xfId="11740"/>
    <cellStyle name="20% - Accent2 22 2 2" xfId="25455"/>
    <cellStyle name="20% - Accent2 22 3" xfId="18039"/>
    <cellStyle name="20% - Accent2 23" xfId="717"/>
    <cellStyle name="20% - Accent2 23 2" xfId="12778"/>
    <cellStyle name="20% - Accent2 23 2 2" xfId="26490"/>
    <cellStyle name="20% - Accent2 23 3" xfId="18040"/>
    <cellStyle name="20% - Accent2 24" xfId="718"/>
    <cellStyle name="20% - Accent2 24 2" xfId="13379"/>
    <cellStyle name="20% - Accent2 24 2 2" xfId="26928"/>
    <cellStyle name="20% - Accent2 24 3" xfId="18041"/>
    <cellStyle name="20% - Accent2 25" xfId="719"/>
    <cellStyle name="20% - Accent2 25 2" xfId="13960"/>
    <cellStyle name="20% - Accent2 25 2 2" xfId="27509"/>
    <cellStyle name="20% - Accent2 25 3" xfId="18042"/>
    <cellStyle name="20% - Accent2 26" xfId="720"/>
    <cellStyle name="20% - Accent2 26 2" xfId="14643"/>
    <cellStyle name="20% - Accent2 26 2 2" xfId="28192"/>
    <cellStyle name="20% - Accent2 26 3" xfId="18043"/>
    <cellStyle name="20% - Accent2 27" xfId="721"/>
    <cellStyle name="20% - Accent2 27 2" xfId="15839"/>
    <cellStyle name="20% - Accent2 27 2 2" xfId="29246"/>
    <cellStyle name="20% - Accent2 27 3" xfId="18044"/>
    <cellStyle name="20% - Accent2 28" xfId="722"/>
    <cellStyle name="20% - Accent2 28 2" xfId="15846"/>
    <cellStyle name="20% - Accent2 28 2 2" xfId="29253"/>
    <cellStyle name="20% - Accent2 28 3" xfId="18045"/>
    <cellStyle name="20% - Accent2 29" xfId="723"/>
    <cellStyle name="20% - Accent2 29 2" xfId="8890"/>
    <cellStyle name="20% - Accent2 29 2 2" xfId="23365"/>
    <cellStyle name="20% - Accent2 29 3" xfId="18046"/>
    <cellStyle name="20% - Accent2 3" xfId="724"/>
    <cellStyle name="20% - Accent2 3 10" xfId="725"/>
    <cellStyle name="20% - Accent2 3 10 2" xfId="14041"/>
    <cellStyle name="20% - Accent2 3 10 2 2" xfId="27590"/>
    <cellStyle name="20% - Accent2 3 10 3" xfId="18048"/>
    <cellStyle name="20% - Accent2 3 11" xfId="726"/>
    <cellStyle name="20% - Accent2 3 11 2" xfId="14687"/>
    <cellStyle name="20% - Accent2 3 11 2 2" xfId="28236"/>
    <cellStyle name="20% - Accent2 3 11 3" xfId="18049"/>
    <cellStyle name="20% - Accent2 3 12" xfId="727"/>
    <cellStyle name="20% - Accent2 3 12 2" xfId="15927"/>
    <cellStyle name="20% - Accent2 3 12 2 2" xfId="29334"/>
    <cellStyle name="20% - Accent2 3 12 3" xfId="18050"/>
    <cellStyle name="20% - Accent2 3 13" xfId="8920"/>
    <cellStyle name="20% - Accent2 3 13 2" xfId="23395"/>
    <cellStyle name="20% - Accent2 3 14" xfId="18047"/>
    <cellStyle name="20% - Accent2 3 2" xfId="728"/>
    <cellStyle name="20% - Accent2 3 2 10" xfId="729"/>
    <cellStyle name="20% - Accent2 3 2 10 2" xfId="16070"/>
    <cellStyle name="20% - Accent2 3 2 10 2 2" xfId="29477"/>
    <cellStyle name="20% - Accent2 3 2 10 3" xfId="18052"/>
    <cellStyle name="20% - Accent2 3 2 11" xfId="8921"/>
    <cellStyle name="20% - Accent2 3 2 11 2" xfId="23396"/>
    <cellStyle name="20% - Accent2 3 2 12" xfId="18051"/>
    <cellStyle name="20% - Accent2 3 2 2" xfId="730"/>
    <cellStyle name="20% - Accent2 3 2 2 10" xfId="8922"/>
    <cellStyle name="20% - Accent2 3 2 2 10 2" xfId="23397"/>
    <cellStyle name="20% - Accent2 3 2 2 11" xfId="18053"/>
    <cellStyle name="20% - Accent2 3 2 2 2" xfId="731"/>
    <cellStyle name="20% - Accent2 3 2 2 2 2" xfId="732"/>
    <cellStyle name="20% - Accent2 3 2 2 2 2 2" xfId="10648"/>
    <cellStyle name="20% - Accent2 3 2 2 2 2 2 2" xfId="24590"/>
    <cellStyle name="20% - Accent2 3 2 2 2 2 3" xfId="18055"/>
    <cellStyle name="20% - Accent2 3 2 2 2 3" xfId="733"/>
    <cellStyle name="20% - Accent2 3 2 2 2 3 2" xfId="12730"/>
    <cellStyle name="20% - Accent2 3 2 2 2 3 2 2" xfId="26442"/>
    <cellStyle name="20% - Accent2 3 2 2 2 3 3" xfId="18056"/>
    <cellStyle name="20% - Accent2 3 2 2 2 4" xfId="734"/>
    <cellStyle name="20% - Accent2 3 2 2 2 4 2" xfId="14690"/>
    <cellStyle name="20% - Accent2 3 2 2 2 4 2 2" xfId="28239"/>
    <cellStyle name="20% - Accent2 3 2 2 2 4 3" xfId="18057"/>
    <cellStyle name="20% - Accent2 3 2 2 2 5" xfId="735"/>
    <cellStyle name="20% - Accent2 3 2 2 2 5 2" xfId="16940"/>
    <cellStyle name="20% - Accent2 3 2 2 2 5 2 2" xfId="30347"/>
    <cellStyle name="20% - Accent2 3 2 2 2 5 3" xfId="18058"/>
    <cellStyle name="20% - Accent2 3 2 2 2 6" xfId="8923"/>
    <cellStyle name="20% - Accent2 3 2 2 2 6 2" xfId="23398"/>
    <cellStyle name="20% - Accent2 3 2 2 2 7" xfId="18054"/>
    <cellStyle name="20% - Accent2 3 2 2 3" xfId="736"/>
    <cellStyle name="20% - Accent2 3 2 2 3 2" xfId="737"/>
    <cellStyle name="20% - Accent2 3 2 2 3 2 2" xfId="14691"/>
    <cellStyle name="20% - Accent2 3 2 2 3 2 2 2" xfId="28240"/>
    <cellStyle name="20% - Accent2 3 2 2 3 2 3" xfId="18060"/>
    <cellStyle name="20% - Accent2 3 2 2 3 3" xfId="10647"/>
    <cellStyle name="20% - Accent2 3 2 2 3 3 2" xfId="24589"/>
    <cellStyle name="20% - Accent2 3 2 2 3 4" xfId="18059"/>
    <cellStyle name="20% - Accent2 3 2 2 4" xfId="738"/>
    <cellStyle name="20% - Accent2 3 2 2 4 2" xfId="12328"/>
    <cellStyle name="20% - Accent2 3 2 2 4 2 2" xfId="26040"/>
    <cellStyle name="20% - Accent2 3 2 2 4 3" xfId="18061"/>
    <cellStyle name="20% - Accent2 3 2 2 5" xfId="739"/>
    <cellStyle name="20% - Accent2 3 2 2 5 2" xfId="12756"/>
    <cellStyle name="20% - Accent2 3 2 2 5 2 2" xfId="26468"/>
    <cellStyle name="20% - Accent2 3 2 2 5 3" xfId="18062"/>
    <cellStyle name="20% - Accent2 3 2 2 6" xfId="740"/>
    <cellStyle name="20% - Accent2 3 2 2 6 2" xfId="13892"/>
    <cellStyle name="20% - Accent2 3 2 2 6 2 2" xfId="27441"/>
    <cellStyle name="20% - Accent2 3 2 2 6 3" xfId="18063"/>
    <cellStyle name="20% - Accent2 3 2 2 7" xfId="741"/>
    <cellStyle name="20% - Accent2 3 2 2 7 2" xfId="14473"/>
    <cellStyle name="20% - Accent2 3 2 2 7 2 2" xfId="28022"/>
    <cellStyle name="20% - Accent2 3 2 2 7 3" xfId="18064"/>
    <cellStyle name="20% - Accent2 3 2 2 8" xfId="742"/>
    <cellStyle name="20% - Accent2 3 2 2 8 2" xfId="14689"/>
    <cellStyle name="20% - Accent2 3 2 2 8 2 2" xfId="28238"/>
    <cellStyle name="20% - Accent2 3 2 2 8 3" xfId="18065"/>
    <cellStyle name="20% - Accent2 3 2 2 9" xfId="743"/>
    <cellStyle name="20% - Accent2 3 2 2 9 2" xfId="16359"/>
    <cellStyle name="20% - Accent2 3 2 2 9 2 2" xfId="29766"/>
    <cellStyle name="20% - Accent2 3 2 2 9 3" xfId="18066"/>
    <cellStyle name="20% - Accent2 3 2 3" xfId="744"/>
    <cellStyle name="20% - Accent2 3 2 3 2" xfId="745"/>
    <cellStyle name="20% - Accent2 3 2 3 2 2" xfId="10649"/>
    <cellStyle name="20% - Accent2 3 2 3 2 2 2" xfId="24591"/>
    <cellStyle name="20% - Accent2 3 2 3 2 3" xfId="18068"/>
    <cellStyle name="20% - Accent2 3 2 3 3" xfId="746"/>
    <cellStyle name="20% - Accent2 3 2 3 3 2" xfId="12652"/>
    <cellStyle name="20% - Accent2 3 2 3 3 2 2" xfId="26364"/>
    <cellStyle name="20% - Accent2 3 2 3 3 3" xfId="18069"/>
    <cellStyle name="20% - Accent2 3 2 3 4" xfId="747"/>
    <cellStyle name="20% - Accent2 3 2 3 4 2" xfId="14692"/>
    <cellStyle name="20% - Accent2 3 2 3 4 2 2" xfId="28241"/>
    <cellStyle name="20% - Accent2 3 2 3 4 3" xfId="18070"/>
    <cellStyle name="20% - Accent2 3 2 3 5" xfId="748"/>
    <cellStyle name="20% - Accent2 3 2 3 5 2" xfId="16651"/>
    <cellStyle name="20% - Accent2 3 2 3 5 2 2" xfId="30058"/>
    <cellStyle name="20% - Accent2 3 2 3 5 3" xfId="18071"/>
    <cellStyle name="20% - Accent2 3 2 3 6" xfId="8924"/>
    <cellStyle name="20% - Accent2 3 2 3 6 2" xfId="23399"/>
    <cellStyle name="20% - Accent2 3 2 3 7" xfId="18067"/>
    <cellStyle name="20% - Accent2 3 2 4" xfId="749"/>
    <cellStyle name="20% - Accent2 3 2 4 2" xfId="750"/>
    <cellStyle name="20% - Accent2 3 2 4 2 2" xfId="14693"/>
    <cellStyle name="20% - Accent2 3 2 4 2 2 2" xfId="28242"/>
    <cellStyle name="20% - Accent2 3 2 4 2 3" xfId="18073"/>
    <cellStyle name="20% - Accent2 3 2 4 3" xfId="10646"/>
    <cellStyle name="20% - Accent2 3 2 4 3 2" xfId="24588"/>
    <cellStyle name="20% - Accent2 3 2 4 4" xfId="18072"/>
    <cellStyle name="20% - Accent2 3 2 5" xfId="751"/>
    <cellStyle name="20% - Accent2 3 2 5 2" xfId="12028"/>
    <cellStyle name="20% - Accent2 3 2 5 2 2" xfId="25743"/>
    <cellStyle name="20% - Accent2 3 2 5 3" xfId="18074"/>
    <cellStyle name="20% - Accent2 3 2 6" xfId="752"/>
    <cellStyle name="20% - Accent2 3 2 6 2" xfId="12642"/>
    <cellStyle name="20% - Accent2 3 2 6 2 2" xfId="26354"/>
    <cellStyle name="20% - Accent2 3 2 6 3" xfId="18075"/>
    <cellStyle name="20% - Accent2 3 2 7" xfId="753"/>
    <cellStyle name="20% - Accent2 3 2 7 2" xfId="13603"/>
    <cellStyle name="20% - Accent2 3 2 7 2 2" xfId="27152"/>
    <cellStyle name="20% - Accent2 3 2 7 3" xfId="18076"/>
    <cellStyle name="20% - Accent2 3 2 8" xfId="754"/>
    <cellStyle name="20% - Accent2 3 2 8 2" xfId="14184"/>
    <cellStyle name="20% - Accent2 3 2 8 2 2" xfId="27733"/>
    <cellStyle name="20% - Accent2 3 2 8 3" xfId="18077"/>
    <cellStyle name="20% - Accent2 3 2 9" xfId="755"/>
    <cellStyle name="20% - Accent2 3 2 9 2" xfId="14688"/>
    <cellStyle name="20% - Accent2 3 2 9 2 2" xfId="28237"/>
    <cellStyle name="20% - Accent2 3 2 9 3" xfId="18078"/>
    <cellStyle name="20% - Accent2 3 3" xfId="756"/>
    <cellStyle name="20% - Accent2 3 3 10" xfId="8925"/>
    <cellStyle name="20% - Accent2 3 3 10 2" xfId="23400"/>
    <cellStyle name="20% - Accent2 3 3 11" xfId="18079"/>
    <cellStyle name="20% - Accent2 3 3 2" xfId="757"/>
    <cellStyle name="20% - Accent2 3 3 2 2" xfId="758"/>
    <cellStyle name="20% - Accent2 3 3 2 2 2" xfId="10651"/>
    <cellStyle name="20% - Accent2 3 3 2 2 2 2" xfId="24593"/>
    <cellStyle name="20% - Accent2 3 3 2 2 3" xfId="18081"/>
    <cellStyle name="20% - Accent2 3 3 2 3" xfId="759"/>
    <cellStyle name="20% - Accent2 3 3 2 3 2" xfId="12791"/>
    <cellStyle name="20% - Accent2 3 3 2 3 2 2" xfId="26503"/>
    <cellStyle name="20% - Accent2 3 3 2 3 3" xfId="18082"/>
    <cellStyle name="20% - Accent2 3 3 2 4" xfId="760"/>
    <cellStyle name="20% - Accent2 3 3 2 4 2" xfId="14695"/>
    <cellStyle name="20% - Accent2 3 3 2 4 2 2" xfId="28244"/>
    <cellStyle name="20% - Accent2 3 3 2 4 3" xfId="18083"/>
    <cellStyle name="20% - Accent2 3 3 2 5" xfId="761"/>
    <cellStyle name="20% - Accent2 3 3 2 5 2" xfId="16797"/>
    <cellStyle name="20% - Accent2 3 3 2 5 2 2" xfId="30204"/>
    <cellStyle name="20% - Accent2 3 3 2 5 3" xfId="18084"/>
    <cellStyle name="20% - Accent2 3 3 2 6" xfId="8926"/>
    <cellStyle name="20% - Accent2 3 3 2 6 2" xfId="23401"/>
    <cellStyle name="20% - Accent2 3 3 2 7" xfId="18080"/>
    <cellStyle name="20% - Accent2 3 3 3" xfId="762"/>
    <cellStyle name="20% - Accent2 3 3 3 2" xfId="763"/>
    <cellStyle name="20% - Accent2 3 3 3 2 2" xfId="14696"/>
    <cellStyle name="20% - Accent2 3 3 3 2 2 2" xfId="28245"/>
    <cellStyle name="20% - Accent2 3 3 3 2 3" xfId="18086"/>
    <cellStyle name="20% - Accent2 3 3 3 3" xfId="10650"/>
    <cellStyle name="20% - Accent2 3 3 3 3 2" xfId="24592"/>
    <cellStyle name="20% - Accent2 3 3 3 4" xfId="18085"/>
    <cellStyle name="20% - Accent2 3 3 4" xfId="764"/>
    <cellStyle name="20% - Accent2 3 3 4 2" xfId="12185"/>
    <cellStyle name="20% - Accent2 3 3 4 2 2" xfId="25897"/>
    <cellStyle name="20% - Accent2 3 3 4 3" xfId="18087"/>
    <cellStyle name="20% - Accent2 3 3 5" xfId="765"/>
    <cellStyle name="20% - Accent2 3 3 5 2" xfId="12734"/>
    <cellStyle name="20% - Accent2 3 3 5 2 2" xfId="26446"/>
    <cellStyle name="20% - Accent2 3 3 5 3" xfId="18088"/>
    <cellStyle name="20% - Accent2 3 3 6" xfId="766"/>
    <cellStyle name="20% - Accent2 3 3 6 2" xfId="13749"/>
    <cellStyle name="20% - Accent2 3 3 6 2 2" xfId="27298"/>
    <cellStyle name="20% - Accent2 3 3 6 3" xfId="18089"/>
    <cellStyle name="20% - Accent2 3 3 7" xfId="767"/>
    <cellStyle name="20% - Accent2 3 3 7 2" xfId="14330"/>
    <cellStyle name="20% - Accent2 3 3 7 2 2" xfId="27879"/>
    <cellStyle name="20% - Accent2 3 3 7 3" xfId="18090"/>
    <cellStyle name="20% - Accent2 3 3 8" xfId="768"/>
    <cellStyle name="20% - Accent2 3 3 8 2" xfId="14694"/>
    <cellStyle name="20% - Accent2 3 3 8 2 2" xfId="28243"/>
    <cellStyle name="20% - Accent2 3 3 8 3" xfId="18091"/>
    <cellStyle name="20% - Accent2 3 3 9" xfId="769"/>
    <cellStyle name="20% - Accent2 3 3 9 2" xfId="16216"/>
    <cellStyle name="20% - Accent2 3 3 9 2 2" xfId="29623"/>
    <cellStyle name="20% - Accent2 3 3 9 3" xfId="18092"/>
    <cellStyle name="20% - Accent2 3 4" xfId="770"/>
    <cellStyle name="20% - Accent2 3 4 2" xfId="771"/>
    <cellStyle name="20% - Accent2 3 4 2 2" xfId="10652"/>
    <cellStyle name="20% - Accent2 3 4 2 2 2" xfId="24594"/>
    <cellStyle name="20% - Accent2 3 4 2 3" xfId="18094"/>
    <cellStyle name="20% - Accent2 3 4 3" xfId="772"/>
    <cellStyle name="20% - Accent2 3 4 3 2" xfId="12758"/>
    <cellStyle name="20% - Accent2 3 4 3 2 2" xfId="26470"/>
    <cellStyle name="20% - Accent2 3 4 3 3" xfId="18095"/>
    <cellStyle name="20% - Accent2 3 4 4" xfId="773"/>
    <cellStyle name="20% - Accent2 3 4 4 2" xfId="14697"/>
    <cellStyle name="20% - Accent2 3 4 4 2 2" xfId="28246"/>
    <cellStyle name="20% - Accent2 3 4 4 3" xfId="18096"/>
    <cellStyle name="20% - Accent2 3 4 5" xfId="774"/>
    <cellStyle name="20% - Accent2 3 4 5 2" xfId="17144"/>
    <cellStyle name="20% - Accent2 3 4 5 2 2" xfId="30503"/>
    <cellStyle name="20% - Accent2 3 4 5 3" xfId="18097"/>
    <cellStyle name="20% - Accent2 3 4 6" xfId="8927"/>
    <cellStyle name="20% - Accent2 3 4 6 2" xfId="23402"/>
    <cellStyle name="20% - Accent2 3 4 7" xfId="18093"/>
    <cellStyle name="20% - Accent2 3 5" xfId="775"/>
    <cellStyle name="20% - Accent2 3 5 2" xfId="776"/>
    <cellStyle name="20% - Accent2 3 5 2 2" xfId="10653"/>
    <cellStyle name="20% - Accent2 3 5 2 2 2" xfId="24595"/>
    <cellStyle name="20% - Accent2 3 5 2 3" xfId="18099"/>
    <cellStyle name="20% - Accent2 3 5 3" xfId="777"/>
    <cellStyle name="20% - Accent2 3 5 3 2" xfId="12424"/>
    <cellStyle name="20% - Accent2 3 5 3 2 2" xfId="26136"/>
    <cellStyle name="20% - Accent2 3 5 3 3" xfId="18100"/>
    <cellStyle name="20% - Accent2 3 5 4" xfId="778"/>
    <cellStyle name="20% - Accent2 3 5 4 2" xfId="14698"/>
    <cellStyle name="20% - Accent2 3 5 4 2 2" xfId="28247"/>
    <cellStyle name="20% - Accent2 3 5 4 3" xfId="18101"/>
    <cellStyle name="20% - Accent2 3 5 5" xfId="779"/>
    <cellStyle name="20% - Accent2 3 5 5 2" xfId="17233"/>
    <cellStyle name="20% - Accent2 3 5 5 2 2" xfId="30592"/>
    <cellStyle name="20% - Accent2 3 5 5 3" xfId="18102"/>
    <cellStyle name="20% - Accent2 3 5 6" xfId="8928"/>
    <cellStyle name="20% - Accent2 3 5 6 2" xfId="23403"/>
    <cellStyle name="20% - Accent2 3 5 7" xfId="18098"/>
    <cellStyle name="20% - Accent2 3 6" xfId="780"/>
    <cellStyle name="20% - Accent2 3 6 2" xfId="781"/>
    <cellStyle name="20% - Accent2 3 6 2 2" xfId="14699"/>
    <cellStyle name="20% - Accent2 3 6 2 2 2" xfId="28248"/>
    <cellStyle name="20% - Accent2 3 6 2 3" xfId="18104"/>
    <cellStyle name="20% - Accent2 3 6 3" xfId="782"/>
    <cellStyle name="20% - Accent2 3 6 3 2" xfId="16508"/>
    <cellStyle name="20% - Accent2 3 6 3 2 2" xfId="29915"/>
    <cellStyle name="20% - Accent2 3 6 3 3" xfId="18105"/>
    <cellStyle name="20% - Accent2 3 6 4" xfId="10645"/>
    <cellStyle name="20% - Accent2 3 6 4 2" xfId="24587"/>
    <cellStyle name="20% - Accent2 3 6 5" xfId="18103"/>
    <cellStyle name="20% - Accent2 3 7" xfId="783"/>
    <cellStyle name="20% - Accent2 3 7 2" xfId="11880"/>
    <cellStyle name="20% - Accent2 3 7 2 2" xfId="25595"/>
    <cellStyle name="20% - Accent2 3 7 3" xfId="18106"/>
    <cellStyle name="20% - Accent2 3 8" xfId="784"/>
    <cellStyle name="20% - Accent2 3 8 2" xfId="12755"/>
    <cellStyle name="20% - Accent2 3 8 2 2" xfId="26467"/>
    <cellStyle name="20% - Accent2 3 8 3" xfId="18107"/>
    <cellStyle name="20% - Accent2 3 9" xfId="785"/>
    <cellStyle name="20% - Accent2 3 9 2" xfId="13460"/>
    <cellStyle name="20% - Accent2 3 9 2 2" xfId="27009"/>
    <cellStyle name="20% - Accent2 3 9 3" xfId="18108"/>
    <cellStyle name="20% - Accent2 30" xfId="23250"/>
    <cellStyle name="20% - Accent2 4" xfId="786"/>
    <cellStyle name="20% - Accent2 4 10" xfId="787"/>
    <cellStyle name="20% - Accent2 4 10 2" xfId="14700"/>
    <cellStyle name="20% - Accent2 4 10 2 2" xfId="28249"/>
    <cellStyle name="20% - Accent2 4 10 3" xfId="18110"/>
    <cellStyle name="20% - Accent2 4 11" xfId="788"/>
    <cellStyle name="20% - Accent2 4 11 2" xfId="15880"/>
    <cellStyle name="20% - Accent2 4 11 2 2" xfId="29287"/>
    <cellStyle name="20% - Accent2 4 11 3" xfId="18111"/>
    <cellStyle name="20% - Accent2 4 12" xfId="8929"/>
    <cellStyle name="20% - Accent2 4 12 2" xfId="23404"/>
    <cellStyle name="20% - Accent2 4 13" xfId="18109"/>
    <cellStyle name="20% - Accent2 4 2" xfId="789"/>
    <cellStyle name="20% - Accent2 4 2 10" xfId="790"/>
    <cellStyle name="20% - Accent2 4 2 10 2" xfId="16023"/>
    <cellStyle name="20% - Accent2 4 2 10 2 2" xfId="29430"/>
    <cellStyle name="20% - Accent2 4 2 10 3" xfId="18113"/>
    <cellStyle name="20% - Accent2 4 2 11" xfId="8930"/>
    <cellStyle name="20% - Accent2 4 2 11 2" xfId="23405"/>
    <cellStyle name="20% - Accent2 4 2 12" xfId="18112"/>
    <cellStyle name="20% - Accent2 4 2 2" xfId="791"/>
    <cellStyle name="20% - Accent2 4 2 2 10" xfId="8931"/>
    <cellStyle name="20% - Accent2 4 2 2 10 2" xfId="23406"/>
    <cellStyle name="20% - Accent2 4 2 2 11" xfId="18114"/>
    <cellStyle name="20% - Accent2 4 2 2 2" xfId="792"/>
    <cellStyle name="20% - Accent2 4 2 2 2 2" xfId="793"/>
    <cellStyle name="20% - Accent2 4 2 2 2 2 2" xfId="10657"/>
    <cellStyle name="20% - Accent2 4 2 2 2 2 2 2" xfId="24599"/>
    <cellStyle name="20% - Accent2 4 2 2 2 2 3" xfId="18116"/>
    <cellStyle name="20% - Accent2 4 2 2 2 3" xfId="794"/>
    <cellStyle name="20% - Accent2 4 2 2 2 3 2" xfId="12615"/>
    <cellStyle name="20% - Accent2 4 2 2 2 3 2 2" xfId="26327"/>
    <cellStyle name="20% - Accent2 4 2 2 2 3 3" xfId="18117"/>
    <cellStyle name="20% - Accent2 4 2 2 2 4" xfId="795"/>
    <cellStyle name="20% - Accent2 4 2 2 2 4 2" xfId="14703"/>
    <cellStyle name="20% - Accent2 4 2 2 2 4 2 2" xfId="28252"/>
    <cellStyle name="20% - Accent2 4 2 2 2 4 3" xfId="18118"/>
    <cellStyle name="20% - Accent2 4 2 2 2 5" xfId="796"/>
    <cellStyle name="20% - Accent2 4 2 2 2 5 2" xfId="16893"/>
    <cellStyle name="20% - Accent2 4 2 2 2 5 2 2" xfId="30300"/>
    <cellStyle name="20% - Accent2 4 2 2 2 5 3" xfId="18119"/>
    <cellStyle name="20% - Accent2 4 2 2 2 6" xfId="8932"/>
    <cellStyle name="20% - Accent2 4 2 2 2 6 2" xfId="23407"/>
    <cellStyle name="20% - Accent2 4 2 2 2 7" xfId="18115"/>
    <cellStyle name="20% - Accent2 4 2 2 3" xfId="797"/>
    <cellStyle name="20% - Accent2 4 2 2 3 2" xfId="798"/>
    <cellStyle name="20% - Accent2 4 2 2 3 2 2" xfId="14704"/>
    <cellStyle name="20% - Accent2 4 2 2 3 2 2 2" xfId="28253"/>
    <cellStyle name="20% - Accent2 4 2 2 3 2 3" xfId="18121"/>
    <cellStyle name="20% - Accent2 4 2 2 3 3" xfId="10656"/>
    <cellStyle name="20% - Accent2 4 2 2 3 3 2" xfId="24598"/>
    <cellStyle name="20% - Accent2 4 2 2 3 4" xfId="18120"/>
    <cellStyle name="20% - Accent2 4 2 2 4" xfId="799"/>
    <cellStyle name="20% - Accent2 4 2 2 4 2" xfId="12281"/>
    <cellStyle name="20% - Accent2 4 2 2 4 2 2" xfId="25993"/>
    <cellStyle name="20% - Accent2 4 2 2 4 3" xfId="18122"/>
    <cellStyle name="20% - Accent2 4 2 2 5" xfId="800"/>
    <cellStyle name="20% - Accent2 4 2 2 5 2" xfId="11779"/>
    <cellStyle name="20% - Accent2 4 2 2 5 2 2" xfId="25494"/>
    <cellStyle name="20% - Accent2 4 2 2 5 3" xfId="18123"/>
    <cellStyle name="20% - Accent2 4 2 2 6" xfId="801"/>
    <cellStyle name="20% - Accent2 4 2 2 6 2" xfId="13845"/>
    <cellStyle name="20% - Accent2 4 2 2 6 2 2" xfId="27394"/>
    <cellStyle name="20% - Accent2 4 2 2 6 3" xfId="18124"/>
    <cellStyle name="20% - Accent2 4 2 2 7" xfId="802"/>
    <cellStyle name="20% - Accent2 4 2 2 7 2" xfId="14426"/>
    <cellStyle name="20% - Accent2 4 2 2 7 2 2" xfId="27975"/>
    <cellStyle name="20% - Accent2 4 2 2 7 3" xfId="18125"/>
    <cellStyle name="20% - Accent2 4 2 2 8" xfId="803"/>
    <cellStyle name="20% - Accent2 4 2 2 8 2" xfId="14702"/>
    <cellStyle name="20% - Accent2 4 2 2 8 2 2" xfId="28251"/>
    <cellStyle name="20% - Accent2 4 2 2 8 3" xfId="18126"/>
    <cellStyle name="20% - Accent2 4 2 2 9" xfId="804"/>
    <cellStyle name="20% - Accent2 4 2 2 9 2" xfId="16312"/>
    <cellStyle name="20% - Accent2 4 2 2 9 2 2" xfId="29719"/>
    <cellStyle name="20% - Accent2 4 2 2 9 3" xfId="18127"/>
    <cellStyle name="20% - Accent2 4 2 3" xfId="805"/>
    <cellStyle name="20% - Accent2 4 2 3 2" xfId="806"/>
    <cellStyle name="20% - Accent2 4 2 3 2 2" xfId="10658"/>
    <cellStyle name="20% - Accent2 4 2 3 2 2 2" xfId="24600"/>
    <cellStyle name="20% - Accent2 4 2 3 2 3" xfId="18129"/>
    <cellStyle name="20% - Accent2 4 2 3 3" xfId="807"/>
    <cellStyle name="20% - Accent2 4 2 3 3 2" xfId="11762"/>
    <cellStyle name="20% - Accent2 4 2 3 3 2 2" xfId="25477"/>
    <cellStyle name="20% - Accent2 4 2 3 3 3" xfId="18130"/>
    <cellStyle name="20% - Accent2 4 2 3 4" xfId="808"/>
    <cellStyle name="20% - Accent2 4 2 3 4 2" xfId="14705"/>
    <cellStyle name="20% - Accent2 4 2 3 4 2 2" xfId="28254"/>
    <cellStyle name="20% - Accent2 4 2 3 4 3" xfId="18131"/>
    <cellStyle name="20% - Accent2 4 2 3 5" xfId="809"/>
    <cellStyle name="20% - Accent2 4 2 3 5 2" xfId="16604"/>
    <cellStyle name="20% - Accent2 4 2 3 5 2 2" xfId="30011"/>
    <cellStyle name="20% - Accent2 4 2 3 5 3" xfId="18132"/>
    <cellStyle name="20% - Accent2 4 2 3 6" xfId="8933"/>
    <cellStyle name="20% - Accent2 4 2 3 6 2" xfId="23408"/>
    <cellStyle name="20% - Accent2 4 2 3 7" xfId="18128"/>
    <cellStyle name="20% - Accent2 4 2 4" xfId="810"/>
    <cellStyle name="20% - Accent2 4 2 4 2" xfId="811"/>
    <cellStyle name="20% - Accent2 4 2 4 2 2" xfId="14706"/>
    <cellStyle name="20% - Accent2 4 2 4 2 2 2" xfId="28255"/>
    <cellStyle name="20% - Accent2 4 2 4 2 3" xfId="18134"/>
    <cellStyle name="20% - Accent2 4 2 4 3" xfId="10655"/>
    <cellStyle name="20% - Accent2 4 2 4 3 2" xfId="24597"/>
    <cellStyle name="20% - Accent2 4 2 4 4" xfId="18133"/>
    <cellStyle name="20% - Accent2 4 2 5" xfId="812"/>
    <cellStyle name="20% - Accent2 4 2 5 2" xfId="11981"/>
    <cellStyle name="20% - Accent2 4 2 5 2 2" xfId="25696"/>
    <cellStyle name="20% - Accent2 4 2 5 3" xfId="18135"/>
    <cellStyle name="20% - Accent2 4 2 6" xfId="813"/>
    <cellStyle name="20% - Accent2 4 2 6 2" xfId="12746"/>
    <cellStyle name="20% - Accent2 4 2 6 2 2" xfId="26458"/>
    <cellStyle name="20% - Accent2 4 2 6 3" xfId="18136"/>
    <cellStyle name="20% - Accent2 4 2 7" xfId="814"/>
    <cellStyle name="20% - Accent2 4 2 7 2" xfId="13556"/>
    <cellStyle name="20% - Accent2 4 2 7 2 2" xfId="27105"/>
    <cellStyle name="20% - Accent2 4 2 7 3" xfId="18137"/>
    <cellStyle name="20% - Accent2 4 2 8" xfId="815"/>
    <cellStyle name="20% - Accent2 4 2 8 2" xfId="14137"/>
    <cellStyle name="20% - Accent2 4 2 8 2 2" xfId="27686"/>
    <cellStyle name="20% - Accent2 4 2 8 3" xfId="18138"/>
    <cellStyle name="20% - Accent2 4 2 9" xfId="816"/>
    <cellStyle name="20% - Accent2 4 2 9 2" xfId="14701"/>
    <cellStyle name="20% - Accent2 4 2 9 2 2" xfId="28250"/>
    <cellStyle name="20% - Accent2 4 2 9 3" xfId="18139"/>
    <cellStyle name="20% - Accent2 4 3" xfId="817"/>
    <cellStyle name="20% - Accent2 4 3 10" xfId="8934"/>
    <cellStyle name="20% - Accent2 4 3 10 2" xfId="23409"/>
    <cellStyle name="20% - Accent2 4 3 11" xfId="18140"/>
    <cellStyle name="20% - Accent2 4 3 2" xfId="818"/>
    <cellStyle name="20% - Accent2 4 3 2 2" xfId="819"/>
    <cellStyle name="20% - Accent2 4 3 2 2 2" xfId="10660"/>
    <cellStyle name="20% - Accent2 4 3 2 2 2 2" xfId="24602"/>
    <cellStyle name="20% - Accent2 4 3 2 2 3" xfId="18142"/>
    <cellStyle name="20% - Accent2 4 3 2 3" xfId="820"/>
    <cellStyle name="20% - Accent2 4 3 2 3 2" xfId="12584"/>
    <cellStyle name="20% - Accent2 4 3 2 3 2 2" xfId="26296"/>
    <cellStyle name="20% - Accent2 4 3 2 3 3" xfId="18143"/>
    <cellStyle name="20% - Accent2 4 3 2 4" xfId="821"/>
    <cellStyle name="20% - Accent2 4 3 2 4 2" xfId="14708"/>
    <cellStyle name="20% - Accent2 4 3 2 4 2 2" xfId="28257"/>
    <cellStyle name="20% - Accent2 4 3 2 4 3" xfId="18144"/>
    <cellStyle name="20% - Accent2 4 3 2 5" xfId="822"/>
    <cellStyle name="20% - Accent2 4 3 2 5 2" xfId="16753"/>
    <cellStyle name="20% - Accent2 4 3 2 5 2 2" xfId="30160"/>
    <cellStyle name="20% - Accent2 4 3 2 5 3" xfId="18145"/>
    <cellStyle name="20% - Accent2 4 3 2 6" xfId="8935"/>
    <cellStyle name="20% - Accent2 4 3 2 6 2" xfId="23410"/>
    <cellStyle name="20% - Accent2 4 3 2 7" xfId="18141"/>
    <cellStyle name="20% - Accent2 4 3 3" xfId="823"/>
    <cellStyle name="20% - Accent2 4 3 3 2" xfId="824"/>
    <cellStyle name="20% - Accent2 4 3 3 2 2" xfId="14709"/>
    <cellStyle name="20% - Accent2 4 3 3 2 2 2" xfId="28258"/>
    <cellStyle name="20% - Accent2 4 3 3 2 3" xfId="18147"/>
    <cellStyle name="20% - Accent2 4 3 3 3" xfId="10659"/>
    <cellStyle name="20% - Accent2 4 3 3 3 2" xfId="24601"/>
    <cellStyle name="20% - Accent2 4 3 3 4" xfId="18146"/>
    <cellStyle name="20% - Accent2 4 3 4" xfId="825"/>
    <cellStyle name="20% - Accent2 4 3 4 2" xfId="12141"/>
    <cellStyle name="20% - Accent2 4 3 4 2 2" xfId="25853"/>
    <cellStyle name="20% - Accent2 4 3 4 3" xfId="18148"/>
    <cellStyle name="20% - Accent2 4 3 5" xfId="826"/>
    <cellStyle name="20% - Accent2 4 3 5 2" xfId="11784"/>
    <cellStyle name="20% - Accent2 4 3 5 2 2" xfId="25499"/>
    <cellStyle name="20% - Accent2 4 3 5 3" xfId="18149"/>
    <cellStyle name="20% - Accent2 4 3 6" xfId="827"/>
    <cellStyle name="20% - Accent2 4 3 6 2" xfId="13705"/>
    <cellStyle name="20% - Accent2 4 3 6 2 2" xfId="27254"/>
    <cellStyle name="20% - Accent2 4 3 6 3" xfId="18150"/>
    <cellStyle name="20% - Accent2 4 3 7" xfId="828"/>
    <cellStyle name="20% - Accent2 4 3 7 2" xfId="14286"/>
    <cellStyle name="20% - Accent2 4 3 7 2 2" xfId="27835"/>
    <cellStyle name="20% - Accent2 4 3 7 3" xfId="18151"/>
    <cellStyle name="20% - Accent2 4 3 8" xfId="829"/>
    <cellStyle name="20% - Accent2 4 3 8 2" xfId="14707"/>
    <cellStyle name="20% - Accent2 4 3 8 2 2" xfId="28256"/>
    <cellStyle name="20% - Accent2 4 3 8 3" xfId="18152"/>
    <cellStyle name="20% - Accent2 4 3 9" xfId="830"/>
    <cellStyle name="20% - Accent2 4 3 9 2" xfId="16172"/>
    <cellStyle name="20% - Accent2 4 3 9 2 2" xfId="29579"/>
    <cellStyle name="20% - Accent2 4 3 9 3" xfId="18153"/>
    <cellStyle name="20% - Accent2 4 4" xfId="831"/>
    <cellStyle name="20% - Accent2 4 4 2" xfId="832"/>
    <cellStyle name="20% - Accent2 4 4 2 2" xfId="10661"/>
    <cellStyle name="20% - Accent2 4 4 2 2 2" xfId="24603"/>
    <cellStyle name="20% - Accent2 4 4 2 3" xfId="18155"/>
    <cellStyle name="20% - Accent2 4 4 3" xfId="833"/>
    <cellStyle name="20% - Accent2 4 4 3 2" xfId="12541"/>
    <cellStyle name="20% - Accent2 4 4 3 2 2" xfId="26253"/>
    <cellStyle name="20% - Accent2 4 4 3 3" xfId="18156"/>
    <cellStyle name="20% - Accent2 4 4 4" xfId="834"/>
    <cellStyle name="20% - Accent2 4 4 4 2" xfId="14710"/>
    <cellStyle name="20% - Accent2 4 4 4 2 2" xfId="28259"/>
    <cellStyle name="20% - Accent2 4 4 4 3" xfId="18157"/>
    <cellStyle name="20% - Accent2 4 4 5" xfId="835"/>
    <cellStyle name="20% - Accent2 4 4 5 2" xfId="16461"/>
    <cellStyle name="20% - Accent2 4 4 5 2 2" xfId="29868"/>
    <cellStyle name="20% - Accent2 4 4 5 3" xfId="18158"/>
    <cellStyle name="20% - Accent2 4 4 6" xfId="8936"/>
    <cellStyle name="20% - Accent2 4 4 6 2" xfId="23411"/>
    <cellStyle name="20% - Accent2 4 4 7" xfId="18154"/>
    <cellStyle name="20% - Accent2 4 5" xfId="836"/>
    <cellStyle name="20% - Accent2 4 5 2" xfId="837"/>
    <cellStyle name="20% - Accent2 4 5 2 2" xfId="14711"/>
    <cellStyle name="20% - Accent2 4 5 2 2 2" xfId="28260"/>
    <cellStyle name="20% - Accent2 4 5 2 3" xfId="18160"/>
    <cellStyle name="20% - Accent2 4 5 3" xfId="10654"/>
    <cellStyle name="20% - Accent2 4 5 3 2" xfId="24596"/>
    <cellStyle name="20% - Accent2 4 5 4" xfId="18159"/>
    <cellStyle name="20% - Accent2 4 6" xfId="838"/>
    <cellStyle name="20% - Accent2 4 6 2" xfId="11812"/>
    <cellStyle name="20% - Accent2 4 6 2 2" xfId="25527"/>
    <cellStyle name="20% - Accent2 4 6 3" xfId="18161"/>
    <cellStyle name="20% - Accent2 4 7" xfId="839"/>
    <cellStyle name="20% - Accent2 4 7 2" xfId="12549"/>
    <cellStyle name="20% - Accent2 4 7 2 2" xfId="26261"/>
    <cellStyle name="20% - Accent2 4 7 3" xfId="18162"/>
    <cellStyle name="20% - Accent2 4 8" xfId="840"/>
    <cellStyle name="20% - Accent2 4 8 2" xfId="13413"/>
    <cellStyle name="20% - Accent2 4 8 2 2" xfId="26962"/>
    <cellStyle name="20% - Accent2 4 8 3" xfId="18163"/>
    <cellStyle name="20% - Accent2 4 9" xfId="841"/>
    <cellStyle name="20% - Accent2 4 9 2" xfId="13994"/>
    <cellStyle name="20% - Accent2 4 9 2 2" xfId="27543"/>
    <cellStyle name="20% - Accent2 4 9 3" xfId="18164"/>
    <cellStyle name="20% - Accent2 5" xfId="842"/>
    <cellStyle name="20% - Accent2 5 10" xfId="843"/>
    <cellStyle name="20% - Accent2 5 10 2" xfId="14712"/>
    <cellStyle name="20% - Accent2 5 10 2 2" xfId="28261"/>
    <cellStyle name="20% - Accent2 5 10 3" xfId="18166"/>
    <cellStyle name="20% - Accent2 5 11" xfId="844"/>
    <cellStyle name="20% - Accent2 5 11 2" xfId="15863"/>
    <cellStyle name="20% - Accent2 5 11 2 2" xfId="29270"/>
    <cellStyle name="20% - Accent2 5 11 3" xfId="18167"/>
    <cellStyle name="20% - Accent2 5 12" xfId="8937"/>
    <cellStyle name="20% - Accent2 5 12 2" xfId="23412"/>
    <cellStyle name="20% - Accent2 5 13" xfId="18165"/>
    <cellStyle name="20% - Accent2 5 2" xfId="845"/>
    <cellStyle name="20% - Accent2 5 2 10" xfId="846"/>
    <cellStyle name="20% - Accent2 5 2 10 2" xfId="16006"/>
    <cellStyle name="20% - Accent2 5 2 10 2 2" xfId="29413"/>
    <cellStyle name="20% - Accent2 5 2 10 3" xfId="18169"/>
    <cellStyle name="20% - Accent2 5 2 11" xfId="8938"/>
    <cellStyle name="20% - Accent2 5 2 11 2" xfId="23413"/>
    <cellStyle name="20% - Accent2 5 2 12" xfId="18168"/>
    <cellStyle name="20% - Accent2 5 2 2" xfId="847"/>
    <cellStyle name="20% - Accent2 5 2 2 10" xfId="8939"/>
    <cellStyle name="20% - Accent2 5 2 2 10 2" xfId="23414"/>
    <cellStyle name="20% - Accent2 5 2 2 11" xfId="18170"/>
    <cellStyle name="20% - Accent2 5 2 2 2" xfId="848"/>
    <cellStyle name="20% - Accent2 5 2 2 2 2" xfId="849"/>
    <cellStyle name="20% - Accent2 5 2 2 2 2 2" xfId="10665"/>
    <cellStyle name="20% - Accent2 5 2 2 2 2 2 2" xfId="24607"/>
    <cellStyle name="20% - Accent2 5 2 2 2 2 3" xfId="18172"/>
    <cellStyle name="20% - Accent2 5 2 2 2 3" xfId="850"/>
    <cellStyle name="20% - Accent2 5 2 2 2 3 2" xfId="12473"/>
    <cellStyle name="20% - Accent2 5 2 2 2 3 2 2" xfId="26185"/>
    <cellStyle name="20% - Accent2 5 2 2 2 3 3" xfId="18173"/>
    <cellStyle name="20% - Accent2 5 2 2 2 4" xfId="851"/>
    <cellStyle name="20% - Accent2 5 2 2 2 4 2" xfId="14715"/>
    <cellStyle name="20% - Accent2 5 2 2 2 4 2 2" xfId="28264"/>
    <cellStyle name="20% - Accent2 5 2 2 2 4 3" xfId="18174"/>
    <cellStyle name="20% - Accent2 5 2 2 2 5" xfId="852"/>
    <cellStyle name="20% - Accent2 5 2 2 2 5 2" xfId="16876"/>
    <cellStyle name="20% - Accent2 5 2 2 2 5 2 2" xfId="30283"/>
    <cellStyle name="20% - Accent2 5 2 2 2 5 3" xfId="18175"/>
    <cellStyle name="20% - Accent2 5 2 2 2 6" xfId="8940"/>
    <cellStyle name="20% - Accent2 5 2 2 2 6 2" xfId="23415"/>
    <cellStyle name="20% - Accent2 5 2 2 2 7" xfId="18171"/>
    <cellStyle name="20% - Accent2 5 2 2 3" xfId="853"/>
    <cellStyle name="20% - Accent2 5 2 2 3 2" xfId="854"/>
    <cellStyle name="20% - Accent2 5 2 2 3 2 2" xfId="14716"/>
    <cellStyle name="20% - Accent2 5 2 2 3 2 2 2" xfId="28265"/>
    <cellStyle name="20% - Accent2 5 2 2 3 2 3" xfId="18177"/>
    <cellStyle name="20% - Accent2 5 2 2 3 3" xfId="10664"/>
    <cellStyle name="20% - Accent2 5 2 2 3 3 2" xfId="24606"/>
    <cellStyle name="20% - Accent2 5 2 2 3 4" xfId="18176"/>
    <cellStyle name="20% - Accent2 5 2 2 4" xfId="855"/>
    <cellStyle name="20% - Accent2 5 2 2 4 2" xfId="12264"/>
    <cellStyle name="20% - Accent2 5 2 2 4 2 2" xfId="25976"/>
    <cellStyle name="20% - Accent2 5 2 2 4 3" xfId="18178"/>
    <cellStyle name="20% - Accent2 5 2 2 5" xfId="856"/>
    <cellStyle name="20% - Accent2 5 2 2 5 2" xfId="12566"/>
    <cellStyle name="20% - Accent2 5 2 2 5 2 2" xfId="26278"/>
    <cellStyle name="20% - Accent2 5 2 2 5 3" xfId="18179"/>
    <cellStyle name="20% - Accent2 5 2 2 6" xfId="857"/>
    <cellStyle name="20% - Accent2 5 2 2 6 2" xfId="13828"/>
    <cellStyle name="20% - Accent2 5 2 2 6 2 2" xfId="27377"/>
    <cellStyle name="20% - Accent2 5 2 2 6 3" xfId="18180"/>
    <cellStyle name="20% - Accent2 5 2 2 7" xfId="858"/>
    <cellStyle name="20% - Accent2 5 2 2 7 2" xfId="14409"/>
    <cellStyle name="20% - Accent2 5 2 2 7 2 2" xfId="27958"/>
    <cellStyle name="20% - Accent2 5 2 2 7 3" xfId="18181"/>
    <cellStyle name="20% - Accent2 5 2 2 8" xfId="859"/>
    <cellStyle name="20% - Accent2 5 2 2 8 2" xfId="14714"/>
    <cellStyle name="20% - Accent2 5 2 2 8 2 2" xfId="28263"/>
    <cellStyle name="20% - Accent2 5 2 2 8 3" xfId="18182"/>
    <cellStyle name="20% - Accent2 5 2 2 9" xfId="860"/>
    <cellStyle name="20% - Accent2 5 2 2 9 2" xfId="16295"/>
    <cellStyle name="20% - Accent2 5 2 2 9 2 2" xfId="29702"/>
    <cellStyle name="20% - Accent2 5 2 2 9 3" xfId="18183"/>
    <cellStyle name="20% - Accent2 5 2 3" xfId="861"/>
    <cellStyle name="20% - Accent2 5 2 3 2" xfId="862"/>
    <cellStyle name="20% - Accent2 5 2 3 2 2" xfId="10666"/>
    <cellStyle name="20% - Accent2 5 2 3 2 2 2" xfId="24608"/>
    <cellStyle name="20% - Accent2 5 2 3 2 3" xfId="18185"/>
    <cellStyle name="20% - Accent2 5 2 3 3" xfId="863"/>
    <cellStyle name="20% - Accent2 5 2 3 3 2" xfId="12446"/>
    <cellStyle name="20% - Accent2 5 2 3 3 2 2" xfId="26158"/>
    <cellStyle name="20% - Accent2 5 2 3 3 3" xfId="18186"/>
    <cellStyle name="20% - Accent2 5 2 3 4" xfId="864"/>
    <cellStyle name="20% - Accent2 5 2 3 4 2" xfId="14717"/>
    <cellStyle name="20% - Accent2 5 2 3 4 2 2" xfId="28266"/>
    <cellStyle name="20% - Accent2 5 2 3 4 3" xfId="18187"/>
    <cellStyle name="20% - Accent2 5 2 3 5" xfId="865"/>
    <cellStyle name="20% - Accent2 5 2 3 5 2" xfId="16587"/>
    <cellStyle name="20% - Accent2 5 2 3 5 2 2" xfId="29994"/>
    <cellStyle name="20% - Accent2 5 2 3 5 3" xfId="18188"/>
    <cellStyle name="20% - Accent2 5 2 3 6" xfId="8941"/>
    <cellStyle name="20% - Accent2 5 2 3 6 2" xfId="23416"/>
    <cellStyle name="20% - Accent2 5 2 3 7" xfId="18184"/>
    <cellStyle name="20% - Accent2 5 2 4" xfId="866"/>
    <cellStyle name="20% - Accent2 5 2 4 2" xfId="867"/>
    <cellStyle name="20% - Accent2 5 2 4 2 2" xfId="14718"/>
    <cellStyle name="20% - Accent2 5 2 4 2 2 2" xfId="28267"/>
    <cellStyle name="20% - Accent2 5 2 4 2 3" xfId="18190"/>
    <cellStyle name="20% - Accent2 5 2 4 3" xfId="10663"/>
    <cellStyle name="20% - Accent2 5 2 4 3 2" xfId="24605"/>
    <cellStyle name="20% - Accent2 5 2 4 4" xfId="18189"/>
    <cellStyle name="20% - Accent2 5 2 5" xfId="868"/>
    <cellStyle name="20% - Accent2 5 2 5 2" xfId="11964"/>
    <cellStyle name="20% - Accent2 5 2 5 2 2" xfId="25679"/>
    <cellStyle name="20% - Accent2 5 2 5 3" xfId="18191"/>
    <cellStyle name="20% - Accent2 5 2 6" xfId="869"/>
    <cellStyle name="20% - Accent2 5 2 6 2" xfId="12503"/>
    <cellStyle name="20% - Accent2 5 2 6 2 2" xfId="26215"/>
    <cellStyle name="20% - Accent2 5 2 6 3" xfId="18192"/>
    <cellStyle name="20% - Accent2 5 2 7" xfId="870"/>
    <cellStyle name="20% - Accent2 5 2 7 2" xfId="13539"/>
    <cellStyle name="20% - Accent2 5 2 7 2 2" xfId="27088"/>
    <cellStyle name="20% - Accent2 5 2 7 3" xfId="18193"/>
    <cellStyle name="20% - Accent2 5 2 8" xfId="871"/>
    <cellStyle name="20% - Accent2 5 2 8 2" xfId="14120"/>
    <cellStyle name="20% - Accent2 5 2 8 2 2" xfId="27669"/>
    <cellStyle name="20% - Accent2 5 2 8 3" xfId="18194"/>
    <cellStyle name="20% - Accent2 5 2 9" xfId="872"/>
    <cellStyle name="20% - Accent2 5 2 9 2" xfId="14713"/>
    <cellStyle name="20% - Accent2 5 2 9 2 2" xfId="28262"/>
    <cellStyle name="20% - Accent2 5 2 9 3" xfId="18195"/>
    <cellStyle name="20% - Accent2 5 3" xfId="873"/>
    <cellStyle name="20% - Accent2 5 3 10" xfId="8942"/>
    <cellStyle name="20% - Accent2 5 3 10 2" xfId="23417"/>
    <cellStyle name="20% - Accent2 5 3 11" xfId="18196"/>
    <cellStyle name="20% - Accent2 5 3 2" xfId="874"/>
    <cellStyle name="20% - Accent2 5 3 2 2" xfId="875"/>
    <cellStyle name="20% - Accent2 5 3 2 2 2" xfId="10668"/>
    <cellStyle name="20% - Accent2 5 3 2 2 2 2" xfId="24610"/>
    <cellStyle name="20% - Accent2 5 3 2 2 3" xfId="18198"/>
    <cellStyle name="20% - Accent2 5 3 2 3" xfId="876"/>
    <cellStyle name="20% - Accent2 5 3 2 3 2" xfId="12546"/>
    <cellStyle name="20% - Accent2 5 3 2 3 2 2" xfId="26258"/>
    <cellStyle name="20% - Accent2 5 3 2 3 3" xfId="18199"/>
    <cellStyle name="20% - Accent2 5 3 2 4" xfId="877"/>
    <cellStyle name="20% - Accent2 5 3 2 4 2" xfId="14720"/>
    <cellStyle name="20% - Accent2 5 3 2 4 2 2" xfId="28269"/>
    <cellStyle name="20% - Accent2 5 3 2 4 3" xfId="18200"/>
    <cellStyle name="20% - Accent2 5 3 2 5" xfId="878"/>
    <cellStyle name="20% - Accent2 5 3 2 5 2" xfId="16730"/>
    <cellStyle name="20% - Accent2 5 3 2 5 2 2" xfId="30137"/>
    <cellStyle name="20% - Accent2 5 3 2 5 3" xfId="18201"/>
    <cellStyle name="20% - Accent2 5 3 2 6" xfId="8943"/>
    <cellStyle name="20% - Accent2 5 3 2 6 2" xfId="23418"/>
    <cellStyle name="20% - Accent2 5 3 2 7" xfId="18197"/>
    <cellStyle name="20% - Accent2 5 3 3" xfId="879"/>
    <cellStyle name="20% - Accent2 5 3 3 2" xfId="880"/>
    <cellStyle name="20% - Accent2 5 3 3 2 2" xfId="14721"/>
    <cellStyle name="20% - Accent2 5 3 3 2 2 2" xfId="28270"/>
    <cellStyle name="20% - Accent2 5 3 3 2 3" xfId="18203"/>
    <cellStyle name="20% - Accent2 5 3 3 3" xfId="10667"/>
    <cellStyle name="20% - Accent2 5 3 3 3 2" xfId="24609"/>
    <cellStyle name="20% - Accent2 5 3 3 4" xfId="18202"/>
    <cellStyle name="20% - Accent2 5 3 4" xfId="881"/>
    <cellStyle name="20% - Accent2 5 3 4 2" xfId="12118"/>
    <cellStyle name="20% - Accent2 5 3 4 2 2" xfId="25830"/>
    <cellStyle name="20% - Accent2 5 3 4 3" xfId="18204"/>
    <cellStyle name="20% - Accent2 5 3 5" xfId="882"/>
    <cellStyle name="20% - Accent2 5 3 5 2" xfId="11752"/>
    <cellStyle name="20% - Accent2 5 3 5 2 2" xfId="25467"/>
    <cellStyle name="20% - Accent2 5 3 5 3" xfId="18205"/>
    <cellStyle name="20% - Accent2 5 3 6" xfId="883"/>
    <cellStyle name="20% - Accent2 5 3 6 2" xfId="13682"/>
    <cellStyle name="20% - Accent2 5 3 6 2 2" xfId="27231"/>
    <cellStyle name="20% - Accent2 5 3 6 3" xfId="18206"/>
    <cellStyle name="20% - Accent2 5 3 7" xfId="884"/>
    <cellStyle name="20% - Accent2 5 3 7 2" xfId="14263"/>
    <cellStyle name="20% - Accent2 5 3 7 2 2" xfId="27812"/>
    <cellStyle name="20% - Accent2 5 3 7 3" xfId="18207"/>
    <cellStyle name="20% - Accent2 5 3 8" xfId="885"/>
    <cellStyle name="20% - Accent2 5 3 8 2" xfId="14719"/>
    <cellStyle name="20% - Accent2 5 3 8 2 2" xfId="28268"/>
    <cellStyle name="20% - Accent2 5 3 8 3" xfId="18208"/>
    <cellStyle name="20% - Accent2 5 3 9" xfId="886"/>
    <cellStyle name="20% - Accent2 5 3 9 2" xfId="16149"/>
    <cellStyle name="20% - Accent2 5 3 9 2 2" xfId="29556"/>
    <cellStyle name="20% - Accent2 5 3 9 3" xfId="18209"/>
    <cellStyle name="20% - Accent2 5 4" xfId="887"/>
    <cellStyle name="20% - Accent2 5 4 2" xfId="888"/>
    <cellStyle name="20% - Accent2 5 4 2 2" xfId="10669"/>
    <cellStyle name="20% - Accent2 5 4 2 2 2" xfId="24611"/>
    <cellStyle name="20% - Accent2 5 4 2 3" xfId="18211"/>
    <cellStyle name="20% - Accent2 5 4 3" xfId="889"/>
    <cellStyle name="20% - Accent2 5 4 3 2" xfId="12567"/>
    <cellStyle name="20% - Accent2 5 4 3 2 2" xfId="26279"/>
    <cellStyle name="20% - Accent2 5 4 3 3" xfId="18212"/>
    <cellStyle name="20% - Accent2 5 4 4" xfId="890"/>
    <cellStyle name="20% - Accent2 5 4 4 2" xfId="14722"/>
    <cellStyle name="20% - Accent2 5 4 4 2 2" xfId="28271"/>
    <cellStyle name="20% - Accent2 5 4 4 3" xfId="18213"/>
    <cellStyle name="20% - Accent2 5 4 5" xfId="891"/>
    <cellStyle name="20% - Accent2 5 4 5 2" xfId="16444"/>
    <cellStyle name="20% - Accent2 5 4 5 2 2" xfId="29851"/>
    <cellStyle name="20% - Accent2 5 4 5 3" xfId="18214"/>
    <cellStyle name="20% - Accent2 5 4 6" xfId="8944"/>
    <cellStyle name="20% - Accent2 5 4 6 2" xfId="23419"/>
    <cellStyle name="20% - Accent2 5 4 7" xfId="18210"/>
    <cellStyle name="20% - Accent2 5 5" xfId="892"/>
    <cellStyle name="20% - Accent2 5 5 2" xfId="893"/>
    <cellStyle name="20% - Accent2 5 5 2 2" xfId="14723"/>
    <cellStyle name="20% - Accent2 5 5 2 2 2" xfId="28272"/>
    <cellStyle name="20% - Accent2 5 5 2 3" xfId="18216"/>
    <cellStyle name="20% - Accent2 5 5 3" xfId="10662"/>
    <cellStyle name="20% - Accent2 5 5 3 2" xfId="24604"/>
    <cellStyle name="20% - Accent2 5 5 4" xfId="18215"/>
    <cellStyle name="20% - Accent2 5 6" xfId="894"/>
    <cellStyle name="20% - Accent2 5 6 2" xfId="11795"/>
    <cellStyle name="20% - Accent2 5 6 2 2" xfId="25510"/>
    <cellStyle name="20% - Accent2 5 6 3" xfId="18217"/>
    <cellStyle name="20% - Accent2 5 7" xfId="895"/>
    <cellStyle name="20% - Accent2 5 7 2" xfId="12412"/>
    <cellStyle name="20% - Accent2 5 7 2 2" xfId="26124"/>
    <cellStyle name="20% - Accent2 5 7 3" xfId="18218"/>
    <cellStyle name="20% - Accent2 5 8" xfId="896"/>
    <cellStyle name="20% - Accent2 5 8 2" xfId="13396"/>
    <cellStyle name="20% - Accent2 5 8 2 2" xfId="26945"/>
    <cellStyle name="20% - Accent2 5 8 3" xfId="18219"/>
    <cellStyle name="20% - Accent2 5 9" xfId="897"/>
    <cellStyle name="20% - Accent2 5 9 2" xfId="13977"/>
    <cellStyle name="20% - Accent2 5 9 2 2" xfId="27526"/>
    <cellStyle name="20% - Accent2 5 9 3" xfId="18220"/>
    <cellStyle name="20% - Accent2 6" xfId="898"/>
    <cellStyle name="20% - Accent2 6 10" xfId="899"/>
    <cellStyle name="20% - Accent2 6 10 2" xfId="14724"/>
    <cellStyle name="20% - Accent2 6 10 2 2" xfId="28273"/>
    <cellStyle name="20% - Accent2 6 10 3" xfId="18222"/>
    <cellStyle name="20% - Accent2 6 11" xfId="900"/>
    <cellStyle name="20% - Accent2 6 11 2" xfId="15969"/>
    <cellStyle name="20% - Accent2 6 11 2 2" xfId="29376"/>
    <cellStyle name="20% - Accent2 6 11 3" xfId="18223"/>
    <cellStyle name="20% - Accent2 6 12" xfId="8945"/>
    <cellStyle name="20% - Accent2 6 12 2" xfId="23420"/>
    <cellStyle name="20% - Accent2 6 13" xfId="18221"/>
    <cellStyle name="20% - Accent2 6 2" xfId="901"/>
    <cellStyle name="20% - Accent2 6 2 10" xfId="902"/>
    <cellStyle name="20% - Accent2 6 2 10 2" xfId="16112"/>
    <cellStyle name="20% - Accent2 6 2 10 2 2" xfId="29519"/>
    <cellStyle name="20% - Accent2 6 2 10 3" xfId="18225"/>
    <cellStyle name="20% - Accent2 6 2 11" xfId="8946"/>
    <cellStyle name="20% - Accent2 6 2 11 2" xfId="23421"/>
    <cellStyle name="20% - Accent2 6 2 12" xfId="18224"/>
    <cellStyle name="20% - Accent2 6 2 2" xfId="903"/>
    <cellStyle name="20% - Accent2 6 2 2 10" xfId="8947"/>
    <cellStyle name="20% - Accent2 6 2 2 10 2" xfId="23422"/>
    <cellStyle name="20% - Accent2 6 2 2 11" xfId="18226"/>
    <cellStyle name="20% - Accent2 6 2 2 2" xfId="904"/>
    <cellStyle name="20% - Accent2 6 2 2 2 2" xfId="905"/>
    <cellStyle name="20% - Accent2 6 2 2 2 2 2" xfId="10673"/>
    <cellStyle name="20% - Accent2 6 2 2 2 2 2 2" xfId="24615"/>
    <cellStyle name="20% - Accent2 6 2 2 2 2 3" xfId="18228"/>
    <cellStyle name="20% - Accent2 6 2 2 2 3" xfId="906"/>
    <cellStyle name="20% - Accent2 6 2 2 2 3 2" xfId="12693"/>
    <cellStyle name="20% - Accent2 6 2 2 2 3 2 2" xfId="26405"/>
    <cellStyle name="20% - Accent2 6 2 2 2 3 3" xfId="18229"/>
    <cellStyle name="20% - Accent2 6 2 2 2 4" xfId="907"/>
    <cellStyle name="20% - Accent2 6 2 2 2 4 2" xfId="14727"/>
    <cellStyle name="20% - Accent2 6 2 2 2 4 2 2" xfId="28276"/>
    <cellStyle name="20% - Accent2 6 2 2 2 4 3" xfId="18230"/>
    <cellStyle name="20% - Accent2 6 2 2 2 5" xfId="908"/>
    <cellStyle name="20% - Accent2 6 2 2 2 5 2" xfId="16982"/>
    <cellStyle name="20% - Accent2 6 2 2 2 5 2 2" xfId="30389"/>
    <cellStyle name="20% - Accent2 6 2 2 2 5 3" xfId="18231"/>
    <cellStyle name="20% - Accent2 6 2 2 2 6" xfId="8948"/>
    <cellStyle name="20% - Accent2 6 2 2 2 6 2" xfId="23423"/>
    <cellStyle name="20% - Accent2 6 2 2 2 7" xfId="18227"/>
    <cellStyle name="20% - Accent2 6 2 2 3" xfId="909"/>
    <cellStyle name="20% - Accent2 6 2 2 3 2" xfId="910"/>
    <cellStyle name="20% - Accent2 6 2 2 3 2 2" xfId="14728"/>
    <cellStyle name="20% - Accent2 6 2 2 3 2 2 2" xfId="28277"/>
    <cellStyle name="20% - Accent2 6 2 2 3 2 3" xfId="18233"/>
    <cellStyle name="20% - Accent2 6 2 2 3 3" xfId="10672"/>
    <cellStyle name="20% - Accent2 6 2 2 3 3 2" xfId="24614"/>
    <cellStyle name="20% - Accent2 6 2 2 3 4" xfId="18232"/>
    <cellStyle name="20% - Accent2 6 2 2 4" xfId="911"/>
    <cellStyle name="20% - Accent2 6 2 2 4 2" xfId="12370"/>
    <cellStyle name="20% - Accent2 6 2 2 4 2 2" xfId="26082"/>
    <cellStyle name="20% - Accent2 6 2 2 4 3" xfId="18234"/>
    <cellStyle name="20% - Accent2 6 2 2 5" xfId="912"/>
    <cellStyle name="20% - Accent2 6 2 2 5 2" xfId="12785"/>
    <cellStyle name="20% - Accent2 6 2 2 5 2 2" xfId="26497"/>
    <cellStyle name="20% - Accent2 6 2 2 5 3" xfId="18235"/>
    <cellStyle name="20% - Accent2 6 2 2 6" xfId="913"/>
    <cellStyle name="20% - Accent2 6 2 2 6 2" xfId="13934"/>
    <cellStyle name="20% - Accent2 6 2 2 6 2 2" xfId="27483"/>
    <cellStyle name="20% - Accent2 6 2 2 6 3" xfId="18236"/>
    <cellStyle name="20% - Accent2 6 2 2 7" xfId="914"/>
    <cellStyle name="20% - Accent2 6 2 2 7 2" xfId="14515"/>
    <cellStyle name="20% - Accent2 6 2 2 7 2 2" xfId="28064"/>
    <cellStyle name="20% - Accent2 6 2 2 7 3" xfId="18237"/>
    <cellStyle name="20% - Accent2 6 2 2 8" xfId="915"/>
    <cellStyle name="20% - Accent2 6 2 2 8 2" xfId="14726"/>
    <cellStyle name="20% - Accent2 6 2 2 8 2 2" xfId="28275"/>
    <cellStyle name="20% - Accent2 6 2 2 8 3" xfId="18238"/>
    <cellStyle name="20% - Accent2 6 2 2 9" xfId="916"/>
    <cellStyle name="20% - Accent2 6 2 2 9 2" xfId="16401"/>
    <cellStyle name="20% - Accent2 6 2 2 9 2 2" xfId="29808"/>
    <cellStyle name="20% - Accent2 6 2 2 9 3" xfId="18239"/>
    <cellStyle name="20% - Accent2 6 2 3" xfId="917"/>
    <cellStyle name="20% - Accent2 6 2 3 2" xfId="918"/>
    <cellStyle name="20% - Accent2 6 2 3 2 2" xfId="10674"/>
    <cellStyle name="20% - Accent2 6 2 3 2 2 2" xfId="24616"/>
    <cellStyle name="20% - Accent2 6 2 3 2 3" xfId="18241"/>
    <cellStyle name="20% - Accent2 6 2 3 3" xfId="919"/>
    <cellStyle name="20% - Accent2 6 2 3 3 2" xfId="11857"/>
    <cellStyle name="20% - Accent2 6 2 3 3 2 2" xfId="25572"/>
    <cellStyle name="20% - Accent2 6 2 3 3 3" xfId="18242"/>
    <cellStyle name="20% - Accent2 6 2 3 4" xfId="920"/>
    <cellStyle name="20% - Accent2 6 2 3 4 2" xfId="14729"/>
    <cellStyle name="20% - Accent2 6 2 3 4 2 2" xfId="28278"/>
    <cellStyle name="20% - Accent2 6 2 3 4 3" xfId="18243"/>
    <cellStyle name="20% - Accent2 6 2 3 5" xfId="921"/>
    <cellStyle name="20% - Accent2 6 2 3 5 2" xfId="16693"/>
    <cellStyle name="20% - Accent2 6 2 3 5 2 2" xfId="30100"/>
    <cellStyle name="20% - Accent2 6 2 3 5 3" xfId="18244"/>
    <cellStyle name="20% - Accent2 6 2 3 6" xfId="8949"/>
    <cellStyle name="20% - Accent2 6 2 3 6 2" xfId="23424"/>
    <cellStyle name="20% - Accent2 6 2 3 7" xfId="18240"/>
    <cellStyle name="20% - Accent2 6 2 4" xfId="922"/>
    <cellStyle name="20% - Accent2 6 2 4 2" xfId="923"/>
    <cellStyle name="20% - Accent2 6 2 4 2 2" xfId="14730"/>
    <cellStyle name="20% - Accent2 6 2 4 2 2 2" xfId="28279"/>
    <cellStyle name="20% - Accent2 6 2 4 2 3" xfId="18246"/>
    <cellStyle name="20% - Accent2 6 2 4 3" xfId="10671"/>
    <cellStyle name="20% - Accent2 6 2 4 3 2" xfId="24613"/>
    <cellStyle name="20% - Accent2 6 2 4 4" xfId="18245"/>
    <cellStyle name="20% - Accent2 6 2 5" xfId="924"/>
    <cellStyle name="20% - Accent2 6 2 5 2" xfId="12070"/>
    <cellStyle name="20% - Accent2 6 2 5 2 2" xfId="25785"/>
    <cellStyle name="20% - Accent2 6 2 5 3" xfId="18247"/>
    <cellStyle name="20% - Accent2 6 2 6" xfId="925"/>
    <cellStyle name="20% - Accent2 6 2 6 2" xfId="12784"/>
    <cellStyle name="20% - Accent2 6 2 6 2 2" xfId="26496"/>
    <cellStyle name="20% - Accent2 6 2 6 3" xfId="18248"/>
    <cellStyle name="20% - Accent2 6 2 7" xfId="926"/>
    <cellStyle name="20% - Accent2 6 2 7 2" xfId="13645"/>
    <cellStyle name="20% - Accent2 6 2 7 2 2" xfId="27194"/>
    <cellStyle name="20% - Accent2 6 2 7 3" xfId="18249"/>
    <cellStyle name="20% - Accent2 6 2 8" xfId="927"/>
    <cellStyle name="20% - Accent2 6 2 8 2" xfId="14226"/>
    <cellStyle name="20% - Accent2 6 2 8 2 2" xfId="27775"/>
    <cellStyle name="20% - Accent2 6 2 8 3" xfId="18250"/>
    <cellStyle name="20% - Accent2 6 2 9" xfId="928"/>
    <cellStyle name="20% - Accent2 6 2 9 2" xfId="14725"/>
    <cellStyle name="20% - Accent2 6 2 9 2 2" xfId="28274"/>
    <cellStyle name="20% - Accent2 6 2 9 3" xfId="18251"/>
    <cellStyle name="20% - Accent2 6 3" xfId="929"/>
    <cellStyle name="20% - Accent2 6 3 10" xfId="8950"/>
    <cellStyle name="20% - Accent2 6 3 10 2" xfId="23425"/>
    <cellStyle name="20% - Accent2 6 3 11" xfId="18252"/>
    <cellStyle name="20% - Accent2 6 3 2" xfId="930"/>
    <cellStyle name="20% - Accent2 6 3 2 2" xfId="931"/>
    <cellStyle name="20% - Accent2 6 3 2 2 2" xfId="10676"/>
    <cellStyle name="20% - Accent2 6 3 2 2 2 2" xfId="24618"/>
    <cellStyle name="20% - Accent2 6 3 2 2 3" xfId="18254"/>
    <cellStyle name="20% - Accent2 6 3 2 3" xfId="932"/>
    <cellStyle name="20% - Accent2 6 3 2 3 2" xfId="12726"/>
    <cellStyle name="20% - Accent2 6 3 2 3 2 2" xfId="26438"/>
    <cellStyle name="20% - Accent2 6 3 2 3 3" xfId="18255"/>
    <cellStyle name="20% - Accent2 6 3 2 4" xfId="933"/>
    <cellStyle name="20% - Accent2 6 3 2 4 2" xfId="14732"/>
    <cellStyle name="20% - Accent2 6 3 2 4 2 2" xfId="28281"/>
    <cellStyle name="20% - Accent2 6 3 2 4 3" xfId="18256"/>
    <cellStyle name="20% - Accent2 6 3 2 5" xfId="934"/>
    <cellStyle name="20% - Accent2 6 3 2 5 2" xfId="16839"/>
    <cellStyle name="20% - Accent2 6 3 2 5 2 2" xfId="30246"/>
    <cellStyle name="20% - Accent2 6 3 2 5 3" xfId="18257"/>
    <cellStyle name="20% - Accent2 6 3 2 6" xfId="8951"/>
    <cellStyle name="20% - Accent2 6 3 2 6 2" xfId="23426"/>
    <cellStyle name="20% - Accent2 6 3 2 7" xfId="18253"/>
    <cellStyle name="20% - Accent2 6 3 3" xfId="935"/>
    <cellStyle name="20% - Accent2 6 3 3 2" xfId="936"/>
    <cellStyle name="20% - Accent2 6 3 3 2 2" xfId="14733"/>
    <cellStyle name="20% - Accent2 6 3 3 2 2 2" xfId="28282"/>
    <cellStyle name="20% - Accent2 6 3 3 2 3" xfId="18259"/>
    <cellStyle name="20% - Accent2 6 3 3 3" xfId="10675"/>
    <cellStyle name="20% - Accent2 6 3 3 3 2" xfId="24617"/>
    <cellStyle name="20% - Accent2 6 3 3 4" xfId="18258"/>
    <cellStyle name="20% - Accent2 6 3 4" xfId="937"/>
    <cellStyle name="20% - Accent2 6 3 4 2" xfId="12227"/>
    <cellStyle name="20% - Accent2 6 3 4 2 2" xfId="25939"/>
    <cellStyle name="20% - Accent2 6 3 4 3" xfId="18260"/>
    <cellStyle name="20% - Accent2 6 3 5" xfId="938"/>
    <cellStyle name="20% - Accent2 6 3 5 2" xfId="12731"/>
    <cellStyle name="20% - Accent2 6 3 5 2 2" xfId="26443"/>
    <cellStyle name="20% - Accent2 6 3 5 3" xfId="18261"/>
    <cellStyle name="20% - Accent2 6 3 6" xfId="939"/>
    <cellStyle name="20% - Accent2 6 3 6 2" xfId="13791"/>
    <cellStyle name="20% - Accent2 6 3 6 2 2" xfId="27340"/>
    <cellStyle name="20% - Accent2 6 3 6 3" xfId="18262"/>
    <cellStyle name="20% - Accent2 6 3 7" xfId="940"/>
    <cellStyle name="20% - Accent2 6 3 7 2" xfId="14372"/>
    <cellStyle name="20% - Accent2 6 3 7 2 2" xfId="27921"/>
    <cellStyle name="20% - Accent2 6 3 7 3" xfId="18263"/>
    <cellStyle name="20% - Accent2 6 3 8" xfId="941"/>
    <cellStyle name="20% - Accent2 6 3 8 2" xfId="14731"/>
    <cellStyle name="20% - Accent2 6 3 8 2 2" xfId="28280"/>
    <cellStyle name="20% - Accent2 6 3 8 3" xfId="18264"/>
    <cellStyle name="20% - Accent2 6 3 9" xfId="942"/>
    <cellStyle name="20% - Accent2 6 3 9 2" xfId="16258"/>
    <cellStyle name="20% - Accent2 6 3 9 2 2" xfId="29665"/>
    <cellStyle name="20% - Accent2 6 3 9 3" xfId="18265"/>
    <cellStyle name="20% - Accent2 6 4" xfId="943"/>
    <cellStyle name="20% - Accent2 6 4 2" xfId="944"/>
    <cellStyle name="20% - Accent2 6 4 2 2" xfId="10677"/>
    <cellStyle name="20% - Accent2 6 4 2 2 2" xfId="24619"/>
    <cellStyle name="20% - Accent2 6 4 2 3" xfId="18267"/>
    <cellStyle name="20% - Accent2 6 4 3" xfId="945"/>
    <cellStyle name="20% - Accent2 6 4 3 2" xfId="12753"/>
    <cellStyle name="20% - Accent2 6 4 3 2 2" xfId="26465"/>
    <cellStyle name="20% - Accent2 6 4 3 3" xfId="18268"/>
    <cellStyle name="20% - Accent2 6 4 4" xfId="946"/>
    <cellStyle name="20% - Accent2 6 4 4 2" xfId="14734"/>
    <cellStyle name="20% - Accent2 6 4 4 2 2" xfId="28283"/>
    <cellStyle name="20% - Accent2 6 4 4 3" xfId="18269"/>
    <cellStyle name="20% - Accent2 6 4 5" xfId="947"/>
    <cellStyle name="20% - Accent2 6 4 5 2" xfId="16550"/>
    <cellStyle name="20% - Accent2 6 4 5 2 2" xfId="29957"/>
    <cellStyle name="20% - Accent2 6 4 5 3" xfId="18270"/>
    <cellStyle name="20% - Accent2 6 4 6" xfId="8952"/>
    <cellStyle name="20% - Accent2 6 4 6 2" xfId="23427"/>
    <cellStyle name="20% - Accent2 6 4 7" xfId="18266"/>
    <cellStyle name="20% - Accent2 6 5" xfId="948"/>
    <cellStyle name="20% - Accent2 6 5 2" xfId="949"/>
    <cellStyle name="20% - Accent2 6 5 2 2" xfId="14735"/>
    <cellStyle name="20% - Accent2 6 5 2 2 2" xfId="28284"/>
    <cellStyle name="20% - Accent2 6 5 2 3" xfId="18272"/>
    <cellStyle name="20% - Accent2 6 5 3" xfId="10670"/>
    <cellStyle name="20% - Accent2 6 5 3 2" xfId="24612"/>
    <cellStyle name="20% - Accent2 6 5 4" xfId="18271"/>
    <cellStyle name="20% - Accent2 6 6" xfId="950"/>
    <cellStyle name="20% - Accent2 6 6 2" xfId="11925"/>
    <cellStyle name="20% - Accent2 6 6 2 2" xfId="25640"/>
    <cellStyle name="20% - Accent2 6 6 3" xfId="18273"/>
    <cellStyle name="20% - Accent2 6 7" xfId="951"/>
    <cellStyle name="20% - Accent2 6 7 2" xfId="12427"/>
    <cellStyle name="20% - Accent2 6 7 2 2" xfId="26139"/>
    <cellStyle name="20% - Accent2 6 7 3" xfId="18274"/>
    <cellStyle name="20% - Accent2 6 8" xfId="952"/>
    <cellStyle name="20% - Accent2 6 8 2" xfId="13502"/>
    <cellStyle name="20% - Accent2 6 8 2 2" xfId="27051"/>
    <cellStyle name="20% - Accent2 6 8 3" xfId="18275"/>
    <cellStyle name="20% - Accent2 6 9" xfId="953"/>
    <cellStyle name="20% - Accent2 6 9 2" xfId="14083"/>
    <cellStyle name="20% - Accent2 6 9 2 2" xfId="27632"/>
    <cellStyle name="20% - Accent2 6 9 3" xfId="18276"/>
    <cellStyle name="20% - Accent2 7" xfId="954"/>
    <cellStyle name="20% - Accent2 7 10" xfId="955"/>
    <cellStyle name="20% - Accent2 7 10 2" xfId="15990"/>
    <cellStyle name="20% - Accent2 7 10 2 2" xfId="29397"/>
    <cellStyle name="20% - Accent2 7 10 3" xfId="18278"/>
    <cellStyle name="20% - Accent2 7 11" xfId="8953"/>
    <cellStyle name="20% - Accent2 7 11 2" xfId="23428"/>
    <cellStyle name="20% - Accent2 7 12" xfId="18277"/>
    <cellStyle name="20% - Accent2 7 2" xfId="956"/>
    <cellStyle name="20% - Accent2 7 2 10" xfId="8954"/>
    <cellStyle name="20% - Accent2 7 2 10 2" xfId="23429"/>
    <cellStyle name="20% - Accent2 7 2 11" xfId="18279"/>
    <cellStyle name="20% - Accent2 7 2 2" xfId="957"/>
    <cellStyle name="20% - Accent2 7 2 2 2" xfId="958"/>
    <cellStyle name="20% - Accent2 7 2 2 2 2" xfId="10680"/>
    <cellStyle name="20% - Accent2 7 2 2 2 2 2" xfId="24622"/>
    <cellStyle name="20% - Accent2 7 2 2 2 3" xfId="18281"/>
    <cellStyle name="20% - Accent2 7 2 2 3" xfId="959"/>
    <cellStyle name="20% - Accent2 7 2 2 3 2" xfId="12483"/>
    <cellStyle name="20% - Accent2 7 2 2 3 2 2" xfId="26195"/>
    <cellStyle name="20% - Accent2 7 2 2 3 3" xfId="18282"/>
    <cellStyle name="20% - Accent2 7 2 2 4" xfId="960"/>
    <cellStyle name="20% - Accent2 7 2 2 4 2" xfId="14738"/>
    <cellStyle name="20% - Accent2 7 2 2 4 2 2" xfId="28287"/>
    <cellStyle name="20% - Accent2 7 2 2 4 3" xfId="18283"/>
    <cellStyle name="20% - Accent2 7 2 2 5" xfId="961"/>
    <cellStyle name="20% - Accent2 7 2 2 5 2" xfId="16860"/>
    <cellStyle name="20% - Accent2 7 2 2 5 2 2" xfId="30267"/>
    <cellStyle name="20% - Accent2 7 2 2 5 3" xfId="18284"/>
    <cellStyle name="20% - Accent2 7 2 2 6" xfId="8955"/>
    <cellStyle name="20% - Accent2 7 2 2 6 2" xfId="23430"/>
    <cellStyle name="20% - Accent2 7 2 2 7" xfId="18280"/>
    <cellStyle name="20% - Accent2 7 2 3" xfId="962"/>
    <cellStyle name="20% - Accent2 7 2 3 2" xfId="963"/>
    <cellStyle name="20% - Accent2 7 2 3 2 2" xfId="14739"/>
    <cellStyle name="20% - Accent2 7 2 3 2 2 2" xfId="28288"/>
    <cellStyle name="20% - Accent2 7 2 3 2 3" xfId="18286"/>
    <cellStyle name="20% - Accent2 7 2 3 3" xfId="10679"/>
    <cellStyle name="20% - Accent2 7 2 3 3 2" xfId="24621"/>
    <cellStyle name="20% - Accent2 7 2 3 4" xfId="18285"/>
    <cellStyle name="20% - Accent2 7 2 4" xfId="964"/>
    <cellStyle name="20% - Accent2 7 2 4 2" xfId="12248"/>
    <cellStyle name="20% - Accent2 7 2 4 2 2" xfId="25960"/>
    <cellStyle name="20% - Accent2 7 2 4 3" xfId="18287"/>
    <cellStyle name="20% - Accent2 7 2 5" xfId="965"/>
    <cellStyle name="20% - Accent2 7 2 5 2" xfId="11844"/>
    <cellStyle name="20% - Accent2 7 2 5 2 2" xfId="25559"/>
    <cellStyle name="20% - Accent2 7 2 5 3" xfId="18288"/>
    <cellStyle name="20% - Accent2 7 2 6" xfId="966"/>
    <cellStyle name="20% - Accent2 7 2 6 2" xfId="13812"/>
    <cellStyle name="20% - Accent2 7 2 6 2 2" xfId="27361"/>
    <cellStyle name="20% - Accent2 7 2 6 3" xfId="18289"/>
    <cellStyle name="20% - Accent2 7 2 7" xfId="967"/>
    <cellStyle name="20% - Accent2 7 2 7 2" xfId="14393"/>
    <cellStyle name="20% - Accent2 7 2 7 2 2" xfId="27942"/>
    <cellStyle name="20% - Accent2 7 2 7 3" xfId="18290"/>
    <cellStyle name="20% - Accent2 7 2 8" xfId="968"/>
    <cellStyle name="20% - Accent2 7 2 8 2" xfId="14737"/>
    <cellStyle name="20% - Accent2 7 2 8 2 2" xfId="28286"/>
    <cellStyle name="20% - Accent2 7 2 8 3" xfId="18291"/>
    <cellStyle name="20% - Accent2 7 2 9" xfId="969"/>
    <cellStyle name="20% - Accent2 7 2 9 2" xfId="16279"/>
    <cellStyle name="20% - Accent2 7 2 9 2 2" xfId="29686"/>
    <cellStyle name="20% - Accent2 7 2 9 3" xfId="18292"/>
    <cellStyle name="20% - Accent2 7 3" xfId="970"/>
    <cellStyle name="20% - Accent2 7 3 2" xfId="971"/>
    <cellStyle name="20% - Accent2 7 3 2 2" xfId="10681"/>
    <cellStyle name="20% - Accent2 7 3 2 2 2" xfId="24623"/>
    <cellStyle name="20% - Accent2 7 3 2 3" xfId="18294"/>
    <cellStyle name="20% - Accent2 7 3 3" xfId="972"/>
    <cellStyle name="20% - Accent2 7 3 3 2" xfId="12604"/>
    <cellStyle name="20% - Accent2 7 3 3 2 2" xfId="26316"/>
    <cellStyle name="20% - Accent2 7 3 3 3" xfId="18295"/>
    <cellStyle name="20% - Accent2 7 3 4" xfId="973"/>
    <cellStyle name="20% - Accent2 7 3 4 2" xfId="14740"/>
    <cellStyle name="20% - Accent2 7 3 4 2 2" xfId="28289"/>
    <cellStyle name="20% - Accent2 7 3 4 3" xfId="18296"/>
    <cellStyle name="20% - Accent2 7 3 5" xfId="974"/>
    <cellStyle name="20% - Accent2 7 3 5 2" xfId="16571"/>
    <cellStyle name="20% - Accent2 7 3 5 2 2" xfId="29978"/>
    <cellStyle name="20% - Accent2 7 3 5 3" xfId="18297"/>
    <cellStyle name="20% - Accent2 7 3 6" xfId="8956"/>
    <cellStyle name="20% - Accent2 7 3 6 2" xfId="23431"/>
    <cellStyle name="20% - Accent2 7 3 7" xfId="18293"/>
    <cellStyle name="20% - Accent2 7 4" xfId="975"/>
    <cellStyle name="20% - Accent2 7 4 2" xfId="976"/>
    <cellStyle name="20% - Accent2 7 4 2 2" xfId="14741"/>
    <cellStyle name="20% - Accent2 7 4 2 2 2" xfId="28290"/>
    <cellStyle name="20% - Accent2 7 4 2 3" xfId="18299"/>
    <cellStyle name="20% - Accent2 7 4 3" xfId="10678"/>
    <cellStyle name="20% - Accent2 7 4 3 2" xfId="24620"/>
    <cellStyle name="20% - Accent2 7 4 4" xfId="18298"/>
    <cellStyle name="20% - Accent2 7 5" xfId="977"/>
    <cellStyle name="20% - Accent2 7 5 2" xfId="11946"/>
    <cellStyle name="20% - Accent2 7 5 2 2" xfId="25661"/>
    <cellStyle name="20% - Accent2 7 5 3" xfId="18300"/>
    <cellStyle name="20% - Accent2 7 6" xfId="978"/>
    <cellStyle name="20% - Accent2 7 6 2" xfId="12586"/>
    <cellStyle name="20% - Accent2 7 6 2 2" xfId="26298"/>
    <cellStyle name="20% - Accent2 7 6 3" xfId="18301"/>
    <cellStyle name="20% - Accent2 7 7" xfId="979"/>
    <cellStyle name="20% - Accent2 7 7 2" xfId="13523"/>
    <cellStyle name="20% - Accent2 7 7 2 2" xfId="27072"/>
    <cellStyle name="20% - Accent2 7 7 3" xfId="18302"/>
    <cellStyle name="20% - Accent2 7 8" xfId="980"/>
    <cellStyle name="20% - Accent2 7 8 2" xfId="14104"/>
    <cellStyle name="20% - Accent2 7 8 2 2" xfId="27653"/>
    <cellStyle name="20% - Accent2 7 8 3" xfId="18303"/>
    <cellStyle name="20% - Accent2 7 9" xfId="981"/>
    <cellStyle name="20% - Accent2 7 9 2" xfId="14736"/>
    <cellStyle name="20% - Accent2 7 9 2 2" xfId="28285"/>
    <cellStyle name="20% - Accent2 7 9 3" xfId="18304"/>
    <cellStyle name="20% - Accent2 8" xfId="982"/>
    <cellStyle name="20% - Accent2 8 10" xfId="8957"/>
    <cellStyle name="20% - Accent2 8 10 2" xfId="23432"/>
    <cellStyle name="20% - Accent2 8 11" xfId="18305"/>
    <cellStyle name="20% - Accent2 8 2" xfId="983"/>
    <cellStyle name="20% - Accent2 8 2 2" xfId="984"/>
    <cellStyle name="20% - Accent2 8 2 2 2" xfId="10683"/>
    <cellStyle name="20% - Accent2 8 2 2 2 2" xfId="24625"/>
    <cellStyle name="20% - Accent2 8 2 2 3" xfId="18307"/>
    <cellStyle name="20% - Accent2 8 2 3" xfId="985"/>
    <cellStyle name="20% - Accent2 8 2 3 2" xfId="12797"/>
    <cellStyle name="20% - Accent2 8 2 3 2 2" xfId="26509"/>
    <cellStyle name="20% - Accent2 8 2 3 3" xfId="18308"/>
    <cellStyle name="20% - Accent2 8 2 4" xfId="986"/>
    <cellStyle name="20% - Accent2 8 2 4 2" xfId="14743"/>
    <cellStyle name="20% - Accent2 8 2 4 2 2" xfId="28292"/>
    <cellStyle name="20% - Accent2 8 2 4 3" xfId="18309"/>
    <cellStyle name="20% - Accent2 8 2 5" xfId="987"/>
    <cellStyle name="20% - Accent2 8 2 5 2" xfId="16713"/>
    <cellStyle name="20% - Accent2 8 2 5 2 2" xfId="30120"/>
    <cellStyle name="20% - Accent2 8 2 5 3" xfId="18310"/>
    <cellStyle name="20% - Accent2 8 2 6" xfId="8958"/>
    <cellStyle name="20% - Accent2 8 2 6 2" xfId="23433"/>
    <cellStyle name="20% - Accent2 8 2 7" xfId="18306"/>
    <cellStyle name="20% - Accent2 8 3" xfId="988"/>
    <cellStyle name="20% - Accent2 8 3 2" xfId="989"/>
    <cellStyle name="20% - Accent2 8 3 2 2" xfId="14744"/>
    <cellStyle name="20% - Accent2 8 3 2 2 2" xfId="28293"/>
    <cellStyle name="20% - Accent2 8 3 2 3" xfId="18312"/>
    <cellStyle name="20% - Accent2 8 3 3" xfId="10682"/>
    <cellStyle name="20% - Accent2 8 3 3 2" xfId="24624"/>
    <cellStyle name="20% - Accent2 8 3 4" xfId="18311"/>
    <cellStyle name="20% - Accent2 8 4" xfId="990"/>
    <cellStyle name="20% - Accent2 8 4 2" xfId="12091"/>
    <cellStyle name="20% - Accent2 8 4 2 2" xfId="25805"/>
    <cellStyle name="20% - Accent2 8 4 3" xfId="18313"/>
    <cellStyle name="20% - Accent2 8 5" xfId="991"/>
    <cellStyle name="20% - Accent2 8 5 2" xfId="12540"/>
    <cellStyle name="20% - Accent2 8 5 2 2" xfId="26252"/>
    <cellStyle name="20% - Accent2 8 5 3" xfId="18314"/>
    <cellStyle name="20% - Accent2 8 6" xfId="992"/>
    <cellStyle name="20% - Accent2 8 6 2" xfId="13665"/>
    <cellStyle name="20% - Accent2 8 6 2 2" xfId="27214"/>
    <cellStyle name="20% - Accent2 8 6 3" xfId="18315"/>
    <cellStyle name="20% - Accent2 8 7" xfId="993"/>
    <cellStyle name="20% - Accent2 8 7 2" xfId="14246"/>
    <cellStyle name="20% - Accent2 8 7 2 2" xfId="27795"/>
    <cellStyle name="20% - Accent2 8 7 3" xfId="18316"/>
    <cellStyle name="20% - Accent2 8 8" xfId="994"/>
    <cellStyle name="20% - Accent2 8 8 2" xfId="14742"/>
    <cellStyle name="20% - Accent2 8 8 2 2" xfId="28291"/>
    <cellStyle name="20% - Accent2 8 8 3" xfId="18317"/>
    <cellStyle name="20% - Accent2 8 9" xfId="995"/>
    <cellStyle name="20% - Accent2 8 9 2" xfId="16132"/>
    <cellStyle name="20% - Accent2 8 9 2 2" xfId="29539"/>
    <cellStyle name="20% - Accent2 8 9 3" xfId="18318"/>
    <cellStyle name="20% - Accent2 9" xfId="996"/>
    <cellStyle name="20% - Accent2 9 2" xfId="997"/>
    <cellStyle name="20% - Accent2 9 2 2" xfId="10684"/>
    <cellStyle name="20% - Accent2 9 2 2 2" xfId="24626"/>
    <cellStyle name="20% - Accent2 9 2 3" xfId="18320"/>
    <cellStyle name="20% - Accent2 9 3" xfId="998"/>
    <cellStyle name="20% - Accent2 9 3 2" xfId="12612"/>
    <cellStyle name="20% - Accent2 9 3 2 2" xfId="26324"/>
    <cellStyle name="20% - Accent2 9 3 3" xfId="18321"/>
    <cellStyle name="20% - Accent2 9 4" xfId="999"/>
    <cellStyle name="20% - Accent2 9 4 2" xfId="14745"/>
    <cellStyle name="20% - Accent2 9 4 2 2" xfId="28294"/>
    <cellStyle name="20% - Accent2 9 4 3" xfId="18322"/>
    <cellStyle name="20% - Accent2 9 5" xfId="1000"/>
    <cellStyle name="20% - Accent2 9 5 2" xfId="17097"/>
    <cellStyle name="20% - Accent2 9 5 2 2" xfId="30456"/>
    <cellStyle name="20% - Accent2 9 5 3" xfId="18323"/>
    <cellStyle name="20% - Accent2 9 6" xfId="8959"/>
    <cellStyle name="20% - Accent2 9 6 2" xfId="23434"/>
    <cellStyle name="20% - Accent2 9 7" xfId="18319"/>
    <cellStyle name="20% - Accent3" xfId="36" builtinId="38" customBuiltin="1"/>
    <cellStyle name="20% - Accent3 10" xfId="1001"/>
    <cellStyle name="20% - Accent3 10 2" xfId="1002"/>
    <cellStyle name="20% - Accent3 10 2 2" xfId="1003"/>
    <cellStyle name="20% - Accent3 10 2 2 2" xfId="12457"/>
    <cellStyle name="20% - Accent3 10 2 2 2 2" xfId="26169"/>
    <cellStyle name="20% - Accent3 10 2 2 3" xfId="18326"/>
    <cellStyle name="20% - Accent3 10 2 3" xfId="1004"/>
    <cellStyle name="20% - Accent3 10 2 3 2" xfId="14748"/>
    <cellStyle name="20% - Accent3 10 2 3 2 2" xfId="28297"/>
    <cellStyle name="20% - Accent3 10 2 3 3" xfId="18327"/>
    <cellStyle name="20% - Accent3 10 2 4" xfId="10686"/>
    <cellStyle name="20% - Accent3 10 2 4 2" xfId="24628"/>
    <cellStyle name="20% - Accent3 10 2 5" xfId="18325"/>
    <cellStyle name="20% - Accent3 10 3" xfId="1005"/>
    <cellStyle name="20% - Accent3 10 3 2" xfId="12666"/>
    <cellStyle name="20% - Accent3 10 3 2 2" xfId="26378"/>
    <cellStyle name="20% - Accent3 10 3 3" xfId="18328"/>
    <cellStyle name="20% - Accent3 10 4" xfId="1006"/>
    <cellStyle name="20% - Accent3 10 4 2" xfId="14747"/>
    <cellStyle name="20% - Accent3 10 4 2 2" xfId="28296"/>
    <cellStyle name="20% - Accent3 10 4 3" xfId="18329"/>
    <cellStyle name="20% - Accent3 10 5" xfId="1007"/>
    <cellStyle name="20% - Accent3 10 5 2" xfId="17187"/>
    <cellStyle name="20% - Accent3 10 5 2 2" xfId="30546"/>
    <cellStyle name="20% - Accent3 10 5 3" xfId="18330"/>
    <cellStyle name="20% - Accent3 10 6" xfId="8961"/>
    <cellStyle name="20% - Accent3 10 6 2" xfId="23436"/>
    <cellStyle name="20% - Accent3 10 7" xfId="18324"/>
    <cellStyle name="20% - Accent3 11" xfId="1008"/>
    <cellStyle name="20% - Accent3 11 2" xfId="1009"/>
    <cellStyle name="20% - Accent3 11 2 2" xfId="10687"/>
    <cellStyle name="20% - Accent3 11 2 2 2" xfId="24629"/>
    <cellStyle name="20% - Accent3 11 2 3" xfId="18332"/>
    <cellStyle name="20% - Accent3 11 3" xfId="1010"/>
    <cellStyle name="20% - Accent3 11 3 2" xfId="12799"/>
    <cellStyle name="20% - Accent3 11 3 2 2" xfId="26511"/>
    <cellStyle name="20% - Accent3 11 3 3" xfId="18333"/>
    <cellStyle name="20% - Accent3 11 4" xfId="1011"/>
    <cellStyle name="20% - Accent3 11 4 2" xfId="14749"/>
    <cellStyle name="20% - Accent3 11 4 2 2" xfId="28298"/>
    <cellStyle name="20% - Accent3 11 4 3" xfId="18334"/>
    <cellStyle name="20% - Accent3 11 5" xfId="1012"/>
    <cellStyle name="20% - Accent3 11 5 2" xfId="17276"/>
    <cellStyle name="20% - Accent3 11 5 2 2" xfId="30635"/>
    <cellStyle name="20% - Accent3 11 5 3" xfId="18335"/>
    <cellStyle name="20% - Accent3 11 6" xfId="8962"/>
    <cellStyle name="20% - Accent3 11 6 2" xfId="23437"/>
    <cellStyle name="20% - Accent3 11 7" xfId="18331"/>
    <cellStyle name="20% - Accent3 12" xfId="1013"/>
    <cellStyle name="20% - Accent3 12 2" xfId="1014"/>
    <cellStyle name="20% - Accent3 12 2 2" xfId="1015"/>
    <cellStyle name="20% - Accent3 12 2 2 2" xfId="10689"/>
    <cellStyle name="20% - Accent3 12 2 2 2 2" xfId="24631"/>
    <cellStyle name="20% - Accent3 12 2 2 3" xfId="18338"/>
    <cellStyle name="20% - Accent3 12 2 3" xfId="1016"/>
    <cellStyle name="20% - Accent3 12 2 3 2" xfId="12628"/>
    <cellStyle name="20% - Accent3 12 2 3 2 2" xfId="26340"/>
    <cellStyle name="20% - Accent3 12 2 3 3" xfId="18339"/>
    <cellStyle name="20% - Accent3 12 2 4" xfId="1017"/>
    <cellStyle name="20% - Accent3 12 2 4 2" xfId="14751"/>
    <cellStyle name="20% - Accent3 12 2 4 2 2" xfId="28300"/>
    <cellStyle name="20% - Accent3 12 2 4 3" xfId="18340"/>
    <cellStyle name="20% - Accent3 12 2 5" xfId="8964"/>
    <cellStyle name="20% - Accent3 12 2 5 2" xfId="23439"/>
    <cellStyle name="20% - Accent3 12 2 6" xfId="18337"/>
    <cellStyle name="20% - Accent3 12 3" xfId="1018"/>
    <cellStyle name="20% - Accent3 12 3 2" xfId="10688"/>
    <cellStyle name="20% - Accent3 12 3 2 2" xfId="24630"/>
    <cellStyle name="20% - Accent3 12 3 3" xfId="18341"/>
    <cellStyle name="20% - Accent3 12 4" xfId="1019"/>
    <cellStyle name="20% - Accent3 12 4 2" xfId="12754"/>
    <cellStyle name="20% - Accent3 12 4 2 2" xfId="26466"/>
    <cellStyle name="20% - Accent3 12 4 3" xfId="18342"/>
    <cellStyle name="20% - Accent3 12 5" xfId="1020"/>
    <cellStyle name="20% - Accent3 12 5 2" xfId="14750"/>
    <cellStyle name="20% - Accent3 12 5 2 2" xfId="28299"/>
    <cellStyle name="20% - Accent3 12 5 3" xfId="18343"/>
    <cellStyle name="20% - Accent3 12 6" xfId="1021"/>
    <cellStyle name="20% - Accent3 12 6 2" xfId="16428"/>
    <cellStyle name="20% - Accent3 12 6 2 2" xfId="29835"/>
    <cellStyle name="20% - Accent3 12 6 3" xfId="18344"/>
    <cellStyle name="20% - Accent3 12 7" xfId="8963"/>
    <cellStyle name="20% - Accent3 12 7 2" xfId="23438"/>
    <cellStyle name="20% - Accent3 12 8" xfId="18336"/>
    <cellStyle name="20% - Accent3 13" xfId="1022"/>
    <cellStyle name="20% - Accent3 13 2" xfId="1023"/>
    <cellStyle name="20% - Accent3 13 2 2" xfId="10690"/>
    <cellStyle name="20% - Accent3 13 2 2 2" xfId="24632"/>
    <cellStyle name="20% - Accent3 13 2 3" xfId="18346"/>
    <cellStyle name="20% - Accent3 13 3" xfId="1024"/>
    <cellStyle name="20% - Accent3 13 3 2" xfId="12786"/>
    <cellStyle name="20% - Accent3 13 3 2 2" xfId="26498"/>
    <cellStyle name="20% - Accent3 13 3 3" xfId="18347"/>
    <cellStyle name="20% - Accent3 13 4" xfId="1025"/>
    <cellStyle name="20% - Accent3 13 4 2" xfId="14752"/>
    <cellStyle name="20% - Accent3 13 4 2 2" xfId="28301"/>
    <cellStyle name="20% - Accent3 13 4 3" xfId="18348"/>
    <cellStyle name="20% - Accent3 13 5" xfId="8965"/>
    <cellStyle name="20% - Accent3 13 5 2" xfId="23440"/>
    <cellStyle name="20% - Accent3 13 6" xfId="18345"/>
    <cellStyle name="20% - Accent3 14" xfId="1026"/>
    <cellStyle name="20% - Accent3 14 2" xfId="1027"/>
    <cellStyle name="20% - Accent3 14 2 2" xfId="10691"/>
    <cellStyle name="20% - Accent3 14 2 2 2" xfId="24633"/>
    <cellStyle name="20% - Accent3 14 2 3" xfId="18350"/>
    <cellStyle name="20% - Accent3 14 3" xfId="1028"/>
    <cellStyle name="20% - Accent3 14 3 2" xfId="12452"/>
    <cellStyle name="20% - Accent3 14 3 2 2" xfId="26164"/>
    <cellStyle name="20% - Accent3 14 3 3" xfId="18351"/>
    <cellStyle name="20% - Accent3 14 4" xfId="1029"/>
    <cellStyle name="20% - Accent3 14 4 2" xfId="14753"/>
    <cellStyle name="20% - Accent3 14 4 2 2" xfId="28302"/>
    <cellStyle name="20% - Accent3 14 4 3" xfId="18352"/>
    <cellStyle name="20% - Accent3 14 5" xfId="8966"/>
    <cellStyle name="20% - Accent3 14 5 2" xfId="23441"/>
    <cellStyle name="20% - Accent3 14 6" xfId="18349"/>
    <cellStyle name="20% - Accent3 15" xfId="1030"/>
    <cellStyle name="20% - Accent3 15 2" xfId="1031"/>
    <cellStyle name="20% - Accent3 15 2 2" xfId="10692"/>
    <cellStyle name="20% - Accent3 15 2 2 2" xfId="24634"/>
    <cellStyle name="20% - Accent3 15 2 3" xfId="18354"/>
    <cellStyle name="20% - Accent3 15 3" xfId="1032"/>
    <cellStyle name="20% - Accent3 15 3 2" xfId="12555"/>
    <cellStyle name="20% - Accent3 15 3 2 2" xfId="26267"/>
    <cellStyle name="20% - Accent3 15 3 3" xfId="18355"/>
    <cellStyle name="20% - Accent3 15 4" xfId="1033"/>
    <cellStyle name="20% - Accent3 15 4 2" xfId="14754"/>
    <cellStyle name="20% - Accent3 15 4 2 2" xfId="28303"/>
    <cellStyle name="20% - Accent3 15 4 3" xfId="18356"/>
    <cellStyle name="20% - Accent3 15 5" xfId="8967"/>
    <cellStyle name="20% - Accent3 15 5 2" xfId="23442"/>
    <cellStyle name="20% - Accent3 15 6" xfId="18353"/>
    <cellStyle name="20% - Accent3 16" xfId="1034"/>
    <cellStyle name="20% - Accent3 16 2" xfId="1035"/>
    <cellStyle name="20% - Accent3 16 2 2" xfId="10693"/>
    <cellStyle name="20% - Accent3 16 2 2 2" xfId="24635"/>
    <cellStyle name="20% - Accent3 16 2 3" xfId="18358"/>
    <cellStyle name="20% - Accent3 16 3" xfId="1036"/>
    <cellStyle name="20% - Accent3 16 3 2" xfId="11778"/>
    <cellStyle name="20% - Accent3 16 3 2 2" xfId="25493"/>
    <cellStyle name="20% - Accent3 16 3 3" xfId="18359"/>
    <cellStyle name="20% - Accent3 16 4" xfId="1037"/>
    <cellStyle name="20% - Accent3 16 4 2" xfId="14755"/>
    <cellStyle name="20% - Accent3 16 4 2 2" xfId="28304"/>
    <cellStyle name="20% - Accent3 16 4 3" xfId="18360"/>
    <cellStyle name="20% - Accent3 16 5" xfId="8968"/>
    <cellStyle name="20% - Accent3 16 5 2" xfId="23443"/>
    <cellStyle name="20% - Accent3 16 6" xfId="18357"/>
    <cellStyle name="20% - Accent3 17" xfId="1038"/>
    <cellStyle name="20% - Accent3 17 2" xfId="1039"/>
    <cellStyle name="20% - Accent3 17 2 2" xfId="10694"/>
    <cellStyle name="20% - Accent3 17 2 2 2" xfId="24636"/>
    <cellStyle name="20% - Accent3 17 2 3" xfId="18362"/>
    <cellStyle name="20% - Accent3 17 3" xfId="1040"/>
    <cellStyle name="20% - Accent3 17 3 2" xfId="12772"/>
    <cellStyle name="20% - Accent3 17 3 2 2" xfId="26484"/>
    <cellStyle name="20% - Accent3 17 3 3" xfId="18363"/>
    <cellStyle name="20% - Accent3 17 4" xfId="1041"/>
    <cellStyle name="20% - Accent3 17 4 2" xfId="14756"/>
    <cellStyle name="20% - Accent3 17 4 2 2" xfId="28305"/>
    <cellStyle name="20% - Accent3 17 4 3" xfId="18364"/>
    <cellStyle name="20% - Accent3 17 5" xfId="8969"/>
    <cellStyle name="20% - Accent3 17 5 2" xfId="23444"/>
    <cellStyle name="20% - Accent3 17 6" xfId="18361"/>
    <cellStyle name="20% - Accent3 18" xfId="1042"/>
    <cellStyle name="20% - Accent3 18 2" xfId="1043"/>
    <cellStyle name="20% - Accent3 18 2 2" xfId="10695"/>
    <cellStyle name="20% - Accent3 18 2 2 2" xfId="24637"/>
    <cellStyle name="20% - Accent3 18 2 3" xfId="18366"/>
    <cellStyle name="20% - Accent3 18 3" xfId="1044"/>
    <cellStyle name="20% - Accent3 18 3 2" xfId="12660"/>
    <cellStyle name="20% - Accent3 18 3 2 2" xfId="26372"/>
    <cellStyle name="20% - Accent3 18 3 3" xfId="18367"/>
    <cellStyle name="20% - Accent3 18 4" xfId="1045"/>
    <cellStyle name="20% - Accent3 18 4 2" xfId="14757"/>
    <cellStyle name="20% - Accent3 18 4 2 2" xfId="28306"/>
    <cellStyle name="20% - Accent3 18 4 3" xfId="18368"/>
    <cellStyle name="20% - Accent3 18 5" xfId="8970"/>
    <cellStyle name="20% - Accent3 18 5 2" xfId="23445"/>
    <cellStyle name="20% - Accent3 18 6" xfId="18365"/>
    <cellStyle name="20% - Accent3 19" xfId="1046"/>
    <cellStyle name="20% - Accent3 19 2" xfId="1047"/>
    <cellStyle name="20% - Accent3 19 2 2" xfId="11712"/>
    <cellStyle name="20% - Accent3 19 2 2 2" xfId="25432"/>
    <cellStyle name="20% - Accent3 19 2 3" xfId="18370"/>
    <cellStyle name="20% - Accent3 19 3" xfId="1048"/>
    <cellStyle name="20% - Accent3 19 3 2" xfId="12402"/>
    <cellStyle name="20% - Accent3 19 3 2 2" xfId="26114"/>
    <cellStyle name="20% - Accent3 19 3 3" xfId="18371"/>
    <cellStyle name="20% - Accent3 19 4" xfId="1049"/>
    <cellStyle name="20% - Accent3 19 4 2" xfId="14758"/>
    <cellStyle name="20% - Accent3 19 4 2 2" xfId="28307"/>
    <cellStyle name="20% - Accent3 19 4 3" xfId="18372"/>
    <cellStyle name="20% - Accent3 19 5" xfId="10464"/>
    <cellStyle name="20% - Accent3 19 5 2" xfId="24423"/>
    <cellStyle name="20% - Accent3 19 6" xfId="18369"/>
    <cellStyle name="20% - Accent3 2" xfId="1050"/>
    <cellStyle name="20% - Accent3 2 10" xfId="1051"/>
    <cellStyle name="20% - Accent3 2 10 2" xfId="1052"/>
    <cellStyle name="20% - Accent3 2 10 2 2" xfId="14760"/>
    <cellStyle name="20% - Accent3 2 10 2 2 2" xfId="28309"/>
    <cellStyle name="20% - Accent3 2 10 2 3" xfId="18375"/>
    <cellStyle name="20% - Accent3 2 10 3" xfId="11840"/>
    <cellStyle name="20% - Accent3 2 10 3 2" xfId="25555"/>
    <cellStyle name="20% - Accent3 2 10 4" xfId="18374"/>
    <cellStyle name="20% - Accent3 2 11" xfId="1053"/>
    <cellStyle name="20% - Accent3 2 11 2" xfId="12453"/>
    <cellStyle name="20% - Accent3 2 11 2 2" xfId="26165"/>
    <cellStyle name="20% - Accent3 2 11 3" xfId="18376"/>
    <cellStyle name="20% - Accent3 2 12" xfId="1054"/>
    <cellStyle name="20% - Accent3 2 12 2" xfId="13439"/>
    <cellStyle name="20% - Accent3 2 12 2 2" xfId="26988"/>
    <cellStyle name="20% - Accent3 2 12 3" xfId="18377"/>
    <cellStyle name="20% - Accent3 2 13" xfId="1055"/>
    <cellStyle name="20% - Accent3 2 13 2" xfId="14020"/>
    <cellStyle name="20% - Accent3 2 13 2 2" xfId="27569"/>
    <cellStyle name="20% - Accent3 2 13 3" xfId="18378"/>
    <cellStyle name="20% - Accent3 2 14" xfId="1056"/>
    <cellStyle name="20% - Accent3 2 14 2" xfId="14759"/>
    <cellStyle name="20% - Accent3 2 14 2 2" xfId="28308"/>
    <cellStyle name="20% - Accent3 2 14 3" xfId="18379"/>
    <cellStyle name="20% - Accent3 2 15" xfId="1057"/>
    <cellStyle name="20% - Accent3 2 15 2" xfId="15906"/>
    <cellStyle name="20% - Accent3 2 15 2 2" xfId="29313"/>
    <cellStyle name="20% - Accent3 2 15 3" xfId="18380"/>
    <cellStyle name="20% - Accent3 2 16" xfId="8971"/>
    <cellStyle name="20% - Accent3 2 16 2" xfId="23446"/>
    <cellStyle name="20% - Accent3 2 17" xfId="18373"/>
    <cellStyle name="20% - Accent3 2 18" xfId="33070"/>
    <cellStyle name="20% - Accent3 2 2" xfId="1058"/>
    <cellStyle name="20% - Accent3 2 2 10" xfId="1059"/>
    <cellStyle name="20% - Accent3 2 2 10 2" xfId="14761"/>
    <cellStyle name="20% - Accent3 2 2 10 2 2" xfId="28310"/>
    <cellStyle name="20% - Accent3 2 2 10 3" xfId="18382"/>
    <cellStyle name="20% - Accent3 2 2 11" xfId="1060"/>
    <cellStyle name="20% - Accent3 2 2 11 2" xfId="15952"/>
    <cellStyle name="20% - Accent3 2 2 11 2 2" xfId="29359"/>
    <cellStyle name="20% - Accent3 2 2 11 3" xfId="18383"/>
    <cellStyle name="20% - Accent3 2 2 12" xfId="8972"/>
    <cellStyle name="20% - Accent3 2 2 12 2" xfId="23447"/>
    <cellStyle name="20% - Accent3 2 2 13" xfId="18381"/>
    <cellStyle name="20% - Accent3 2 2 2" xfId="1061"/>
    <cellStyle name="20% - Accent3 2 2 2 10" xfId="1062"/>
    <cellStyle name="20% - Accent3 2 2 2 10 2" xfId="16095"/>
    <cellStyle name="20% - Accent3 2 2 2 10 2 2" xfId="29502"/>
    <cellStyle name="20% - Accent3 2 2 2 10 3" xfId="18385"/>
    <cellStyle name="20% - Accent3 2 2 2 11" xfId="8973"/>
    <cellStyle name="20% - Accent3 2 2 2 11 2" xfId="23448"/>
    <cellStyle name="20% - Accent3 2 2 2 12" xfId="18384"/>
    <cellStyle name="20% - Accent3 2 2 2 2" xfId="1063"/>
    <cellStyle name="20% - Accent3 2 2 2 2 10" xfId="8974"/>
    <cellStyle name="20% - Accent3 2 2 2 2 10 2" xfId="23449"/>
    <cellStyle name="20% - Accent3 2 2 2 2 11" xfId="18386"/>
    <cellStyle name="20% - Accent3 2 2 2 2 2" xfId="1064"/>
    <cellStyle name="20% - Accent3 2 2 2 2 2 2" xfId="1065"/>
    <cellStyle name="20% - Accent3 2 2 2 2 2 2 2" xfId="10700"/>
    <cellStyle name="20% - Accent3 2 2 2 2 2 2 2 2" xfId="24642"/>
    <cellStyle name="20% - Accent3 2 2 2 2 2 2 3" xfId="18388"/>
    <cellStyle name="20% - Accent3 2 2 2 2 2 3" xfId="1066"/>
    <cellStyle name="20% - Accent3 2 2 2 2 2 3 2" xfId="12673"/>
    <cellStyle name="20% - Accent3 2 2 2 2 2 3 2 2" xfId="26385"/>
    <cellStyle name="20% - Accent3 2 2 2 2 2 3 3" xfId="18389"/>
    <cellStyle name="20% - Accent3 2 2 2 2 2 4" xfId="1067"/>
    <cellStyle name="20% - Accent3 2 2 2 2 2 4 2" xfId="14764"/>
    <cellStyle name="20% - Accent3 2 2 2 2 2 4 2 2" xfId="28313"/>
    <cellStyle name="20% - Accent3 2 2 2 2 2 4 3" xfId="18390"/>
    <cellStyle name="20% - Accent3 2 2 2 2 2 5" xfId="1068"/>
    <cellStyle name="20% - Accent3 2 2 2 2 2 5 2" xfId="16965"/>
    <cellStyle name="20% - Accent3 2 2 2 2 2 5 2 2" xfId="30372"/>
    <cellStyle name="20% - Accent3 2 2 2 2 2 5 3" xfId="18391"/>
    <cellStyle name="20% - Accent3 2 2 2 2 2 6" xfId="8975"/>
    <cellStyle name="20% - Accent3 2 2 2 2 2 6 2" xfId="23450"/>
    <cellStyle name="20% - Accent3 2 2 2 2 2 7" xfId="18387"/>
    <cellStyle name="20% - Accent3 2 2 2 2 3" xfId="1069"/>
    <cellStyle name="20% - Accent3 2 2 2 2 3 2" xfId="1070"/>
    <cellStyle name="20% - Accent3 2 2 2 2 3 2 2" xfId="14765"/>
    <cellStyle name="20% - Accent3 2 2 2 2 3 2 2 2" xfId="28314"/>
    <cellStyle name="20% - Accent3 2 2 2 2 3 2 3" xfId="18393"/>
    <cellStyle name="20% - Accent3 2 2 2 2 3 3" xfId="10699"/>
    <cellStyle name="20% - Accent3 2 2 2 2 3 3 2" xfId="24641"/>
    <cellStyle name="20% - Accent3 2 2 2 2 3 4" xfId="18392"/>
    <cellStyle name="20% - Accent3 2 2 2 2 4" xfId="1071"/>
    <cellStyle name="20% - Accent3 2 2 2 2 4 2" xfId="12353"/>
    <cellStyle name="20% - Accent3 2 2 2 2 4 2 2" xfId="26065"/>
    <cellStyle name="20% - Accent3 2 2 2 2 4 3" xfId="18394"/>
    <cellStyle name="20% - Accent3 2 2 2 2 5" xfId="1072"/>
    <cellStyle name="20% - Accent3 2 2 2 2 5 2" xfId="12441"/>
    <cellStyle name="20% - Accent3 2 2 2 2 5 2 2" xfId="26153"/>
    <cellStyle name="20% - Accent3 2 2 2 2 5 3" xfId="18395"/>
    <cellStyle name="20% - Accent3 2 2 2 2 6" xfId="1073"/>
    <cellStyle name="20% - Accent3 2 2 2 2 6 2" xfId="13917"/>
    <cellStyle name="20% - Accent3 2 2 2 2 6 2 2" xfId="27466"/>
    <cellStyle name="20% - Accent3 2 2 2 2 6 3" xfId="18396"/>
    <cellStyle name="20% - Accent3 2 2 2 2 7" xfId="1074"/>
    <cellStyle name="20% - Accent3 2 2 2 2 7 2" xfId="14498"/>
    <cellStyle name="20% - Accent3 2 2 2 2 7 2 2" xfId="28047"/>
    <cellStyle name="20% - Accent3 2 2 2 2 7 3" xfId="18397"/>
    <cellStyle name="20% - Accent3 2 2 2 2 8" xfId="1075"/>
    <cellStyle name="20% - Accent3 2 2 2 2 8 2" xfId="14763"/>
    <cellStyle name="20% - Accent3 2 2 2 2 8 2 2" xfId="28312"/>
    <cellStyle name="20% - Accent3 2 2 2 2 8 3" xfId="18398"/>
    <cellStyle name="20% - Accent3 2 2 2 2 9" xfId="1076"/>
    <cellStyle name="20% - Accent3 2 2 2 2 9 2" xfId="16384"/>
    <cellStyle name="20% - Accent3 2 2 2 2 9 2 2" xfId="29791"/>
    <cellStyle name="20% - Accent3 2 2 2 2 9 3" xfId="18399"/>
    <cellStyle name="20% - Accent3 2 2 2 3" xfId="1077"/>
    <cellStyle name="20% - Accent3 2 2 2 3 2" xfId="1078"/>
    <cellStyle name="20% - Accent3 2 2 2 3 2 2" xfId="10701"/>
    <cellStyle name="20% - Accent3 2 2 2 3 2 2 2" xfId="24643"/>
    <cellStyle name="20% - Accent3 2 2 2 3 2 3" xfId="18401"/>
    <cellStyle name="20% - Accent3 2 2 2 3 3" xfId="1079"/>
    <cellStyle name="20% - Accent3 2 2 2 3 3 2" xfId="12577"/>
    <cellStyle name="20% - Accent3 2 2 2 3 3 2 2" xfId="26289"/>
    <cellStyle name="20% - Accent3 2 2 2 3 3 3" xfId="18402"/>
    <cellStyle name="20% - Accent3 2 2 2 3 4" xfId="1080"/>
    <cellStyle name="20% - Accent3 2 2 2 3 4 2" xfId="14766"/>
    <cellStyle name="20% - Accent3 2 2 2 3 4 2 2" xfId="28315"/>
    <cellStyle name="20% - Accent3 2 2 2 3 4 3" xfId="18403"/>
    <cellStyle name="20% - Accent3 2 2 2 3 5" xfId="1081"/>
    <cellStyle name="20% - Accent3 2 2 2 3 5 2" xfId="16676"/>
    <cellStyle name="20% - Accent3 2 2 2 3 5 2 2" xfId="30083"/>
    <cellStyle name="20% - Accent3 2 2 2 3 5 3" xfId="18404"/>
    <cellStyle name="20% - Accent3 2 2 2 3 6" xfId="8976"/>
    <cellStyle name="20% - Accent3 2 2 2 3 6 2" xfId="23451"/>
    <cellStyle name="20% - Accent3 2 2 2 3 7" xfId="18400"/>
    <cellStyle name="20% - Accent3 2 2 2 4" xfId="1082"/>
    <cellStyle name="20% - Accent3 2 2 2 4 2" xfId="1083"/>
    <cellStyle name="20% - Accent3 2 2 2 4 2 2" xfId="14767"/>
    <cellStyle name="20% - Accent3 2 2 2 4 2 2 2" xfId="28316"/>
    <cellStyle name="20% - Accent3 2 2 2 4 2 3" xfId="18406"/>
    <cellStyle name="20% - Accent3 2 2 2 4 3" xfId="10698"/>
    <cellStyle name="20% - Accent3 2 2 2 4 3 2" xfId="24640"/>
    <cellStyle name="20% - Accent3 2 2 2 4 4" xfId="18405"/>
    <cellStyle name="20% - Accent3 2 2 2 5" xfId="1084"/>
    <cellStyle name="20% - Accent3 2 2 2 5 2" xfId="12053"/>
    <cellStyle name="20% - Accent3 2 2 2 5 2 2" xfId="25768"/>
    <cellStyle name="20% - Accent3 2 2 2 5 3" xfId="18407"/>
    <cellStyle name="20% - Accent3 2 2 2 6" xfId="1085"/>
    <cellStyle name="20% - Accent3 2 2 2 6 2" xfId="12420"/>
    <cellStyle name="20% - Accent3 2 2 2 6 2 2" xfId="26132"/>
    <cellStyle name="20% - Accent3 2 2 2 6 3" xfId="18408"/>
    <cellStyle name="20% - Accent3 2 2 2 7" xfId="1086"/>
    <cellStyle name="20% - Accent3 2 2 2 7 2" xfId="13628"/>
    <cellStyle name="20% - Accent3 2 2 2 7 2 2" xfId="27177"/>
    <cellStyle name="20% - Accent3 2 2 2 7 3" xfId="18409"/>
    <cellStyle name="20% - Accent3 2 2 2 8" xfId="1087"/>
    <cellStyle name="20% - Accent3 2 2 2 8 2" xfId="14209"/>
    <cellStyle name="20% - Accent3 2 2 2 8 2 2" xfId="27758"/>
    <cellStyle name="20% - Accent3 2 2 2 8 3" xfId="18410"/>
    <cellStyle name="20% - Accent3 2 2 2 9" xfId="1088"/>
    <cellStyle name="20% - Accent3 2 2 2 9 2" xfId="14762"/>
    <cellStyle name="20% - Accent3 2 2 2 9 2 2" xfId="28311"/>
    <cellStyle name="20% - Accent3 2 2 2 9 3" xfId="18411"/>
    <cellStyle name="20% - Accent3 2 2 3" xfId="1089"/>
    <cellStyle name="20% - Accent3 2 2 3 10" xfId="8977"/>
    <cellStyle name="20% - Accent3 2 2 3 10 2" xfId="23452"/>
    <cellStyle name="20% - Accent3 2 2 3 11" xfId="18412"/>
    <cellStyle name="20% - Accent3 2 2 3 2" xfId="1090"/>
    <cellStyle name="20% - Accent3 2 2 3 2 2" xfId="1091"/>
    <cellStyle name="20% - Accent3 2 2 3 2 2 2" xfId="10703"/>
    <cellStyle name="20% - Accent3 2 2 3 2 2 2 2" xfId="24645"/>
    <cellStyle name="20% - Accent3 2 2 3 2 2 3" xfId="18414"/>
    <cellStyle name="20% - Accent3 2 2 3 2 3" xfId="1092"/>
    <cellStyle name="20% - Accent3 2 2 3 2 3 2" xfId="12512"/>
    <cellStyle name="20% - Accent3 2 2 3 2 3 2 2" xfId="26224"/>
    <cellStyle name="20% - Accent3 2 2 3 2 3 3" xfId="18415"/>
    <cellStyle name="20% - Accent3 2 2 3 2 4" xfId="1093"/>
    <cellStyle name="20% - Accent3 2 2 3 2 4 2" xfId="14769"/>
    <cellStyle name="20% - Accent3 2 2 3 2 4 2 2" xfId="28318"/>
    <cellStyle name="20% - Accent3 2 2 3 2 4 3" xfId="18416"/>
    <cellStyle name="20% - Accent3 2 2 3 2 5" xfId="1094"/>
    <cellStyle name="20% - Accent3 2 2 3 2 5 2" xfId="16822"/>
    <cellStyle name="20% - Accent3 2 2 3 2 5 2 2" xfId="30229"/>
    <cellStyle name="20% - Accent3 2 2 3 2 5 3" xfId="18417"/>
    <cellStyle name="20% - Accent3 2 2 3 2 6" xfId="8978"/>
    <cellStyle name="20% - Accent3 2 2 3 2 6 2" xfId="23453"/>
    <cellStyle name="20% - Accent3 2 2 3 2 7" xfId="18413"/>
    <cellStyle name="20% - Accent3 2 2 3 3" xfId="1095"/>
    <cellStyle name="20% - Accent3 2 2 3 3 2" xfId="1096"/>
    <cellStyle name="20% - Accent3 2 2 3 3 2 2" xfId="14770"/>
    <cellStyle name="20% - Accent3 2 2 3 3 2 2 2" xfId="28319"/>
    <cellStyle name="20% - Accent3 2 2 3 3 2 3" xfId="18419"/>
    <cellStyle name="20% - Accent3 2 2 3 3 3" xfId="10702"/>
    <cellStyle name="20% - Accent3 2 2 3 3 3 2" xfId="24644"/>
    <cellStyle name="20% - Accent3 2 2 3 3 4" xfId="18418"/>
    <cellStyle name="20% - Accent3 2 2 3 4" xfId="1097"/>
    <cellStyle name="20% - Accent3 2 2 3 4 2" xfId="12210"/>
    <cellStyle name="20% - Accent3 2 2 3 4 2 2" xfId="25922"/>
    <cellStyle name="20% - Accent3 2 2 3 4 3" xfId="18420"/>
    <cellStyle name="20% - Accent3 2 2 3 5" xfId="1098"/>
    <cellStyle name="20% - Accent3 2 2 3 5 2" xfId="11871"/>
    <cellStyle name="20% - Accent3 2 2 3 5 2 2" xfId="25586"/>
    <cellStyle name="20% - Accent3 2 2 3 5 3" xfId="18421"/>
    <cellStyle name="20% - Accent3 2 2 3 6" xfId="1099"/>
    <cellStyle name="20% - Accent3 2 2 3 6 2" xfId="13774"/>
    <cellStyle name="20% - Accent3 2 2 3 6 2 2" xfId="27323"/>
    <cellStyle name="20% - Accent3 2 2 3 6 3" xfId="18422"/>
    <cellStyle name="20% - Accent3 2 2 3 7" xfId="1100"/>
    <cellStyle name="20% - Accent3 2 2 3 7 2" xfId="14355"/>
    <cellStyle name="20% - Accent3 2 2 3 7 2 2" xfId="27904"/>
    <cellStyle name="20% - Accent3 2 2 3 7 3" xfId="18423"/>
    <cellStyle name="20% - Accent3 2 2 3 8" xfId="1101"/>
    <cellStyle name="20% - Accent3 2 2 3 8 2" xfId="14768"/>
    <cellStyle name="20% - Accent3 2 2 3 8 2 2" xfId="28317"/>
    <cellStyle name="20% - Accent3 2 2 3 8 3" xfId="18424"/>
    <cellStyle name="20% - Accent3 2 2 3 9" xfId="1102"/>
    <cellStyle name="20% - Accent3 2 2 3 9 2" xfId="16241"/>
    <cellStyle name="20% - Accent3 2 2 3 9 2 2" xfId="29648"/>
    <cellStyle name="20% - Accent3 2 2 3 9 3" xfId="18425"/>
    <cellStyle name="20% - Accent3 2 2 4" xfId="1103"/>
    <cellStyle name="20% - Accent3 2 2 4 2" xfId="1104"/>
    <cellStyle name="20% - Accent3 2 2 4 2 2" xfId="10704"/>
    <cellStyle name="20% - Accent3 2 2 4 2 2 2" xfId="24646"/>
    <cellStyle name="20% - Accent3 2 2 4 2 3" xfId="18427"/>
    <cellStyle name="20% - Accent3 2 2 4 3" xfId="1105"/>
    <cellStyle name="20% - Accent3 2 2 4 3 2" xfId="12762"/>
    <cellStyle name="20% - Accent3 2 2 4 3 2 2" xfId="26474"/>
    <cellStyle name="20% - Accent3 2 2 4 3 3" xfId="18428"/>
    <cellStyle name="20% - Accent3 2 2 4 4" xfId="1106"/>
    <cellStyle name="20% - Accent3 2 2 4 4 2" xfId="14771"/>
    <cellStyle name="20% - Accent3 2 2 4 4 2 2" xfId="28320"/>
    <cellStyle name="20% - Accent3 2 2 4 4 3" xfId="18429"/>
    <cellStyle name="20% - Accent3 2 2 4 5" xfId="1107"/>
    <cellStyle name="20% - Accent3 2 2 4 5 2" xfId="17169"/>
    <cellStyle name="20% - Accent3 2 2 4 5 2 2" xfId="30528"/>
    <cellStyle name="20% - Accent3 2 2 4 5 3" xfId="18430"/>
    <cellStyle name="20% - Accent3 2 2 4 6" xfId="8979"/>
    <cellStyle name="20% - Accent3 2 2 4 6 2" xfId="23454"/>
    <cellStyle name="20% - Accent3 2 2 4 7" xfId="18426"/>
    <cellStyle name="20% - Accent3 2 2 5" xfId="1108"/>
    <cellStyle name="20% - Accent3 2 2 5 2" xfId="1109"/>
    <cellStyle name="20% - Accent3 2 2 5 2 2" xfId="14772"/>
    <cellStyle name="20% - Accent3 2 2 5 2 2 2" xfId="28321"/>
    <cellStyle name="20% - Accent3 2 2 5 2 3" xfId="18432"/>
    <cellStyle name="20% - Accent3 2 2 5 3" xfId="1110"/>
    <cellStyle name="20% - Accent3 2 2 5 3 2" xfId="17258"/>
    <cellStyle name="20% - Accent3 2 2 5 3 2 2" xfId="30617"/>
    <cellStyle name="20% - Accent3 2 2 5 3 3" xfId="18433"/>
    <cellStyle name="20% - Accent3 2 2 5 4" xfId="10697"/>
    <cellStyle name="20% - Accent3 2 2 5 4 2" xfId="24639"/>
    <cellStyle name="20% - Accent3 2 2 5 5" xfId="18431"/>
    <cellStyle name="20% - Accent3 2 2 6" xfId="1111"/>
    <cellStyle name="20% - Accent3 2 2 6 2" xfId="1112"/>
    <cellStyle name="20% - Accent3 2 2 6 2 2" xfId="16533"/>
    <cellStyle name="20% - Accent3 2 2 6 2 2 2" xfId="29940"/>
    <cellStyle name="20% - Accent3 2 2 6 2 3" xfId="18435"/>
    <cellStyle name="20% - Accent3 2 2 6 3" xfId="11908"/>
    <cellStyle name="20% - Accent3 2 2 6 3 2" xfId="25623"/>
    <cellStyle name="20% - Accent3 2 2 6 4" xfId="18434"/>
    <cellStyle name="20% - Accent3 2 2 7" xfId="1113"/>
    <cellStyle name="20% - Accent3 2 2 7 2" xfId="12646"/>
    <cellStyle name="20% - Accent3 2 2 7 2 2" xfId="26358"/>
    <cellStyle name="20% - Accent3 2 2 7 3" xfId="18436"/>
    <cellStyle name="20% - Accent3 2 2 8" xfId="1114"/>
    <cellStyle name="20% - Accent3 2 2 8 2" xfId="13485"/>
    <cellStyle name="20% - Accent3 2 2 8 2 2" xfId="27034"/>
    <cellStyle name="20% - Accent3 2 2 8 3" xfId="18437"/>
    <cellStyle name="20% - Accent3 2 2 9" xfId="1115"/>
    <cellStyle name="20% - Accent3 2 2 9 2" xfId="14066"/>
    <cellStyle name="20% - Accent3 2 2 9 2 2" xfId="27615"/>
    <cellStyle name="20% - Accent3 2 2 9 3" xfId="18438"/>
    <cellStyle name="20% - Accent3 2 3" xfId="1116"/>
    <cellStyle name="20% - Accent3 2 3 10" xfId="1117"/>
    <cellStyle name="20% - Accent3 2 3 10 2" xfId="16049"/>
    <cellStyle name="20% - Accent3 2 3 10 2 2" xfId="29456"/>
    <cellStyle name="20% - Accent3 2 3 10 3" xfId="18440"/>
    <cellStyle name="20% - Accent3 2 3 11" xfId="8980"/>
    <cellStyle name="20% - Accent3 2 3 11 2" xfId="23455"/>
    <cellStyle name="20% - Accent3 2 3 12" xfId="18439"/>
    <cellStyle name="20% - Accent3 2 3 2" xfId="1118"/>
    <cellStyle name="20% - Accent3 2 3 2 10" xfId="8981"/>
    <cellStyle name="20% - Accent3 2 3 2 10 2" xfId="23456"/>
    <cellStyle name="20% - Accent3 2 3 2 11" xfId="18441"/>
    <cellStyle name="20% - Accent3 2 3 2 2" xfId="1119"/>
    <cellStyle name="20% - Accent3 2 3 2 2 2" xfId="1120"/>
    <cellStyle name="20% - Accent3 2 3 2 2 2 2" xfId="10707"/>
    <cellStyle name="20% - Accent3 2 3 2 2 2 2 2" xfId="24649"/>
    <cellStyle name="20% - Accent3 2 3 2 2 2 3" xfId="18443"/>
    <cellStyle name="20% - Accent3 2 3 2 2 3" xfId="1121"/>
    <cellStyle name="20% - Accent3 2 3 2 2 3 2" xfId="12671"/>
    <cellStyle name="20% - Accent3 2 3 2 2 3 2 2" xfId="26383"/>
    <cellStyle name="20% - Accent3 2 3 2 2 3 3" xfId="18444"/>
    <cellStyle name="20% - Accent3 2 3 2 2 4" xfId="1122"/>
    <cellStyle name="20% - Accent3 2 3 2 2 4 2" xfId="14775"/>
    <cellStyle name="20% - Accent3 2 3 2 2 4 2 2" xfId="28324"/>
    <cellStyle name="20% - Accent3 2 3 2 2 4 3" xfId="18445"/>
    <cellStyle name="20% - Accent3 2 3 2 2 5" xfId="1123"/>
    <cellStyle name="20% - Accent3 2 3 2 2 5 2" xfId="16919"/>
    <cellStyle name="20% - Accent3 2 3 2 2 5 2 2" xfId="30326"/>
    <cellStyle name="20% - Accent3 2 3 2 2 5 3" xfId="18446"/>
    <cellStyle name="20% - Accent3 2 3 2 2 6" xfId="8982"/>
    <cellStyle name="20% - Accent3 2 3 2 2 6 2" xfId="23457"/>
    <cellStyle name="20% - Accent3 2 3 2 2 7" xfId="18442"/>
    <cellStyle name="20% - Accent3 2 3 2 3" xfId="1124"/>
    <cellStyle name="20% - Accent3 2 3 2 3 2" xfId="1125"/>
    <cellStyle name="20% - Accent3 2 3 2 3 2 2" xfId="14776"/>
    <cellStyle name="20% - Accent3 2 3 2 3 2 2 2" xfId="28325"/>
    <cellStyle name="20% - Accent3 2 3 2 3 2 3" xfId="18448"/>
    <cellStyle name="20% - Accent3 2 3 2 3 3" xfId="10706"/>
    <cellStyle name="20% - Accent3 2 3 2 3 3 2" xfId="24648"/>
    <cellStyle name="20% - Accent3 2 3 2 3 4" xfId="18447"/>
    <cellStyle name="20% - Accent3 2 3 2 4" xfId="1126"/>
    <cellStyle name="20% - Accent3 2 3 2 4 2" xfId="12307"/>
    <cellStyle name="20% - Accent3 2 3 2 4 2 2" xfId="26019"/>
    <cellStyle name="20% - Accent3 2 3 2 4 3" xfId="18449"/>
    <cellStyle name="20% - Accent3 2 3 2 5" xfId="1127"/>
    <cellStyle name="20% - Accent3 2 3 2 5 2" xfId="12449"/>
    <cellStyle name="20% - Accent3 2 3 2 5 2 2" xfId="26161"/>
    <cellStyle name="20% - Accent3 2 3 2 5 3" xfId="18450"/>
    <cellStyle name="20% - Accent3 2 3 2 6" xfId="1128"/>
    <cellStyle name="20% - Accent3 2 3 2 6 2" xfId="13871"/>
    <cellStyle name="20% - Accent3 2 3 2 6 2 2" xfId="27420"/>
    <cellStyle name="20% - Accent3 2 3 2 6 3" xfId="18451"/>
    <cellStyle name="20% - Accent3 2 3 2 7" xfId="1129"/>
    <cellStyle name="20% - Accent3 2 3 2 7 2" xfId="14452"/>
    <cellStyle name="20% - Accent3 2 3 2 7 2 2" xfId="28001"/>
    <cellStyle name="20% - Accent3 2 3 2 7 3" xfId="18452"/>
    <cellStyle name="20% - Accent3 2 3 2 8" xfId="1130"/>
    <cellStyle name="20% - Accent3 2 3 2 8 2" xfId="14774"/>
    <cellStyle name="20% - Accent3 2 3 2 8 2 2" xfId="28323"/>
    <cellStyle name="20% - Accent3 2 3 2 8 3" xfId="18453"/>
    <cellStyle name="20% - Accent3 2 3 2 9" xfId="1131"/>
    <cellStyle name="20% - Accent3 2 3 2 9 2" xfId="16338"/>
    <cellStyle name="20% - Accent3 2 3 2 9 2 2" xfId="29745"/>
    <cellStyle name="20% - Accent3 2 3 2 9 3" xfId="18454"/>
    <cellStyle name="20% - Accent3 2 3 3" xfId="1132"/>
    <cellStyle name="20% - Accent3 2 3 3 2" xfId="1133"/>
    <cellStyle name="20% - Accent3 2 3 3 2 2" xfId="10708"/>
    <cellStyle name="20% - Accent3 2 3 3 2 2 2" xfId="24650"/>
    <cellStyle name="20% - Accent3 2 3 3 2 3" xfId="18456"/>
    <cellStyle name="20% - Accent3 2 3 3 3" xfId="1134"/>
    <cellStyle name="20% - Accent3 2 3 3 3 2" xfId="12672"/>
    <cellStyle name="20% - Accent3 2 3 3 3 2 2" xfId="26384"/>
    <cellStyle name="20% - Accent3 2 3 3 3 3" xfId="18457"/>
    <cellStyle name="20% - Accent3 2 3 3 4" xfId="1135"/>
    <cellStyle name="20% - Accent3 2 3 3 4 2" xfId="14777"/>
    <cellStyle name="20% - Accent3 2 3 3 4 2 2" xfId="28326"/>
    <cellStyle name="20% - Accent3 2 3 3 4 3" xfId="18458"/>
    <cellStyle name="20% - Accent3 2 3 3 5" xfId="1136"/>
    <cellStyle name="20% - Accent3 2 3 3 5 2" xfId="16630"/>
    <cellStyle name="20% - Accent3 2 3 3 5 2 2" xfId="30037"/>
    <cellStyle name="20% - Accent3 2 3 3 5 3" xfId="18459"/>
    <cellStyle name="20% - Accent3 2 3 3 6" xfId="8983"/>
    <cellStyle name="20% - Accent3 2 3 3 6 2" xfId="23458"/>
    <cellStyle name="20% - Accent3 2 3 3 7" xfId="18455"/>
    <cellStyle name="20% - Accent3 2 3 4" xfId="1137"/>
    <cellStyle name="20% - Accent3 2 3 4 2" xfId="1138"/>
    <cellStyle name="20% - Accent3 2 3 4 2 2" xfId="14778"/>
    <cellStyle name="20% - Accent3 2 3 4 2 2 2" xfId="28327"/>
    <cellStyle name="20% - Accent3 2 3 4 2 3" xfId="18461"/>
    <cellStyle name="20% - Accent3 2 3 4 3" xfId="10705"/>
    <cellStyle name="20% - Accent3 2 3 4 3 2" xfId="24647"/>
    <cellStyle name="20% - Accent3 2 3 4 4" xfId="18460"/>
    <cellStyle name="20% - Accent3 2 3 5" xfId="1139"/>
    <cellStyle name="20% - Accent3 2 3 5 2" xfId="12007"/>
    <cellStyle name="20% - Accent3 2 3 5 2 2" xfId="25722"/>
    <cellStyle name="20% - Accent3 2 3 5 3" xfId="18462"/>
    <cellStyle name="20% - Accent3 2 3 6" xfId="1140"/>
    <cellStyle name="20% - Accent3 2 3 6 2" xfId="12787"/>
    <cellStyle name="20% - Accent3 2 3 6 2 2" xfId="26499"/>
    <cellStyle name="20% - Accent3 2 3 6 3" xfId="18463"/>
    <cellStyle name="20% - Accent3 2 3 7" xfId="1141"/>
    <cellStyle name="20% - Accent3 2 3 7 2" xfId="13582"/>
    <cellStyle name="20% - Accent3 2 3 7 2 2" xfId="27131"/>
    <cellStyle name="20% - Accent3 2 3 7 3" xfId="18464"/>
    <cellStyle name="20% - Accent3 2 3 8" xfId="1142"/>
    <cellStyle name="20% - Accent3 2 3 8 2" xfId="14163"/>
    <cellStyle name="20% - Accent3 2 3 8 2 2" xfId="27712"/>
    <cellStyle name="20% - Accent3 2 3 8 3" xfId="18465"/>
    <cellStyle name="20% - Accent3 2 3 9" xfId="1143"/>
    <cellStyle name="20% - Accent3 2 3 9 2" xfId="14773"/>
    <cellStyle name="20% - Accent3 2 3 9 2 2" xfId="28322"/>
    <cellStyle name="20% - Accent3 2 3 9 3" xfId="18466"/>
    <cellStyle name="20% - Accent3 2 4" xfId="1144"/>
    <cellStyle name="20% - Accent3 2 4 10" xfId="8984"/>
    <cellStyle name="20% - Accent3 2 4 10 2" xfId="23459"/>
    <cellStyle name="20% - Accent3 2 4 11" xfId="18467"/>
    <cellStyle name="20% - Accent3 2 4 2" xfId="1145"/>
    <cellStyle name="20% - Accent3 2 4 2 2" xfId="1146"/>
    <cellStyle name="20% - Accent3 2 4 2 2 2" xfId="10710"/>
    <cellStyle name="20% - Accent3 2 4 2 2 2 2" xfId="24652"/>
    <cellStyle name="20% - Accent3 2 4 2 2 3" xfId="18469"/>
    <cellStyle name="20% - Accent3 2 4 2 3" xfId="1147"/>
    <cellStyle name="20% - Accent3 2 4 2 3 2" xfId="12808"/>
    <cellStyle name="20% - Accent3 2 4 2 3 2 2" xfId="26520"/>
    <cellStyle name="20% - Accent3 2 4 2 3 3" xfId="18470"/>
    <cellStyle name="20% - Accent3 2 4 2 4" xfId="1148"/>
    <cellStyle name="20% - Accent3 2 4 2 4 2" xfId="14780"/>
    <cellStyle name="20% - Accent3 2 4 2 4 2 2" xfId="28329"/>
    <cellStyle name="20% - Accent3 2 4 2 4 3" xfId="18471"/>
    <cellStyle name="20% - Accent3 2 4 2 5" xfId="1149"/>
    <cellStyle name="20% - Accent3 2 4 2 5 2" xfId="16776"/>
    <cellStyle name="20% - Accent3 2 4 2 5 2 2" xfId="30183"/>
    <cellStyle name="20% - Accent3 2 4 2 5 3" xfId="18472"/>
    <cellStyle name="20% - Accent3 2 4 2 6" xfId="8985"/>
    <cellStyle name="20% - Accent3 2 4 2 6 2" xfId="23460"/>
    <cellStyle name="20% - Accent3 2 4 2 7" xfId="18468"/>
    <cellStyle name="20% - Accent3 2 4 3" xfId="1150"/>
    <cellStyle name="20% - Accent3 2 4 3 2" xfId="1151"/>
    <cellStyle name="20% - Accent3 2 4 3 2 2" xfId="14781"/>
    <cellStyle name="20% - Accent3 2 4 3 2 2 2" xfId="28330"/>
    <cellStyle name="20% - Accent3 2 4 3 2 3" xfId="18474"/>
    <cellStyle name="20% - Accent3 2 4 3 3" xfId="10709"/>
    <cellStyle name="20% - Accent3 2 4 3 3 2" xfId="24651"/>
    <cellStyle name="20% - Accent3 2 4 3 4" xfId="18473"/>
    <cellStyle name="20% - Accent3 2 4 4" xfId="1152"/>
    <cellStyle name="20% - Accent3 2 4 4 2" xfId="12164"/>
    <cellStyle name="20% - Accent3 2 4 4 2 2" xfId="25876"/>
    <cellStyle name="20% - Accent3 2 4 4 3" xfId="18475"/>
    <cellStyle name="20% - Accent3 2 4 5" xfId="1153"/>
    <cellStyle name="20% - Accent3 2 4 5 2" xfId="12493"/>
    <cellStyle name="20% - Accent3 2 4 5 2 2" xfId="26205"/>
    <cellStyle name="20% - Accent3 2 4 5 3" xfId="18476"/>
    <cellStyle name="20% - Accent3 2 4 6" xfId="1154"/>
    <cellStyle name="20% - Accent3 2 4 6 2" xfId="13728"/>
    <cellStyle name="20% - Accent3 2 4 6 2 2" xfId="27277"/>
    <cellStyle name="20% - Accent3 2 4 6 3" xfId="18477"/>
    <cellStyle name="20% - Accent3 2 4 7" xfId="1155"/>
    <cellStyle name="20% - Accent3 2 4 7 2" xfId="14309"/>
    <cellStyle name="20% - Accent3 2 4 7 2 2" xfId="27858"/>
    <cellStyle name="20% - Accent3 2 4 7 3" xfId="18478"/>
    <cellStyle name="20% - Accent3 2 4 8" xfId="1156"/>
    <cellStyle name="20% - Accent3 2 4 8 2" xfId="14779"/>
    <cellStyle name="20% - Accent3 2 4 8 2 2" xfId="28328"/>
    <cellStyle name="20% - Accent3 2 4 8 3" xfId="18479"/>
    <cellStyle name="20% - Accent3 2 4 9" xfId="1157"/>
    <cellStyle name="20% - Accent3 2 4 9 2" xfId="16195"/>
    <cellStyle name="20% - Accent3 2 4 9 2 2" xfId="29602"/>
    <cellStyle name="20% - Accent3 2 4 9 3" xfId="18480"/>
    <cellStyle name="20% - Accent3 2 5" xfId="1158"/>
    <cellStyle name="20% - Accent3 2 5 2" xfId="1159"/>
    <cellStyle name="20% - Accent3 2 5 2 2" xfId="1160"/>
    <cellStyle name="20% - Accent3 2 5 2 2 2" xfId="10712"/>
    <cellStyle name="20% - Accent3 2 5 2 2 2 2" xfId="24654"/>
    <cellStyle name="20% - Accent3 2 5 2 2 3" xfId="18483"/>
    <cellStyle name="20% - Accent3 2 5 2 3" xfId="1161"/>
    <cellStyle name="20% - Accent3 2 5 2 3 2" xfId="12621"/>
    <cellStyle name="20% - Accent3 2 5 2 3 2 2" xfId="26333"/>
    <cellStyle name="20% - Accent3 2 5 2 3 3" xfId="18484"/>
    <cellStyle name="20% - Accent3 2 5 2 4" xfId="1162"/>
    <cellStyle name="20% - Accent3 2 5 2 4 2" xfId="14783"/>
    <cellStyle name="20% - Accent3 2 5 2 4 2 2" xfId="28332"/>
    <cellStyle name="20% - Accent3 2 5 2 4 3" xfId="18485"/>
    <cellStyle name="20% - Accent3 2 5 2 5" xfId="8987"/>
    <cellStyle name="20% - Accent3 2 5 2 5 2" xfId="23462"/>
    <cellStyle name="20% - Accent3 2 5 2 6" xfId="18482"/>
    <cellStyle name="20% - Accent3 2 5 3" xfId="1163"/>
    <cellStyle name="20% - Accent3 2 5 3 2" xfId="10711"/>
    <cellStyle name="20% - Accent3 2 5 3 2 2" xfId="24653"/>
    <cellStyle name="20% - Accent3 2 5 3 3" xfId="18486"/>
    <cellStyle name="20% - Accent3 2 5 4" xfId="1164"/>
    <cellStyle name="20% - Accent3 2 5 4 2" xfId="12624"/>
    <cellStyle name="20% - Accent3 2 5 4 2 2" xfId="26336"/>
    <cellStyle name="20% - Accent3 2 5 4 3" xfId="18487"/>
    <cellStyle name="20% - Accent3 2 5 5" xfId="1165"/>
    <cellStyle name="20% - Accent3 2 5 5 2" xfId="14782"/>
    <cellStyle name="20% - Accent3 2 5 5 2 2" xfId="28331"/>
    <cellStyle name="20% - Accent3 2 5 5 3" xfId="18488"/>
    <cellStyle name="20% - Accent3 2 5 6" xfId="1166"/>
    <cellStyle name="20% - Accent3 2 5 6 2" xfId="17009"/>
    <cellStyle name="20% - Accent3 2 5 6 2 2" xfId="30416"/>
    <cellStyle name="20% - Accent3 2 5 6 3" xfId="18489"/>
    <cellStyle name="20% - Accent3 2 5 7" xfId="8986"/>
    <cellStyle name="20% - Accent3 2 5 7 2" xfId="23461"/>
    <cellStyle name="20% - Accent3 2 5 8" xfId="18481"/>
    <cellStyle name="20% - Accent3 2 6" xfId="1167"/>
    <cellStyle name="20% - Accent3 2 6 2" xfId="1168"/>
    <cellStyle name="20% - Accent3 2 6 2 2" xfId="10713"/>
    <cellStyle name="20% - Accent3 2 6 2 2 2" xfId="24655"/>
    <cellStyle name="20% - Accent3 2 6 2 3" xfId="18491"/>
    <cellStyle name="20% - Accent3 2 6 3" xfId="1169"/>
    <cellStyle name="20% - Accent3 2 6 3 2" xfId="12640"/>
    <cellStyle name="20% - Accent3 2 6 3 2 2" xfId="26352"/>
    <cellStyle name="20% - Accent3 2 6 3 3" xfId="18492"/>
    <cellStyle name="20% - Accent3 2 6 4" xfId="1170"/>
    <cellStyle name="20% - Accent3 2 6 4 2" xfId="14784"/>
    <cellStyle name="20% - Accent3 2 6 4 2 2" xfId="28333"/>
    <cellStyle name="20% - Accent3 2 6 4 3" xfId="18493"/>
    <cellStyle name="20% - Accent3 2 6 5" xfId="1171"/>
    <cellStyle name="20% - Accent3 2 6 5 2" xfId="17123"/>
    <cellStyle name="20% - Accent3 2 6 5 2 2" xfId="30482"/>
    <cellStyle name="20% - Accent3 2 6 5 3" xfId="18494"/>
    <cellStyle name="20% - Accent3 2 6 6" xfId="8988"/>
    <cellStyle name="20% - Accent3 2 6 6 2" xfId="23463"/>
    <cellStyle name="20% - Accent3 2 6 7" xfId="18490"/>
    <cellStyle name="20% - Accent3 2 7" xfId="1172"/>
    <cellStyle name="20% - Accent3 2 7 2" xfId="1173"/>
    <cellStyle name="20% - Accent3 2 7 2 2" xfId="10714"/>
    <cellStyle name="20% - Accent3 2 7 2 2 2" xfId="24656"/>
    <cellStyle name="20% - Accent3 2 7 2 3" xfId="18496"/>
    <cellStyle name="20% - Accent3 2 7 3" xfId="1174"/>
    <cellStyle name="20% - Accent3 2 7 3 2" xfId="12805"/>
    <cellStyle name="20% - Accent3 2 7 3 2 2" xfId="26517"/>
    <cellStyle name="20% - Accent3 2 7 3 3" xfId="18497"/>
    <cellStyle name="20% - Accent3 2 7 4" xfId="1175"/>
    <cellStyle name="20% - Accent3 2 7 4 2" xfId="14785"/>
    <cellStyle name="20% - Accent3 2 7 4 2 2" xfId="28334"/>
    <cellStyle name="20% - Accent3 2 7 4 3" xfId="18498"/>
    <cellStyle name="20% - Accent3 2 7 5" xfId="1176"/>
    <cellStyle name="20% - Accent3 2 7 5 2" xfId="17212"/>
    <cellStyle name="20% - Accent3 2 7 5 2 2" xfId="30571"/>
    <cellStyle name="20% - Accent3 2 7 5 3" xfId="18499"/>
    <cellStyle name="20% - Accent3 2 7 6" xfId="8989"/>
    <cellStyle name="20% - Accent3 2 7 6 2" xfId="23464"/>
    <cellStyle name="20% - Accent3 2 7 7" xfId="18495"/>
    <cellStyle name="20% - Accent3 2 8" xfId="1177"/>
    <cellStyle name="20% - Accent3 2 8 2" xfId="1178"/>
    <cellStyle name="20% - Accent3 2 8 2 2" xfId="12405"/>
    <cellStyle name="20% - Accent3 2 8 2 2 2" xfId="26117"/>
    <cellStyle name="20% - Accent3 2 8 2 3" xfId="18501"/>
    <cellStyle name="20% - Accent3 2 8 3" xfId="1179"/>
    <cellStyle name="20% - Accent3 2 8 3 2" xfId="14786"/>
    <cellStyle name="20% - Accent3 2 8 3 2 2" xfId="28335"/>
    <cellStyle name="20% - Accent3 2 8 3 3" xfId="18502"/>
    <cellStyle name="20% - Accent3 2 8 4" xfId="1180"/>
    <cellStyle name="20% - Accent3 2 8 4 2" xfId="16487"/>
    <cellStyle name="20% - Accent3 2 8 4 2 2" xfId="29894"/>
    <cellStyle name="20% - Accent3 2 8 4 3" xfId="18503"/>
    <cellStyle name="20% - Accent3 2 8 5" xfId="10530"/>
    <cellStyle name="20% - Accent3 2 8 5 2" xfId="24472"/>
    <cellStyle name="20% - Accent3 2 8 6" xfId="18500"/>
    <cellStyle name="20% - Accent3 2 9" xfId="1181"/>
    <cellStyle name="20% - Accent3 2 9 2" xfId="1182"/>
    <cellStyle name="20% - Accent3 2 9 2 2" xfId="12700"/>
    <cellStyle name="20% - Accent3 2 9 2 2 2" xfId="26412"/>
    <cellStyle name="20% - Accent3 2 9 2 3" xfId="18505"/>
    <cellStyle name="20% - Accent3 2 9 3" xfId="1183"/>
    <cellStyle name="20% - Accent3 2 9 3 2" xfId="14787"/>
    <cellStyle name="20% - Accent3 2 9 3 2 2" xfId="28336"/>
    <cellStyle name="20% - Accent3 2 9 3 3" xfId="18506"/>
    <cellStyle name="20% - Accent3 2 9 4" xfId="10696"/>
    <cellStyle name="20% - Accent3 2 9 4 2" xfId="24638"/>
    <cellStyle name="20% - Accent3 2 9 5" xfId="18504"/>
    <cellStyle name="20% - Accent3 20" xfId="1184"/>
    <cellStyle name="20% - Accent3 20 2" xfId="1185"/>
    <cellStyle name="20% - Accent3 20 2 2" xfId="12415"/>
    <cellStyle name="20% - Accent3 20 2 2 2" xfId="26127"/>
    <cellStyle name="20% - Accent3 20 2 3" xfId="18508"/>
    <cellStyle name="20% - Accent3 20 3" xfId="1186"/>
    <cellStyle name="20% - Accent3 20 3 2" xfId="14788"/>
    <cellStyle name="20% - Accent3 20 3 2 2" xfId="28337"/>
    <cellStyle name="20% - Accent3 20 3 3" xfId="18509"/>
    <cellStyle name="20% - Accent3 20 4" xfId="10505"/>
    <cellStyle name="20% - Accent3 20 4 2" xfId="24453"/>
    <cellStyle name="20% - Accent3 20 5" xfId="18507"/>
    <cellStyle name="20% - Accent3 21" xfId="1187"/>
    <cellStyle name="20% - Accent3 21 2" xfId="1188"/>
    <cellStyle name="20% - Accent3 21 2 2" xfId="12643"/>
    <cellStyle name="20% - Accent3 21 2 2 2" xfId="26355"/>
    <cellStyle name="20% - Accent3 21 2 3" xfId="18511"/>
    <cellStyle name="20% - Accent3 21 3" xfId="1189"/>
    <cellStyle name="20% - Accent3 21 3 2" xfId="14789"/>
    <cellStyle name="20% - Accent3 21 3 2 2" xfId="28338"/>
    <cellStyle name="20% - Accent3 21 3 3" xfId="18512"/>
    <cellStyle name="20% - Accent3 21 4" xfId="10685"/>
    <cellStyle name="20% - Accent3 21 4 2" xfId="24627"/>
    <cellStyle name="20% - Accent3 21 5" xfId="18510"/>
    <cellStyle name="20% - Accent3 22" xfId="1190"/>
    <cellStyle name="20% - Accent3 22 2" xfId="11741"/>
    <cellStyle name="20% - Accent3 22 2 2" xfId="25456"/>
    <cellStyle name="20% - Accent3 22 3" xfId="18513"/>
    <cellStyle name="20% - Accent3 23" xfId="1191"/>
    <cellStyle name="20% - Accent3 23 2" xfId="12800"/>
    <cellStyle name="20% - Accent3 23 2 2" xfId="26512"/>
    <cellStyle name="20% - Accent3 23 3" xfId="18514"/>
    <cellStyle name="20% - Accent3 24" xfId="1192"/>
    <cellStyle name="20% - Accent3 24 2" xfId="13380"/>
    <cellStyle name="20% - Accent3 24 2 2" xfId="26929"/>
    <cellStyle name="20% - Accent3 24 3" xfId="18515"/>
    <cellStyle name="20% - Accent3 25" xfId="1193"/>
    <cellStyle name="20% - Accent3 25 2" xfId="13961"/>
    <cellStyle name="20% - Accent3 25 2 2" xfId="27510"/>
    <cellStyle name="20% - Accent3 25 3" xfId="18516"/>
    <cellStyle name="20% - Accent3 26" xfId="1194"/>
    <cellStyle name="20% - Accent3 26 2" xfId="14746"/>
    <cellStyle name="20% - Accent3 26 2 2" xfId="28295"/>
    <cellStyle name="20% - Accent3 26 3" xfId="18517"/>
    <cellStyle name="20% - Accent3 27" xfId="1195"/>
    <cellStyle name="20% - Accent3 27 2" xfId="15838"/>
    <cellStyle name="20% - Accent3 27 2 2" xfId="29245"/>
    <cellStyle name="20% - Accent3 27 3" xfId="18518"/>
    <cellStyle name="20% - Accent3 28" xfId="1196"/>
    <cellStyle name="20% - Accent3 28 2" xfId="15847"/>
    <cellStyle name="20% - Accent3 28 2 2" xfId="29254"/>
    <cellStyle name="20% - Accent3 28 3" xfId="18519"/>
    <cellStyle name="20% - Accent3 29" xfId="1197"/>
    <cellStyle name="20% - Accent3 29 2" xfId="8960"/>
    <cellStyle name="20% - Accent3 29 2 2" xfId="23435"/>
    <cellStyle name="20% - Accent3 29 3" xfId="18520"/>
    <cellStyle name="20% - Accent3 3" xfId="1198"/>
    <cellStyle name="20% - Accent3 3 10" xfId="1199"/>
    <cellStyle name="20% - Accent3 3 10 2" xfId="14043"/>
    <cellStyle name="20% - Accent3 3 10 2 2" xfId="27592"/>
    <cellStyle name="20% - Accent3 3 10 3" xfId="18522"/>
    <cellStyle name="20% - Accent3 3 11" xfId="1200"/>
    <cellStyle name="20% - Accent3 3 11 2" xfId="14790"/>
    <cellStyle name="20% - Accent3 3 11 2 2" xfId="28339"/>
    <cellStyle name="20% - Accent3 3 11 3" xfId="18523"/>
    <cellStyle name="20% - Accent3 3 12" xfId="1201"/>
    <cellStyle name="20% - Accent3 3 12 2" xfId="15929"/>
    <cellStyle name="20% - Accent3 3 12 2 2" xfId="29336"/>
    <cellStyle name="20% - Accent3 3 12 3" xfId="18524"/>
    <cellStyle name="20% - Accent3 3 13" xfId="8990"/>
    <cellStyle name="20% - Accent3 3 13 2" xfId="23465"/>
    <cellStyle name="20% - Accent3 3 14" xfId="18521"/>
    <cellStyle name="20% - Accent3 3 2" xfId="1202"/>
    <cellStyle name="20% - Accent3 3 2 10" xfId="1203"/>
    <cellStyle name="20% - Accent3 3 2 10 2" xfId="16072"/>
    <cellStyle name="20% - Accent3 3 2 10 2 2" xfId="29479"/>
    <cellStyle name="20% - Accent3 3 2 10 3" xfId="18526"/>
    <cellStyle name="20% - Accent3 3 2 11" xfId="8991"/>
    <cellStyle name="20% - Accent3 3 2 11 2" xfId="23466"/>
    <cellStyle name="20% - Accent3 3 2 12" xfId="18525"/>
    <cellStyle name="20% - Accent3 3 2 2" xfId="1204"/>
    <cellStyle name="20% - Accent3 3 2 2 10" xfId="8992"/>
    <cellStyle name="20% - Accent3 3 2 2 10 2" xfId="23467"/>
    <cellStyle name="20% - Accent3 3 2 2 11" xfId="18527"/>
    <cellStyle name="20% - Accent3 3 2 2 2" xfId="1205"/>
    <cellStyle name="20% - Accent3 3 2 2 2 2" xfId="1206"/>
    <cellStyle name="20% - Accent3 3 2 2 2 2 2" xfId="10718"/>
    <cellStyle name="20% - Accent3 3 2 2 2 2 2 2" xfId="24660"/>
    <cellStyle name="20% - Accent3 3 2 2 2 2 3" xfId="18529"/>
    <cellStyle name="20% - Accent3 3 2 2 2 3" xfId="1207"/>
    <cellStyle name="20% - Accent3 3 2 2 2 3 2" xfId="12527"/>
    <cellStyle name="20% - Accent3 3 2 2 2 3 2 2" xfId="26239"/>
    <cellStyle name="20% - Accent3 3 2 2 2 3 3" xfId="18530"/>
    <cellStyle name="20% - Accent3 3 2 2 2 4" xfId="1208"/>
    <cellStyle name="20% - Accent3 3 2 2 2 4 2" xfId="14793"/>
    <cellStyle name="20% - Accent3 3 2 2 2 4 2 2" xfId="28342"/>
    <cellStyle name="20% - Accent3 3 2 2 2 4 3" xfId="18531"/>
    <cellStyle name="20% - Accent3 3 2 2 2 5" xfId="1209"/>
    <cellStyle name="20% - Accent3 3 2 2 2 5 2" xfId="16942"/>
    <cellStyle name="20% - Accent3 3 2 2 2 5 2 2" xfId="30349"/>
    <cellStyle name="20% - Accent3 3 2 2 2 5 3" xfId="18532"/>
    <cellStyle name="20% - Accent3 3 2 2 2 6" xfId="8993"/>
    <cellStyle name="20% - Accent3 3 2 2 2 6 2" xfId="23468"/>
    <cellStyle name="20% - Accent3 3 2 2 2 7" xfId="18528"/>
    <cellStyle name="20% - Accent3 3 2 2 3" xfId="1210"/>
    <cellStyle name="20% - Accent3 3 2 2 3 2" xfId="1211"/>
    <cellStyle name="20% - Accent3 3 2 2 3 2 2" xfId="14794"/>
    <cellStyle name="20% - Accent3 3 2 2 3 2 2 2" xfId="28343"/>
    <cellStyle name="20% - Accent3 3 2 2 3 2 3" xfId="18534"/>
    <cellStyle name="20% - Accent3 3 2 2 3 3" xfId="10717"/>
    <cellStyle name="20% - Accent3 3 2 2 3 3 2" xfId="24659"/>
    <cellStyle name="20% - Accent3 3 2 2 3 4" xfId="18533"/>
    <cellStyle name="20% - Accent3 3 2 2 4" xfId="1212"/>
    <cellStyle name="20% - Accent3 3 2 2 4 2" xfId="12330"/>
    <cellStyle name="20% - Accent3 3 2 2 4 2 2" xfId="26042"/>
    <cellStyle name="20% - Accent3 3 2 2 4 3" xfId="18535"/>
    <cellStyle name="20% - Accent3 3 2 2 5" xfId="1213"/>
    <cellStyle name="20% - Accent3 3 2 2 5 2" xfId="12692"/>
    <cellStyle name="20% - Accent3 3 2 2 5 2 2" xfId="26404"/>
    <cellStyle name="20% - Accent3 3 2 2 5 3" xfId="18536"/>
    <cellStyle name="20% - Accent3 3 2 2 6" xfId="1214"/>
    <cellStyle name="20% - Accent3 3 2 2 6 2" xfId="13894"/>
    <cellStyle name="20% - Accent3 3 2 2 6 2 2" xfId="27443"/>
    <cellStyle name="20% - Accent3 3 2 2 6 3" xfId="18537"/>
    <cellStyle name="20% - Accent3 3 2 2 7" xfId="1215"/>
    <cellStyle name="20% - Accent3 3 2 2 7 2" xfId="14475"/>
    <cellStyle name="20% - Accent3 3 2 2 7 2 2" xfId="28024"/>
    <cellStyle name="20% - Accent3 3 2 2 7 3" xfId="18538"/>
    <cellStyle name="20% - Accent3 3 2 2 8" xfId="1216"/>
    <cellStyle name="20% - Accent3 3 2 2 8 2" xfId="14792"/>
    <cellStyle name="20% - Accent3 3 2 2 8 2 2" xfId="28341"/>
    <cellStyle name="20% - Accent3 3 2 2 8 3" xfId="18539"/>
    <cellStyle name="20% - Accent3 3 2 2 9" xfId="1217"/>
    <cellStyle name="20% - Accent3 3 2 2 9 2" xfId="16361"/>
    <cellStyle name="20% - Accent3 3 2 2 9 2 2" xfId="29768"/>
    <cellStyle name="20% - Accent3 3 2 2 9 3" xfId="18540"/>
    <cellStyle name="20% - Accent3 3 2 3" xfId="1218"/>
    <cellStyle name="20% - Accent3 3 2 3 2" xfId="1219"/>
    <cellStyle name="20% - Accent3 3 2 3 2 2" xfId="10719"/>
    <cellStyle name="20% - Accent3 3 2 3 2 2 2" xfId="24661"/>
    <cellStyle name="20% - Accent3 3 2 3 2 3" xfId="18542"/>
    <cellStyle name="20% - Accent3 3 2 3 3" xfId="1220"/>
    <cellStyle name="20% - Accent3 3 2 3 3 2" xfId="12561"/>
    <cellStyle name="20% - Accent3 3 2 3 3 2 2" xfId="26273"/>
    <cellStyle name="20% - Accent3 3 2 3 3 3" xfId="18543"/>
    <cellStyle name="20% - Accent3 3 2 3 4" xfId="1221"/>
    <cellStyle name="20% - Accent3 3 2 3 4 2" xfId="14795"/>
    <cellStyle name="20% - Accent3 3 2 3 4 2 2" xfId="28344"/>
    <cellStyle name="20% - Accent3 3 2 3 4 3" xfId="18544"/>
    <cellStyle name="20% - Accent3 3 2 3 5" xfId="1222"/>
    <cellStyle name="20% - Accent3 3 2 3 5 2" xfId="16653"/>
    <cellStyle name="20% - Accent3 3 2 3 5 2 2" xfId="30060"/>
    <cellStyle name="20% - Accent3 3 2 3 5 3" xfId="18545"/>
    <cellStyle name="20% - Accent3 3 2 3 6" xfId="8994"/>
    <cellStyle name="20% - Accent3 3 2 3 6 2" xfId="23469"/>
    <cellStyle name="20% - Accent3 3 2 3 7" xfId="18541"/>
    <cellStyle name="20% - Accent3 3 2 4" xfId="1223"/>
    <cellStyle name="20% - Accent3 3 2 4 2" xfId="1224"/>
    <cellStyle name="20% - Accent3 3 2 4 2 2" xfId="14796"/>
    <cellStyle name="20% - Accent3 3 2 4 2 2 2" xfId="28345"/>
    <cellStyle name="20% - Accent3 3 2 4 2 3" xfId="18547"/>
    <cellStyle name="20% - Accent3 3 2 4 3" xfId="10716"/>
    <cellStyle name="20% - Accent3 3 2 4 3 2" xfId="24658"/>
    <cellStyle name="20% - Accent3 3 2 4 4" xfId="18546"/>
    <cellStyle name="20% - Accent3 3 2 5" xfId="1225"/>
    <cellStyle name="20% - Accent3 3 2 5 2" xfId="12030"/>
    <cellStyle name="20% - Accent3 3 2 5 2 2" xfId="25745"/>
    <cellStyle name="20% - Accent3 3 2 5 3" xfId="18548"/>
    <cellStyle name="20% - Accent3 3 2 6" xfId="1226"/>
    <cellStyle name="20% - Accent3 3 2 6 2" xfId="12471"/>
    <cellStyle name="20% - Accent3 3 2 6 2 2" xfId="26183"/>
    <cellStyle name="20% - Accent3 3 2 6 3" xfId="18549"/>
    <cellStyle name="20% - Accent3 3 2 7" xfId="1227"/>
    <cellStyle name="20% - Accent3 3 2 7 2" xfId="13605"/>
    <cellStyle name="20% - Accent3 3 2 7 2 2" xfId="27154"/>
    <cellStyle name="20% - Accent3 3 2 7 3" xfId="18550"/>
    <cellStyle name="20% - Accent3 3 2 8" xfId="1228"/>
    <cellStyle name="20% - Accent3 3 2 8 2" xfId="14186"/>
    <cellStyle name="20% - Accent3 3 2 8 2 2" xfId="27735"/>
    <cellStyle name="20% - Accent3 3 2 8 3" xfId="18551"/>
    <cellStyle name="20% - Accent3 3 2 9" xfId="1229"/>
    <cellStyle name="20% - Accent3 3 2 9 2" xfId="14791"/>
    <cellStyle name="20% - Accent3 3 2 9 2 2" xfId="28340"/>
    <cellStyle name="20% - Accent3 3 2 9 3" xfId="18552"/>
    <cellStyle name="20% - Accent3 3 3" xfId="1230"/>
    <cellStyle name="20% - Accent3 3 3 10" xfId="8995"/>
    <cellStyle name="20% - Accent3 3 3 10 2" xfId="23470"/>
    <cellStyle name="20% - Accent3 3 3 11" xfId="18553"/>
    <cellStyle name="20% - Accent3 3 3 2" xfId="1231"/>
    <cellStyle name="20% - Accent3 3 3 2 2" xfId="1232"/>
    <cellStyle name="20% - Accent3 3 3 2 2 2" xfId="10721"/>
    <cellStyle name="20% - Accent3 3 3 2 2 2 2" xfId="24663"/>
    <cellStyle name="20% - Accent3 3 3 2 2 3" xfId="18555"/>
    <cellStyle name="20% - Accent3 3 3 2 3" xfId="1233"/>
    <cellStyle name="20% - Accent3 3 3 2 3 2" xfId="12641"/>
    <cellStyle name="20% - Accent3 3 3 2 3 2 2" xfId="26353"/>
    <cellStyle name="20% - Accent3 3 3 2 3 3" xfId="18556"/>
    <cellStyle name="20% - Accent3 3 3 2 4" xfId="1234"/>
    <cellStyle name="20% - Accent3 3 3 2 4 2" xfId="14798"/>
    <cellStyle name="20% - Accent3 3 3 2 4 2 2" xfId="28347"/>
    <cellStyle name="20% - Accent3 3 3 2 4 3" xfId="18557"/>
    <cellStyle name="20% - Accent3 3 3 2 5" xfId="1235"/>
    <cellStyle name="20% - Accent3 3 3 2 5 2" xfId="16799"/>
    <cellStyle name="20% - Accent3 3 3 2 5 2 2" xfId="30206"/>
    <cellStyle name="20% - Accent3 3 3 2 5 3" xfId="18558"/>
    <cellStyle name="20% - Accent3 3 3 2 6" xfId="8996"/>
    <cellStyle name="20% - Accent3 3 3 2 6 2" xfId="23471"/>
    <cellStyle name="20% - Accent3 3 3 2 7" xfId="18554"/>
    <cellStyle name="20% - Accent3 3 3 3" xfId="1236"/>
    <cellStyle name="20% - Accent3 3 3 3 2" xfId="1237"/>
    <cellStyle name="20% - Accent3 3 3 3 2 2" xfId="14799"/>
    <cellStyle name="20% - Accent3 3 3 3 2 2 2" xfId="28348"/>
    <cellStyle name="20% - Accent3 3 3 3 2 3" xfId="18560"/>
    <cellStyle name="20% - Accent3 3 3 3 3" xfId="10720"/>
    <cellStyle name="20% - Accent3 3 3 3 3 2" xfId="24662"/>
    <cellStyle name="20% - Accent3 3 3 3 4" xfId="18559"/>
    <cellStyle name="20% - Accent3 3 3 4" xfId="1238"/>
    <cellStyle name="20% - Accent3 3 3 4 2" xfId="12187"/>
    <cellStyle name="20% - Accent3 3 3 4 2 2" xfId="25899"/>
    <cellStyle name="20% - Accent3 3 3 4 3" xfId="18561"/>
    <cellStyle name="20% - Accent3 3 3 5" xfId="1239"/>
    <cellStyle name="20% - Accent3 3 3 5 2" xfId="12691"/>
    <cellStyle name="20% - Accent3 3 3 5 2 2" xfId="26403"/>
    <cellStyle name="20% - Accent3 3 3 5 3" xfId="18562"/>
    <cellStyle name="20% - Accent3 3 3 6" xfId="1240"/>
    <cellStyle name="20% - Accent3 3 3 6 2" xfId="13751"/>
    <cellStyle name="20% - Accent3 3 3 6 2 2" xfId="27300"/>
    <cellStyle name="20% - Accent3 3 3 6 3" xfId="18563"/>
    <cellStyle name="20% - Accent3 3 3 7" xfId="1241"/>
    <cellStyle name="20% - Accent3 3 3 7 2" xfId="14332"/>
    <cellStyle name="20% - Accent3 3 3 7 2 2" xfId="27881"/>
    <cellStyle name="20% - Accent3 3 3 7 3" xfId="18564"/>
    <cellStyle name="20% - Accent3 3 3 8" xfId="1242"/>
    <cellStyle name="20% - Accent3 3 3 8 2" xfId="14797"/>
    <cellStyle name="20% - Accent3 3 3 8 2 2" xfId="28346"/>
    <cellStyle name="20% - Accent3 3 3 8 3" xfId="18565"/>
    <cellStyle name="20% - Accent3 3 3 9" xfId="1243"/>
    <cellStyle name="20% - Accent3 3 3 9 2" xfId="16218"/>
    <cellStyle name="20% - Accent3 3 3 9 2 2" xfId="29625"/>
    <cellStyle name="20% - Accent3 3 3 9 3" xfId="18566"/>
    <cellStyle name="20% - Accent3 3 4" xfId="1244"/>
    <cellStyle name="20% - Accent3 3 4 2" xfId="1245"/>
    <cellStyle name="20% - Accent3 3 4 2 2" xfId="10722"/>
    <cellStyle name="20% - Accent3 3 4 2 2 2" xfId="24664"/>
    <cellStyle name="20% - Accent3 3 4 2 3" xfId="18568"/>
    <cellStyle name="20% - Accent3 3 4 3" xfId="1246"/>
    <cellStyle name="20% - Accent3 3 4 3 2" xfId="12432"/>
    <cellStyle name="20% - Accent3 3 4 3 2 2" xfId="26144"/>
    <cellStyle name="20% - Accent3 3 4 3 3" xfId="18569"/>
    <cellStyle name="20% - Accent3 3 4 4" xfId="1247"/>
    <cellStyle name="20% - Accent3 3 4 4 2" xfId="14800"/>
    <cellStyle name="20% - Accent3 3 4 4 2 2" xfId="28349"/>
    <cellStyle name="20% - Accent3 3 4 4 3" xfId="18570"/>
    <cellStyle name="20% - Accent3 3 4 5" xfId="1248"/>
    <cellStyle name="20% - Accent3 3 4 5 2" xfId="17146"/>
    <cellStyle name="20% - Accent3 3 4 5 2 2" xfId="30505"/>
    <cellStyle name="20% - Accent3 3 4 5 3" xfId="18571"/>
    <cellStyle name="20% - Accent3 3 4 6" xfId="8997"/>
    <cellStyle name="20% - Accent3 3 4 6 2" xfId="23472"/>
    <cellStyle name="20% - Accent3 3 4 7" xfId="18567"/>
    <cellStyle name="20% - Accent3 3 5" xfId="1249"/>
    <cellStyle name="20% - Accent3 3 5 2" xfId="1250"/>
    <cellStyle name="20% - Accent3 3 5 2 2" xfId="10723"/>
    <cellStyle name="20% - Accent3 3 5 2 2 2" xfId="24665"/>
    <cellStyle name="20% - Accent3 3 5 2 3" xfId="18573"/>
    <cellStyle name="20% - Accent3 3 5 3" xfId="1251"/>
    <cellStyle name="20% - Accent3 3 5 3 2" xfId="12462"/>
    <cellStyle name="20% - Accent3 3 5 3 2 2" xfId="26174"/>
    <cellStyle name="20% - Accent3 3 5 3 3" xfId="18574"/>
    <cellStyle name="20% - Accent3 3 5 4" xfId="1252"/>
    <cellStyle name="20% - Accent3 3 5 4 2" xfId="14801"/>
    <cellStyle name="20% - Accent3 3 5 4 2 2" xfId="28350"/>
    <cellStyle name="20% - Accent3 3 5 4 3" xfId="18575"/>
    <cellStyle name="20% - Accent3 3 5 5" xfId="1253"/>
    <cellStyle name="20% - Accent3 3 5 5 2" xfId="17235"/>
    <cellStyle name="20% - Accent3 3 5 5 2 2" xfId="30594"/>
    <cellStyle name="20% - Accent3 3 5 5 3" xfId="18576"/>
    <cellStyle name="20% - Accent3 3 5 6" xfId="8998"/>
    <cellStyle name="20% - Accent3 3 5 6 2" xfId="23473"/>
    <cellStyle name="20% - Accent3 3 5 7" xfId="18572"/>
    <cellStyle name="20% - Accent3 3 6" xfId="1254"/>
    <cellStyle name="20% - Accent3 3 6 2" xfId="1255"/>
    <cellStyle name="20% - Accent3 3 6 2 2" xfId="14802"/>
    <cellStyle name="20% - Accent3 3 6 2 2 2" xfId="28351"/>
    <cellStyle name="20% - Accent3 3 6 2 3" xfId="18578"/>
    <cellStyle name="20% - Accent3 3 6 3" xfId="1256"/>
    <cellStyle name="20% - Accent3 3 6 3 2" xfId="16510"/>
    <cellStyle name="20% - Accent3 3 6 3 2 2" xfId="29917"/>
    <cellStyle name="20% - Accent3 3 6 3 3" xfId="18579"/>
    <cellStyle name="20% - Accent3 3 6 4" xfId="10715"/>
    <cellStyle name="20% - Accent3 3 6 4 2" xfId="24657"/>
    <cellStyle name="20% - Accent3 3 6 5" xfId="18577"/>
    <cellStyle name="20% - Accent3 3 7" xfId="1257"/>
    <cellStyle name="20% - Accent3 3 7 2" xfId="11882"/>
    <cellStyle name="20% - Accent3 3 7 2 2" xfId="25597"/>
    <cellStyle name="20% - Accent3 3 7 3" xfId="18580"/>
    <cellStyle name="20% - Accent3 3 8" xfId="1258"/>
    <cellStyle name="20% - Accent3 3 8 2" xfId="12688"/>
    <cellStyle name="20% - Accent3 3 8 2 2" xfId="26400"/>
    <cellStyle name="20% - Accent3 3 8 3" xfId="18581"/>
    <cellStyle name="20% - Accent3 3 9" xfId="1259"/>
    <cellStyle name="20% - Accent3 3 9 2" xfId="13462"/>
    <cellStyle name="20% - Accent3 3 9 2 2" xfId="27011"/>
    <cellStyle name="20% - Accent3 3 9 3" xfId="18582"/>
    <cellStyle name="20% - Accent3 30" xfId="23253"/>
    <cellStyle name="20% - Accent3 4" xfId="1260"/>
    <cellStyle name="20% - Accent3 4 10" xfId="1261"/>
    <cellStyle name="20% - Accent3 4 10 2" xfId="14803"/>
    <cellStyle name="20% - Accent3 4 10 2 2" xfId="28352"/>
    <cellStyle name="20% - Accent3 4 10 3" xfId="18584"/>
    <cellStyle name="20% - Accent3 4 11" xfId="1262"/>
    <cellStyle name="20% - Accent3 4 11 2" xfId="15881"/>
    <cellStyle name="20% - Accent3 4 11 2 2" xfId="29288"/>
    <cellStyle name="20% - Accent3 4 11 3" xfId="18585"/>
    <cellStyle name="20% - Accent3 4 12" xfId="8999"/>
    <cellStyle name="20% - Accent3 4 12 2" xfId="23474"/>
    <cellStyle name="20% - Accent3 4 13" xfId="18583"/>
    <cellStyle name="20% - Accent3 4 2" xfId="1263"/>
    <cellStyle name="20% - Accent3 4 2 10" xfId="1264"/>
    <cellStyle name="20% - Accent3 4 2 10 2" xfId="16024"/>
    <cellStyle name="20% - Accent3 4 2 10 2 2" xfId="29431"/>
    <cellStyle name="20% - Accent3 4 2 10 3" xfId="18587"/>
    <cellStyle name="20% - Accent3 4 2 11" xfId="9000"/>
    <cellStyle name="20% - Accent3 4 2 11 2" xfId="23475"/>
    <cellStyle name="20% - Accent3 4 2 12" xfId="18586"/>
    <cellStyle name="20% - Accent3 4 2 2" xfId="1265"/>
    <cellStyle name="20% - Accent3 4 2 2 10" xfId="9001"/>
    <cellStyle name="20% - Accent3 4 2 2 10 2" xfId="23476"/>
    <cellStyle name="20% - Accent3 4 2 2 11" xfId="18588"/>
    <cellStyle name="20% - Accent3 4 2 2 2" xfId="1266"/>
    <cellStyle name="20% - Accent3 4 2 2 2 2" xfId="1267"/>
    <cellStyle name="20% - Accent3 4 2 2 2 2 2" xfId="10727"/>
    <cellStyle name="20% - Accent3 4 2 2 2 2 2 2" xfId="24669"/>
    <cellStyle name="20% - Accent3 4 2 2 2 2 3" xfId="18590"/>
    <cellStyle name="20% - Accent3 4 2 2 2 3" xfId="1268"/>
    <cellStyle name="20% - Accent3 4 2 2 2 3 2" xfId="11755"/>
    <cellStyle name="20% - Accent3 4 2 2 2 3 2 2" xfId="25470"/>
    <cellStyle name="20% - Accent3 4 2 2 2 3 3" xfId="18591"/>
    <cellStyle name="20% - Accent3 4 2 2 2 4" xfId="1269"/>
    <cellStyle name="20% - Accent3 4 2 2 2 4 2" xfId="14806"/>
    <cellStyle name="20% - Accent3 4 2 2 2 4 2 2" xfId="28355"/>
    <cellStyle name="20% - Accent3 4 2 2 2 4 3" xfId="18592"/>
    <cellStyle name="20% - Accent3 4 2 2 2 5" xfId="1270"/>
    <cellStyle name="20% - Accent3 4 2 2 2 5 2" xfId="16894"/>
    <cellStyle name="20% - Accent3 4 2 2 2 5 2 2" xfId="30301"/>
    <cellStyle name="20% - Accent3 4 2 2 2 5 3" xfId="18593"/>
    <cellStyle name="20% - Accent3 4 2 2 2 6" xfId="9002"/>
    <cellStyle name="20% - Accent3 4 2 2 2 6 2" xfId="23477"/>
    <cellStyle name="20% - Accent3 4 2 2 2 7" xfId="18589"/>
    <cellStyle name="20% - Accent3 4 2 2 3" xfId="1271"/>
    <cellStyle name="20% - Accent3 4 2 2 3 2" xfId="1272"/>
    <cellStyle name="20% - Accent3 4 2 2 3 2 2" xfId="14807"/>
    <cellStyle name="20% - Accent3 4 2 2 3 2 2 2" xfId="28356"/>
    <cellStyle name="20% - Accent3 4 2 2 3 2 3" xfId="18595"/>
    <cellStyle name="20% - Accent3 4 2 2 3 3" xfId="10726"/>
    <cellStyle name="20% - Accent3 4 2 2 3 3 2" xfId="24668"/>
    <cellStyle name="20% - Accent3 4 2 2 3 4" xfId="18594"/>
    <cellStyle name="20% - Accent3 4 2 2 4" xfId="1273"/>
    <cellStyle name="20% - Accent3 4 2 2 4 2" xfId="12282"/>
    <cellStyle name="20% - Accent3 4 2 2 4 2 2" xfId="25994"/>
    <cellStyle name="20% - Accent3 4 2 2 4 3" xfId="18596"/>
    <cellStyle name="20% - Accent3 4 2 2 5" xfId="1274"/>
    <cellStyle name="20% - Accent3 4 2 2 5 2" xfId="12627"/>
    <cellStyle name="20% - Accent3 4 2 2 5 2 2" xfId="26339"/>
    <cellStyle name="20% - Accent3 4 2 2 5 3" xfId="18597"/>
    <cellStyle name="20% - Accent3 4 2 2 6" xfId="1275"/>
    <cellStyle name="20% - Accent3 4 2 2 6 2" xfId="13846"/>
    <cellStyle name="20% - Accent3 4 2 2 6 2 2" xfId="27395"/>
    <cellStyle name="20% - Accent3 4 2 2 6 3" xfId="18598"/>
    <cellStyle name="20% - Accent3 4 2 2 7" xfId="1276"/>
    <cellStyle name="20% - Accent3 4 2 2 7 2" xfId="14427"/>
    <cellStyle name="20% - Accent3 4 2 2 7 2 2" xfId="27976"/>
    <cellStyle name="20% - Accent3 4 2 2 7 3" xfId="18599"/>
    <cellStyle name="20% - Accent3 4 2 2 8" xfId="1277"/>
    <cellStyle name="20% - Accent3 4 2 2 8 2" xfId="14805"/>
    <cellStyle name="20% - Accent3 4 2 2 8 2 2" xfId="28354"/>
    <cellStyle name="20% - Accent3 4 2 2 8 3" xfId="18600"/>
    <cellStyle name="20% - Accent3 4 2 2 9" xfId="1278"/>
    <cellStyle name="20% - Accent3 4 2 2 9 2" xfId="16313"/>
    <cellStyle name="20% - Accent3 4 2 2 9 2 2" xfId="29720"/>
    <cellStyle name="20% - Accent3 4 2 2 9 3" xfId="18601"/>
    <cellStyle name="20% - Accent3 4 2 3" xfId="1279"/>
    <cellStyle name="20% - Accent3 4 2 3 2" xfId="1280"/>
    <cellStyle name="20% - Accent3 4 2 3 2 2" xfId="10728"/>
    <cellStyle name="20% - Accent3 4 2 3 2 2 2" xfId="24670"/>
    <cellStyle name="20% - Accent3 4 2 3 2 3" xfId="18603"/>
    <cellStyle name="20% - Accent3 4 2 3 3" xfId="1281"/>
    <cellStyle name="20% - Accent3 4 2 3 3 2" xfId="12506"/>
    <cellStyle name="20% - Accent3 4 2 3 3 2 2" xfId="26218"/>
    <cellStyle name="20% - Accent3 4 2 3 3 3" xfId="18604"/>
    <cellStyle name="20% - Accent3 4 2 3 4" xfId="1282"/>
    <cellStyle name="20% - Accent3 4 2 3 4 2" xfId="14808"/>
    <cellStyle name="20% - Accent3 4 2 3 4 2 2" xfId="28357"/>
    <cellStyle name="20% - Accent3 4 2 3 4 3" xfId="18605"/>
    <cellStyle name="20% - Accent3 4 2 3 5" xfId="1283"/>
    <cellStyle name="20% - Accent3 4 2 3 5 2" xfId="16605"/>
    <cellStyle name="20% - Accent3 4 2 3 5 2 2" xfId="30012"/>
    <cellStyle name="20% - Accent3 4 2 3 5 3" xfId="18606"/>
    <cellStyle name="20% - Accent3 4 2 3 6" xfId="9003"/>
    <cellStyle name="20% - Accent3 4 2 3 6 2" xfId="23478"/>
    <cellStyle name="20% - Accent3 4 2 3 7" xfId="18602"/>
    <cellStyle name="20% - Accent3 4 2 4" xfId="1284"/>
    <cellStyle name="20% - Accent3 4 2 4 2" xfId="1285"/>
    <cellStyle name="20% - Accent3 4 2 4 2 2" xfId="14809"/>
    <cellStyle name="20% - Accent3 4 2 4 2 2 2" xfId="28358"/>
    <cellStyle name="20% - Accent3 4 2 4 2 3" xfId="18608"/>
    <cellStyle name="20% - Accent3 4 2 4 3" xfId="10725"/>
    <cellStyle name="20% - Accent3 4 2 4 3 2" xfId="24667"/>
    <cellStyle name="20% - Accent3 4 2 4 4" xfId="18607"/>
    <cellStyle name="20% - Accent3 4 2 5" xfId="1286"/>
    <cellStyle name="20% - Accent3 4 2 5 2" xfId="11982"/>
    <cellStyle name="20% - Accent3 4 2 5 2 2" xfId="25697"/>
    <cellStyle name="20% - Accent3 4 2 5 3" xfId="18609"/>
    <cellStyle name="20% - Accent3 4 2 6" xfId="1287"/>
    <cellStyle name="20% - Accent3 4 2 6 2" xfId="12736"/>
    <cellStyle name="20% - Accent3 4 2 6 2 2" xfId="26448"/>
    <cellStyle name="20% - Accent3 4 2 6 3" xfId="18610"/>
    <cellStyle name="20% - Accent3 4 2 7" xfId="1288"/>
    <cellStyle name="20% - Accent3 4 2 7 2" xfId="13557"/>
    <cellStyle name="20% - Accent3 4 2 7 2 2" xfId="27106"/>
    <cellStyle name="20% - Accent3 4 2 7 3" xfId="18611"/>
    <cellStyle name="20% - Accent3 4 2 8" xfId="1289"/>
    <cellStyle name="20% - Accent3 4 2 8 2" xfId="14138"/>
    <cellStyle name="20% - Accent3 4 2 8 2 2" xfId="27687"/>
    <cellStyle name="20% - Accent3 4 2 8 3" xfId="18612"/>
    <cellStyle name="20% - Accent3 4 2 9" xfId="1290"/>
    <cellStyle name="20% - Accent3 4 2 9 2" xfId="14804"/>
    <cellStyle name="20% - Accent3 4 2 9 2 2" xfId="28353"/>
    <cellStyle name="20% - Accent3 4 2 9 3" xfId="18613"/>
    <cellStyle name="20% - Accent3 4 3" xfId="1291"/>
    <cellStyle name="20% - Accent3 4 3 10" xfId="9004"/>
    <cellStyle name="20% - Accent3 4 3 10 2" xfId="23479"/>
    <cellStyle name="20% - Accent3 4 3 11" xfId="18614"/>
    <cellStyle name="20% - Accent3 4 3 2" xfId="1292"/>
    <cellStyle name="20% - Accent3 4 3 2 2" xfId="1293"/>
    <cellStyle name="20% - Accent3 4 3 2 2 2" xfId="10730"/>
    <cellStyle name="20% - Accent3 4 3 2 2 2 2" xfId="24672"/>
    <cellStyle name="20% - Accent3 4 3 2 2 3" xfId="18616"/>
    <cellStyle name="20% - Accent3 4 3 2 3" xfId="1294"/>
    <cellStyle name="20% - Accent3 4 3 2 3 2" xfId="12619"/>
    <cellStyle name="20% - Accent3 4 3 2 3 2 2" xfId="26331"/>
    <cellStyle name="20% - Accent3 4 3 2 3 3" xfId="18617"/>
    <cellStyle name="20% - Accent3 4 3 2 4" xfId="1295"/>
    <cellStyle name="20% - Accent3 4 3 2 4 2" xfId="14811"/>
    <cellStyle name="20% - Accent3 4 3 2 4 2 2" xfId="28360"/>
    <cellStyle name="20% - Accent3 4 3 2 4 3" xfId="18618"/>
    <cellStyle name="20% - Accent3 4 3 2 5" xfId="1296"/>
    <cellStyle name="20% - Accent3 4 3 2 5 2" xfId="16754"/>
    <cellStyle name="20% - Accent3 4 3 2 5 2 2" xfId="30161"/>
    <cellStyle name="20% - Accent3 4 3 2 5 3" xfId="18619"/>
    <cellStyle name="20% - Accent3 4 3 2 6" xfId="9005"/>
    <cellStyle name="20% - Accent3 4 3 2 6 2" xfId="23480"/>
    <cellStyle name="20% - Accent3 4 3 2 7" xfId="18615"/>
    <cellStyle name="20% - Accent3 4 3 3" xfId="1297"/>
    <cellStyle name="20% - Accent3 4 3 3 2" xfId="1298"/>
    <cellStyle name="20% - Accent3 4 3 3 2 2" xfId="14812"/>
    <cellStyle name="20% - Accent3 4 3 3 2 2 2" xfId="28361"/>
    <cellStyle name="20% - Accent3 4 3 3 2 3" xfId="18621"/>
    <cellStyle name="20% - Accent3 4 3 3 3" xfId="10729"/>
    <cellStyle name="20% - Accent3 4 3 3 3 2" xfId="24671"/>
    <cellStyle name="20% - Accent3 4 3 3 4" xfId="18620"/>
    <cellStyle name="20% - Accent3 4 3 4" xfId="1299"/>
    <cellStyle name="20% - Accent3 4 3 4 2" xfId="12142"/>
    <cellStyle name="20% - Accent3 4 3 4 2 2" xfId="25854"/>
    <cellStyle name="20% - Accent3 4 3 4 3" xfId="18622"/>
    <cellStyle name="20% - Accent3 4 3 5" xfId="1300"/>
    <cellStyle name="20% - Accent3 4 3 5 2" xfId="12723"/>
    <cellStyle name="20% - Accent3 4 3 5 2 2" xfId="26435"/>
    <cellStyle name="20% - Accent3 4 3 5 3" xfId="18623"/>
    <cellStyle name="20% - Accent3 4 3 6" xfId="1301"/>
    <cellStyle name="20% - Accent3 4 3 6 2" xfId="13706"/>
    <cellStyle name="20% - Accent3 4 3 6 2 2" xfId="27255"/>
    <cellStyle name="20% - Accent3 4 3 6 3" xfId="18624"/>
    <cellStyle name="20% - Accent3 4 3 7" xfId="1302"/>
    <cellStyle name="20% - Accent3 4 3 7 2" xfId="14287"/>
    <cellStyle name="20% - Accent3 4 3 7 2 2" xfId="27836"/>
    <cellStyle name="20% - Accent3 4 3 7 3" xfId="18625"/>
    <cellStyle name="20% - Accent3 4 3 8" xfId="1303"/>
    <cellStyle name="20% - Accent3 4 3 8 2" xfId="14810"/>
    <cellStyle name="20% - Accent3 4 3 8 2 2" xfId="28359"/>
    <cellStyle name="20% - Accent3 4 3 8 3" xfId="18626"/>
    <cellStyle name="20% - Accent3 4 3 9" xfId="1304"/>
    <cellStyle name="20% - Accent3 4 3 9 2" xfId="16173"/>
    <cellStyle name="20% - Accent3 4 3 9 2 2" xfId="29580"/>
    <cellStyle name="20% - Accent3 4 3 9 3" xfId="18627"/>
    <cellStyle name="20% - Accent3 4 4" xfId="1305"/>
    <cellStyle name="20% - Accent3 4 4 2" xfId="1306"/>
    <cellStyle name="20% - Accent3 4 4 2 2" xfId="10731"/>
    <cellStyle name="20% - Accent3 4 4 2 2 2" xfId="24673"/>
    <cellStyle name="20% - Accent3 4 4 2 3" xfId="18629"/>
    <cellStyle name="20% - Accent3 4 4 3" xfId="1307"/>
    <cellStyle name="20% - Accent3 4 4 3 2" xfId="12479"/>
    <cellStyle name="20% - Accent3 4 4 3 2 2" xfId="26191"/>
    <cellStyle name="20% - Accent3 4 4 3 3" xfId="18630"/>
    <cellStyle name="20% - Accent3 4 4 4" xfId="1308"/>
    <cellStyle name="20% - Accent3 4 4 4 2" xfId="14813"/>
    <cellStyle name="20% - Accent3 4 4 4 2 2" xfId="28362"/>
    <cellStyle name="20% - Accent3 4 4 4 3" xfId="18631"/>
    <cellStyle name="20% - Accent3 4 4 5" xfId="1309"/>
    <cellStyle name="20% - Accent3 4 4 5 2" xfId="16462"/>
    <cellStyle name="20% - Accent3 4 4 5 2 2" xfId="29869"/>
    <cellStyle name="20% - Accent3 4 4 5 3" xfId="18632"/>
    <cellStyle name="20% - Accent3 4 4 6" xfId="9006"/>
    <cellStyle name="20% - Accent3 4 4 6 2" xfId="23481"/>
    <cellStyle name="20% - Accent3 4 4 7" xfId="18628"/>
    <cellStyle name="20% - Accent3 4 5" xfId="1310"/>
    <cellStyle name="20% - Accent3 4 5 2" xfId="1311"/>
    <cellStyle name="20% - Accent3 4 5 2 2" xfId="14814"/>
    <cellStyle name="20% - Accent3 4 5 2 2 2" xfId="28363"/>
    <cellStyle name="20% - Accent3 4 5 2 3" xfId="18634"/>
    <cellStyle name="20% - Accent3 4 5 3" xfId="10724"/>
    <cellStyle name="20% - Accent3 4 5 3 2" xfId="24666"/>
    <cellStyle name="20% - Accent3 4 5 4" xfId="18633"/>
    <cellStyle name="20% - Accent3 4 6" xfId="1312"/>
    <cellStyle name="20% - Accent3 4 6 2" xfId="11813"/>
    <cellStyle name="20% - Accent3 4 6 2 2" xfId="25528"/>
    <cellStyle name="20% - Accent3 4 6 3" xfId="18635"/>
    <cellStyle name="20% - Accent3 4 7" xfId="1313"/>
    <cellStyle name="20% - Accent3 4 7 2" xfId="12520"/>
    <cellStyle name="20% - Accent3 4 7 2 2" xfId="26232"/>
    <cellStyle name="20% - Accent3 4 7 3" xfId="18636"/>
    <cellStyle name="20% - Accent3 4 8" xfId="1314"/>
    <cellStyle name="20% - Accent3 4 8 2" xfId="13414"/>
    <cellStyle name="20% - Accent3 4 8 2 2" xfId="26963"/>
    <cellStyle name="20% - Accent3 4 8 3" xfId="18637"/>
    <cellStyle name="20% - Accent3 4 9" xfId="1315"/>
    <cellStyle name="20% - Accent3 4 9 2" xfId="13995"/>
    <cellStyle name="20% - Accent3 4 9 2 2" xfId="27544"/>
    <cellStyle name="20% - Accent3 4 9 3" xfId="18638"/>
    <cellStyle name="20% - Accent3 5" xfId="1316"/>
    <cellStyle name="20% - Accent3 5 10" xfId="1317"/>
    <cellStyle name="20% - Accent3 5 10 2" xfId="14815"/>
    <cellStyle name="20% - Accent3 5 10 2 2" xfId="28364"/>
    <cellStyle name="20% - Accent3 5 10 3" xfId="18640"/>
    <cellStyle name="20% - Accent3 5 11" xfId="1318"/>
    <cellStyle name="20% - Accent3 5 11 2" xfId="15864"/>
    <cellStyle name="20% - Accent3 5 11 2 2" xfId="29271"/>
    <cellStyle name="20% - Accent3 5 11 3" xfId="18641"/>
    <cellStyle name="20% - Accent3 5 12" xfId="9007"/>
    <cellStyle name="20% - Accent3 5 12 2" xfId="23482"/>
    <cellStyle name="20% - Accent3 5 13" xfId="18639"/>
    <cellStyle name="20% - Accent3 5 2" xfId="1319"/>
    <cellStyle name="20% - Accent3 5 2 10" xfId="1320"/>
    <cellStyle name="20% - Accent3 5 2 10 2" xfId="16007"/>
    <cellStyle name="20% - Accent3 5 2 10 2 2" xfId="29414"/>
    <cellStyle name="20% - Accent3 5 2 10 3" xfId="18643"/>
    <cellStyle name="20% - Accent3 5 2 11" xfId="9008"/>
    <cellStyle name="20% - Accent3 5 2 11 2" xfId="23483"/>
    <cellStyle name="20% - Accent3 5 2 12" xfId="18642"/>
    <cellStyle name="20% - Accent3 5 2 2" xfId="1321"/>
    <cellStyle name="20% - Accent3 5 2 2 10" xfId="9009"/>
    <cellStyle name="20% - Accent3 5 2 2 10 2" xfId="23484"/>
    <cellStyle name="20% - Accent3 5 2 2 11" xfId="18644"/>
    <cellStyle name="20% - Accent3 5 2 2 2" xfId="1322"/>
    <cellStyle name="20% - Accent3 5 2 2 2 2" xfId="1323"/>
    <cellStyle name="20% - Accent3 5 2 2 2 2 2" xfId="10735"/>
    <cellStyle name="20% - Accent3 5 2 2 2 2 2 2" xfId="24677"/>
    <cellStyle name="20% - Accent3 5 2 2 2 2 3" xfId="18646"/>
    <cellStyle name="20% - Accent3 5 2 2 2 3" xfId="1324"/>
    <cellStyle name="20% - Accent3 5 2 2 2 3 2" xfId="12496"/>
    <cellStyle name="20% - Accent3 5 2 2 2 3 2 2" xfId="26208"/>
    <cellStyle name="20% - Accent3 5 2 2 2 3 3" xfId="18647"/>
    <cellStyle name="20% - Accent3 5 2 2 2 4" xfId="1325"/>
    <cellStyle name="20% - Accent3 5 2 2 2 4 2" xfId="14818"/>
    <cellStyle name="20% - Accent3 5 2 2 2 4 2 2" xfId="28367"/>
    <cellStyle name="20% - Accent3 5 2 2 2 4 3" xfId="18648"/>
    <cellStyle name="20% - Accent3 5 2 2 2 5" xfId="1326"/>
    <cellStyle name="20% - Accent3 5 2 2 2 5 2" xfId="16877"/>
    <cellStyle name="20% - Accent3 5 2 2 2 5 2 2" xfId="30284"/>
    <cellStyle name="20% - Accent3 5 2 2 2 5 3" xfId="18649"/>
    <cellStyle name="20% - Accent3 5 2 2 2 6" xfId="9010"/>
    <cellStyle name="20% - Accent3 5 2 2 2 6 2" xfId="23485"/>
    <cellStyle name="20% - Accent3 5 2 2 2 7" xfId="18645"/>
    <cellStyle name="20% - Accent3 5 2 2 3" xfId="1327"/>
    <cellStyle name="20% - Accent3 5 2 2 3 2" xfId="1328"/>
    <cellStyle name="20% - Accent3 5 2 2 3 2 2" xfId="14819"/>
    <cellStyle name="20% - Accent3 5 2 2 3 2 2 2" xfId="28368"/>
    <cellStyle name="20% - Accent3 5 2 2 3 2 3" xfId="18651"/>
    <cellStyle name="20% - Accent3 5 2 2 3 3" xfId="10734"/>
    <cellStyle name="20% - Accent3 5 2 2 3 3 2" xfId="24676"/>
    <cellStyle name="20% - Accent3 5 2 2 3 4" xfId="18650"/>
    <cellStyle name="20% - Accent3 5 2 2 4" xfId="1329"/>
    <cellStyle name="20% - Accent3 5 2 2 4 2" xfId="12265"/>
    <cellStyle name="20% - Accent3 5 2 2 4 2 2" xfId="25977"/>
    <cellStyle name="20% - Accent3 5 2 2 4 3" xfId="18652"/>
    <cellStyle name="20% - Accent3 5 2 2 5" xfId="1330"/>
    <cellStyle name="20% - Accent3 5 2 2 5 2" xfId="12695"/>
    <cellStyle name="20% - Accent3 5 2 2 5 2 2" xfId="26407"/>
    <cellStyle name="20% - Accent3 5 2 2 5 3" xfId="18653"/>
    <cellStyle name="20% - Accent3 5 2 2 6" xfId="1331"/>
    <cellStyle name="20% - Accent3 5 2 2 6 2" xfId="13829"/>
    <cellStyle name="20% - Accent3 5 2 2 6 2 2" xfId="27378"/>
    <cellStyle name="20% - Accent3 5 2 2 6 3" xfId="18654"/>
    <cellStyle name="20% - Accent3 5 2 2 7" xfId="1332"/>
    <cellStyle name="20% - Accent3 5 2 2 7 2" xfId="14410"/>
    <cellStyle name="20% - Accent3 5 2 2 7 2 2" xfId="27959"/>
    <cellStyle name="20% - Accent3 5 2 2 7 3" xfId="18655"/>
    <cellStyle name="20% - Accent3 5 2 2 8" xfId="1333"/>
    <cellStyle name="20% - Accent3 5 2 2 8 2" xfId="14817"/>
    <cellStyle name="20% - Accent3 5 2 2 8 2 2" xfId="28366"/>
    <cellStyle name="20% - Accent3 5 2 2 8 3" xfId="18656"/>
    <cellStyle name="20% - Accent3 5 2 2 9" xfId="1334"/>
    <cellStyle name="20% - Accent3 5 2 2 9 2" xfId="16296"/>
    <cellStyle name="20% - Accent3 5 2 2 9 2 2" xfId="29703"/>
    <cellStyle name="20% - Accent3 5 2 2 9 3" xfId="18657"/>
    <cellStyle name="20% - Accent3 5 2 3" xfId="1335"/>
    <cellStyle name="20% - Accent3 5 2 3 2" xfId="1336"/>
    <cellStyle name="20% - Accent3 5 2 3 2 2" xfId="10736"/>
    <cellStyle name="20% - Accent3 5 2 3 2 2 2" xfId="24678"/>
    <cellStyle name="20% - Accent3 5 2 3 2 3" xfId="18659"/>
    <cellStyle name="20% - Accent3 5 2 3 3" xfId="1337"/>
    <cellStyle name="20% - Accent3 5 2 3 3 2" xfId="12711"/>
    <cellStyle name="20% - Accent3 5 2 3 3 2 2" xfId="26423"/>
    <cellStyle name="20% - Accent3 5 2 3 3 3" xfId="18660"/>
    <cellStyle name="20% - Accent3 5 2 3 4" xfId="1338"/>
    <cellStyle name="20% - Accent3 5 2 3 4 2" xfId="14820"/>
    <cellStyle name="20% - Accent3 5 2 3 4 2 2" xfId="28369"/>
    <cellStyle name="20% - Accent3 5 2 3 4 3" xfId="18661"/>
    <cellStyle name="20% - Accent3 5 2 3 5" xfId="1339"/>
    <cellStyle name="20% - Accent3 5 2 3 5 2" xfId="16588"/>
    <cellStyle name="20% - Accent3 5 2 3 5 2 2" xfId="29995"/>
    <cellStyle name="20% - Accent3 5 2 3 5 3" xfId="18662"/>
    <cellStyle name="20% - Accent3 5 2 3 6" xfId="9011"/>
    <cellStyle name="20% - Accent3 5 2 3 6 2" xfId="23486"/>
    <cellStyle name="20% - Accent3 5 2 3 7" xfId="18658"/>
    <cellStyle name="20% - Accent3 5 2 4" xfId="1340"/>
    <cellStyle name="20% - Accent3 5 2 4 2" xfId="1341"/>
    <cellStyle name="20% - Accent3 5 2 4 2 2" xfId="14821"/>
    <cellStyle name="20% - Accent3 5 2 4 2 2 2" xfId="28370"/>
    <cellStyle name="20% - Accent3 5 2 4 2 3" xfId="18664"/>
    <cellStyle name="20% - Accent3 5 2 4 3" xfId="10733"/>
    <cellStyle name="20% - Accent3 5 2 4 3 2" xfId="24675"/>
    <cellStyle name="20% - Accent3 5 2 4 4" xfId="18663"/>
    <cellStyle name="20% - Accent3 5 2 5" xfId="1342"/>
    <cellStyle name="20% - Accent3 5 2 5 2" xfId="11965"/>
    <cellStyle name="20% - Accent3 5 2 5 2 2" xfId="25680"/>
    <cellStyle name="20% - Accent3 5 2 5 3" xfId="18665"/>
    <cellStyle name="20% - Accent3 5 2 6" xfId="1343"/>
    <cellStyle name="20% - Accent3 5 2 6 2" xfId="12803"/>
    <cellStyle name="20% - Accent3 5 2 6 2 2" xfId="26515"/>
    <cellStyle name="20% - Accent3 5 2 6 3" xfId="18666"/>
    <cellStyle name="20% - Accent3 5 2 7" xfId="1344"/>
    <cellStyle name="20% - Accent3 5 2 7 2" xfId="13540"/>
    <cellStyle name="20% - Accent3 5 2 7 2 2" xfId="27089"/>
    <cellStyle name="20% - Accent3 5 2 7 3" xfId="18667"/>
    <cellStyle name="20% - Accent3 5 2 8" xfId="1345"/>
    <cellStyle name="20% - Accent3 5 2 8 2" xfId="14121"/>
    <cellStyle name="20% - Accent3 5 2 8 2 2" xfId="27670"/>
    <cellStyle name="20% - Accent3 5 2 8 3" xfId="18668"/>
    <cellStyle name="20% - Accent3 5 2 9" xfId="1346"/>
    <cellStyle name="20% - Accent3 5 2 9 2" xfId="14816"/>
    <cellStyle name="20% - Accent3 5 2 9 2 2" xfId="28365"/>
    <cellStyle name="20% - Accent3 5 2 9 3" xfId="18669"/>
    <cellStyle name="20% - Accent3 5 3" xfId="1347"/>
    <cellStyle name="20% - Accent3 5 3 10" xfId="9012"/>
    <cellStyle name="20% - Accent3 5 3 10 2" xfId="23487"/>
    <cellStyle name="20% - Accent3 5 3 11" xfId="18670"/>
    <cellStyle name="20% - Accent3 5 3 2" xfId="1348"/>
    <cellStyle name="20% - Accent3 5 3 2 2" xfId="1349"/>
    <cellStyle name="20% - Accent3 5 3 2 2 2" xfId="10738"/>
    <cellStyle name="20% - Accent3 5 3 2 2 2 2" xfId="24680"/>
    <cellStyle name="20% - Accent3 5 3 2 2 3" xfId="18672"/>
    <cellStyle name="20% - Accent3 5 3 2 3" xfId="1350"/>
    <cellStyle name="20% - Accent3 5 3 2 3 2" xfId="12611"/>
    <cellStyle name="20% - Accent3 5 3 2 3 2 2" xfId="26323"/>
    <cellStyle name="20% - Accent3 5 3 2 3 3" xfId="18673"/>
    <cellStyle name="20% - Accent3 5 3 2 4" xfId="1351"/>
    <cellStyle name="20% - Accent3 5 3 2 4 2" xfId="14823"/>
    <cellStyle name="20% - Accent3 5 3 2 4 2 2" xfId="28372"/>
    <cellStyle name="20% - Accent3 5 3 2 4 3" xfId="18674"/>
    <cellStyle name="20% - Accent3 5 3 2 5" xfId="1352"/>
    <cellStyle name="20% - Accent3 5 3 2 5 2" xfId="16737"/>
    <cellStyle name="20% - Accent3 5 3 2 5 2 2" xfId="30144"/>
    <cellStyle name="20% - Accent3 5 3 2 5 3" xfId="18675"/>
    <cellStyle name="20% - Accent3 5 3 2 6" xfId="9013"/>
    <cellStyle name="20% - Accent3 5 3 2 6 2" xfId="23488"/>
    <cellStyle name="20% - Accent3 5 3 2 7" xfId="18671"/>
    <cellStyle name="20% - Accent3 5 3 3" xfId="1353"/>
    <cellStyle name="20% - Accent3 5 3 3 2" xfId="1354"/>
    <cellStyle name="20% - Accent3 5 3 3 2 2" xfId="14824"/>
    <cellStyle name="20% - Accent3 5 3 3 2 2 2" xfId="28373"/>
    <cellStyle name="20% - Accent3 5 3 3 2 3" xfId="18677"/>
    <cellStyle name="20% - Accent3 5 3 3 3" xfId="10737"/>
    <cellStyle name="20% - Accent3 5 3 3 3 2" xfId="24679"/>
    <cellStyle name="20% - Accent3 5 3 3 4" xfId="18676"/>
    <cellStyle name="20% - Accent3 5 3 4" xfId="1355"/>
    <cellStyle name="20% - Accent3 5 3 4 2" xfId="12125"/>
    <cellStyle name="20% - Accent3 5 3 4 2 2" xfId="25837"/>
    <cellStyle name="20% - Accent3 5 3 4 3" xfId="18678"/>
    <cellStyle name="20% - Accent3 5 3 5" xfId="1356"/>
    <cellStyle name="20% - Accent3 5 3 5 2" xfId="12607"/>
    <cellStyle name="20% - Accent3 5 3 5 2 2" xfId="26319"/>
    <cellStyle name="20% - Accent3 5 3 5 3" xfId="18679"/>
    <cellStyle name="20% - Accent3 5 3 6" xfId="1357"/>
    <cellStyle name="20% - Accent3 5 3 6 2" xfId="13689"/>
    <cellStyle name="20% - Accent3 5 3 6 2 2" xfId="27238"/>
    <cellStyle name="20% - Accent3 5 3 6 3" xfId="18680"/>
    <cellStyle name="20% - Accent3 5 3 7" xfId="1358"/>
    <cellStyle name="20% - Accent3 5 3 7 2" xfId="14270"/>
    <cellStyle name="20% - Accent3 5 3 7 2 2" xfId="27819"/>
    <cellStyle name="20% - Accent3 5 3 7 3" xfId="18681"/>
    <cellStyle name="20% - Accent3 5 3 8" xfId="1359"/>
    <cellStyle name="20% - Accent3 5 3 8 2" xfId="14822"/>
    <cellStyle name="20% - Accent3 5 3 8 2 2" xfId="28371"/>
    <cellStyle name="20% - Accent3 5 3 8 3" xfId="18682"/>
    <cellStyle name="20% - Accent3 5 3 9" xfId="1360"/>
    <cellStyle name="20% - Accent3 5 3 9 2" xfId="16156"/>
    <cellStyle name="20% - Accent3 5 3 9 2 2" xfId="29563"/>
    <cellStyle name="20% - Accent3 5 3 9 3" xfId="18683"/>
    <cellStyle name="20% - Accent3 5 4" xfId="1361"/>
    <cellStyle name="20% - Accent3 5 4 2" xfId="1362"/>
    <cellStyle name="20% - Accent3 5 4 2 2" xfId="10739"/>
    <cellStyle name="20% - Accent3 5 4 2 2 2" xfId="24681"/>
    <cellStyle name="20% - Accent3 5 4 2 3" xfId="18685"/>
    <cellStyle name="20% - Accent3 5 4 3" xfId="1363"/>
    <cellStyle name="20% - Accent3 5 4 3 2" xfId="12422"/>
    <cellStyle name="20% - Accent3 5 4 3 2 2" xfId="26134"/>
    <cellStyle name="20% - Accent3 5 4 3 3" xfId="18686"/>
    <cellStyle name="20% - Accent3 5 4 4" xfId="1364"/>
    <cellStyle name="20% - Accent3 5 4 4 2" xfId="14825"/>
    <cellStyle name="20% - Accent3 5 4 4 2 2" xfId="28374"/>
    <cellStyle name="20% - Accent3 5 4 4 3" xfId="18687"/>
    <cellStyle name="20% - Accent3 5 4 5" xfId="1365"/>
    <cellStyle name="20% - Accent3 5 4 5 2" xfId="16445"/>
    <cellStyle name="20% - Accent3 5 4 5 2 2" xfId="29852"/>
    <cellStyle name="20% - Accent3 5 4 5 3" xfId="18688"/>
    <cellStyle name="20% - Accent3 5 4 6" xfId="9014"/>
    <cellStyle name="20% - Accent3 5 4 6 2" xfId="23489"/>
    <cellStyle name="20% - Accent3 5 4 7" xfId="18684"/>
    <cellStyle name="20% - Accent3 5 5" xfId="1366"/>
    <cellStyle name="20% - Accent3 5 5 2" xfId="1367"/>
    <cellStyle name="20% - Accent3 5 5 2 2" xfId="14826"/>
    <cellStyle name="20% - Accent3 5 5 2 2 2" xfId="28375"/>
    <cellStyle name="20% - Accent3 5 5 2 3" xfId="18690"/>
    <cellStyle name="20% - Accent3 5 5 3" xfId="10732"/>
    <cellStyle name="20% - Accent3 5 5 3 2" xfId="24674"/>
    <cellStyle name="20% - Accent3 5 5 4" xfId="18689"/>
    <cellStyle name="20% - Accent3 5 6" xfId="1368"/>
    <cellStyle name="20% - Accent3 5 6 2" xfId="11796"/>
    <cellStyle name="20% - Accent3 5 6 2 2" xfId="25511"/>
    <cellStyle name="20% - Accent3 5 6 3" xfId="18691"/>
    <cellStyle name="20% - Accent3 5 7" xfId="1369"/>
    <cellStyle name="20% - Accent3 5 7 2" xfId="12585"/>
    <cellStyle name="20% - Accent3 5 7 2 2" xfId="26297"/>
    <cellStyle name="20% - Accent3 5 7 3" xfId="18692"/>
    <cellStyle name="20% - Accent3 5 8" xfId="1370"/>
    <cellStyle name="20% - Accent3 5 8 2" xfId="13397"/>
    <cellStyle name="20% - Accent3 5 8 2 2" xfId="26946"/>
    <cellStyle name="20% - Accent3 5 8 3" xfId="18693"/>
    <cellStyle name="20% - Accent3 5 9" xfId="1371"/>
    <cellStyle name="20% - Accent3 5 9 2" xfId="13978"/>
    <cellStyle name="20% - Accent3 5 9 2 2" xfId="27527"/>
    <cellStyle name="20% - Accent3 5 9 3" xfId="18694"/>
    <cellStyle name="20% - Accent3 6" xfId="1372"/>
    <cellStyle name="20% - Accent3 6 10" xfId="1373"/>
    <cellStyle name="20% - Accent3 6 10 2" xfId="14827"/>
    <cellStyle name="20% - Accent3 6 10 2 2" xfId="28376"/>
    <cellStyle name="20% - Accent3 6 10 3" xfId="18696"/>
    <cellStyle name="20% - Accent3 6 11" xfId="1374"/>
    <cellStyle name="20% - Accent3 6 11 2" xfId="15970"/>
    <cellStyle name="20% - Accent3 6 11 2 2" xfId="29377"/>
    <cellStyle name="20% - Accent3 6 11 3" xfId="18697"/>
    <cellStyle name="20% - Accent3 6 12" xfId="9015"/>
    <cellStyle name="20% - Accent3 6 12 2" xfId="23490"/>
    <cellStyle name="20% - Accent3 6 13" xfId="18695"/>
    <cellStyle name="20% - Accent3 6 2" xfId="1375"/>
    <cellStyle name="20% - Accent3 6 2 10" xfId="1376"/>
    <cellStyle name="20% - Accent3 6 2 10 2" xfId="16113"/>
    <cellStyle name="20% - Accent3 6 2 10 2 2" xfId="29520"/>
    <cellStyle name="20% - Accent3 6 2 10 3" xfId="18699"/>
    <cellStyle name="20% - Accent3 6 2 11" xfId="9016"/>
    <cellStyle name="20% - Accent3 6 2 11 2" xfId="23491"/>
    <cellStyle name="20% - Accent3 6 2 12" xfId="18698"/>
    <cellStyle name="20% - Accent3 6 2 2" xfId="1377"/>
    <cellStyle name="20% - Accent3 6 2 2 10" xfId="9017"/>
    <cellStyle name="20% - Accent3 6 2 2 10 2" xfId="23492"/>
    <cellStyle name="20% - Accent3 6 2 2 11" xfId="18700"/>
    <cellStyle name="20% - Accent3 6 2 2 2" xfId="1378"/>
    <cellStyle name="20% - Accent3 6 2 2 2 2" xfId="1379"/>
    <cellStyle name="20% - Accent3 6 2 2 2 2 2" xfId="10743"/>
    <cellStyle name="20% - Accent3 6 2 2 2 2 2 2" xfId="24685"/>
    <cellStyle name="20% - Accent3 6 2 2 2 2 3" xfId="18702"/>
    <cellStyle name="20% - Accent3 6 2 2 2 3" xfId="1380"/>
    <cellStyle name="20% - Accent3 6 2 2 2 3 2" xfId="12795"/>
    <cellStyle name="20% - Accent3 6 2 2 2 3 2 2" xfId="26507"/>
    <cellStyle name="20% - Accent3 6 2 2 2 3 3" xfId="18703"/>
    <cellStyle name="20% - Accent3 6 2 2 2 4" xfId="1381"/>
    <cellStyle name="20% - Accent3 6 2 2 2 4 2" xfId="14830"/>
    <cellStyle name="20% - Accent3 6 2 2 2 4 2 2" xfId="28379"/>
    <cellStyle name="20% - Accent3 6 2 2 2 4 3" xfId="18704"/>
    <cellStyle name="20% - Accent3 6 2 2 2 5" xfId="1382"/>
    <cellStyle name="20% - Accent3 6 2 2 2 5 2" xfId="16983"/>
    <cellStyle name="20% - Accent3 6 2 2 2 5 2 2" xfId="30390"/>
    <cellStyle name="20% - Accent3 6 2 2 2 5 3" xfId="18705"/>
    <cellStyle name="20% - Accent3 6 2 2 2 6" xfId="9018"/>
    <cellStyle name="20% - Accent3 6 2 2 2 6 2" xfId="23493"/>
    <cellStyle name="20% - Accent3 6 2 2 2 7" xfId="18701"/>
    <cellStyle name="20% - Accent3 6 2 2 3" xfId="1383"/>
    <cellStyle name="20% - Accent3 6 2 2 3 2" xfId="1384"/>
    <cellStyle name="20% - Accent3 6 2 2 3 2 2" xfId="14831"/>
    <cellStyle name="20% - Accent3 6 2 2 3 2 2 2" xfId="28380"/>
    <cellStyle name="20% - Accent3 6 2 2 3 2 3" xfId="18707"/>
    <cellStyle name="20% - Accent3 6 2 2 3 3" xfId="10742"/>
    <cellStyle name="20% - Accent3 6 2 2 3 3 2" xfId="24684"/>
    <cellStyle name="20% - Accent3 6 2 2 3 4" xfId="18706"/>
    <cellStyle name="20% - Accent3 6 2 2 4" xfId="1385"/>
    <cellStyle name="20% - Accent3 6 2 2 4 2" xfId="12371"/>
    <cellStyle name="20% - Accent3 6 2 2 4 2 2" xfId="26083"/>
    <cellStyle name="20% - Accent3 6 2 2 4 3" xfId="18708"/>
    <cellStyle name="20% - Accent3 6 2 2 5" xfId="1386"/>
    <cellStyle name="20% - Accent3 6 2 2 5 2" xfId="12655"/>
    <cellStyle name="20% - Accent3 6 2 2 5 2 2" xfId="26367"/>
    <cellStyle name="20% - Accent3 6 2 2 5 3" xfId="18709"/>
    <cellStyle name="20% - Accent3 6 2 2 6" xfId="1387"/>
    <cellStyle name="20% - Accent3 6 2 2 6 2" xfId="13935"/>
    <cellStyle name="20% - Accent3 6 2 2 6 2 2" xfId="27484"/>
    <cellStyle name="20% - Accent3 6 2 2 6 3" xfId="18710"/>
    <cellStyle name="20% - Accent3 6 2 2 7" xfId="1388"/>
    <cellStyle name="20% - Accent3 6 2 2 7 2" xfId="14516"/>
    <cellStyle name="20% - Accent3 6 2 2 7 2 2" xfId="28065"/>
    <cellStyle name="20% - Accent3 6 2 2 7 3" xfId="18711"/>
    <cellStyle name="20% - Accent3 6 2 2 8" xfId="1389"/>
    <cellStyle name="20% - Accent3 6 2 2 8 2" xfId="14829"/>
    <cellStyle name="20% - Accent3 6 2 2 8 2 2" xfId="28378"/>
    <cellStyle name="20% - Accent3 6 2 2 8 3" xfId="18712"/>
    <cellStyle name="20% - Accent3 6 2 2 9" xfId="1390"/>
    <cellStyle name="20% - Accent3 6 2 2 9 2" xfId="16402"/>
    <cellStyle name="20% - Accent3 6 2 2 9 2 2" xfId="29809"/>
    <cellStyle name="20% - Accent3 6 2 2 9 3" xfId="18713"/>
    <cellStyle name="20% - Accent3 6 2 3" xfId="1391"/>
    <cellStyle name="20% - Accent3 6 2 3 2" xfId="1392"/>
    <cellStyle name="20% - Accent3 6 2 3 2 2" xfId="10744"/>
    <cellStyle name="20% - Accent3 6 2 3 2 2 2" xfId="24686"/>
    <cellStyle name="20% - Accent3 6 2 3 2 3" xfId="18715"/>
    <cellStyle name="20% - Accent3 6 2 3 3" xfId="1393"/>
    <cellStyle name="20% - Accent3 6 2 3 3 2" xfId="11860"/>
    <cellStyle name="20% - Accent3 6 2 3 3 2 2" xfId="25575"/>
    <cellStyle name="20% - Accent3 6 2 3 3 3" xfId="18716"/>
    <cellStyle name="20% - Accent3 6 2 3 4" xfId="1394"/>
    <cellStyle name="20% - Accent3 6 2 3 4 2" xfId="14832"/>
    <cellStyle name="20% - Accent3 6 2 3 4 2 2" xfId="28381"/>
    <cellStyle name="20% - Accent3 6 2 3 4 3" xfId="18717"/>
    <cellStyle name="20% - Accent3 6 2 3 5" xfId="1395"/>
    <cellStyle name="20% - Accent3 6 2 3 5 2" xfId="16694"/>
    <cellStyle name="20% - Accent3 6 2 3 5 2 2" xfId="30101"/>
    <cellStyle name="20% - Accent3 6 2 3 5 3" xfId="18718"/>
    <cellStyle name="20% - Accent3 6 2 3 6" xfId="9019"/>
    <cellStyle name="20% - Accent3 6 2 3 6 2" xfId="23494"/>
    <cellStyle name="20% - Accent3 6 2 3 7" xfId="18714"/>
    <cellStyle name="20% - Accent3 6 2 4" xfId="1396"/>
    <cellStyle name="20% - Accent3 6 2 4 2" xfId="1397"/>
    <cellStyle name="20% - Accent3 6 2 4 2 2" xfId="14833"/>
    <cellStyle name="20% - Accent3 6 2 4 2 2 2" xfId="28382"/>
    <cellStyle name="20% - Accent3 6 2 4 2 3" xfId="18720"/>
    <cellStyle name="20% - Accent3 6 2 4 3" xfId="10741"/>
    <cellStyle name="20% - Accent3 6 2 4 3 2" xfId="24683"/>
    <cellStyle name="20% - Accent3 6 2 4 4" xfId="18719"/>
    <cellStyle name="20% - Accent3 6 2 5" xfId="1398"/>
    <cellStyle name="20% - Accent3 6 2 5 2" xfId="12071"/>
    <cellStyle name="20% - Accent3 6 2 5 2 2" xfId="25786"/>
    <cellStyle name="20% - Accent3 6 2 5 3" xfId="18721"/>
    <cellStyle name="20% - Accent3 6 2 6" xfId="1399"/>
    <cellStyle name="20% - Accent3 6 2 6 2" xfId="12409"/>
    <cellStyle name="20% - Accent3 6 2 6 2 2" xfId="26121"/>
    <cellStyle name="20% - Accent3 6 2 6 3" xfId="18722"/>
    <cellStyle name="20% - Accent3 6 2 7" xfId="1400"/>
    <cellStyle name="20% - Accent3 6 2 7 2" xfId="13646"/>
    <cellStyle name="20% - Accent3 6 2 7 2 2" xfId="27195"/>
    <cellStyle name="20% - Accent3 6 2 7 3" xfId="18723"/>
    <cellStyle name="20% - Accent3 6 2 8" xfId="1401"/>
    <cellStyle name="20% - Accent3 6 2 8 2" xfId="14227"/>
    <cellStyle name="20% - Accent3 6 2 8 2 2" xfId="27776"/>
    <cellStyle name="20% - Accent3 6 2 8 3" xfId="18724"/>
    <cellStyle name="20% - Accent3 6 2 9" xfId="1402"/>
    <cellStyle name="20% - Accent3 6 2 9 2" xfId="14828"/>
    <cellStyle name="20% - Accent3 6 2 9 2 2" xfId="28377"/>
    <cellStyle name="20% - Accent3 6 2 9 3" xfId="18725"/>
    <cellStyle name="20% - Accent3 6 3" xfId="1403"/>
    <cellStyle name="20% - Accent3 6 3 10" xfId="9020"/>
    <cellStyle name="20% - Accent3 6 3 10 2" xfId="23495"/>
    <cellStyle name="20% - Accent3 6 3 11" xfId="18726"/>
    <cellStyle name="20% - Accent3 6 3 2" xfId="1404"/>
    <cellStyle name="20% - Accent3 6 3 2 2" xfId="1405"/>
    <cellStyle name="20% - Accent3 6 3 2 2 2" xfId="10746"/>
    <cellStyle name="20% - Accent3 6 3 2 2 2 2" xfId="24688"/>
    <cellStyle name="20% - Accent3 6 3 2 2 3" xfId="18728"/>
    <cellStyle name="20% - Accent3 6 3 2 3" xfId="1406"/>
    <cellStyle name="20% - Accent3 6 3 2 3 2" xfId="12648"/>
    <cellStyle name="20% - Accent3 6 3 2 3 2 2" xfId="26360"/>
    <cellStyle name="20% - Accent3 6 3 2 3 3" xfId="18729"/>
    <cellStyle name="20% - Accent3 6 3 2 4" xfId="1407"/>
    <cellStyle name="20% - Accent3 6 3 2 4 2" xfId="14835"/>
    <cellStyle name="20% - Accent3 6 3 2 4 2 2" xfId="28384"/>
    <cellStyle name="20% - Accent3 6 3 2 4 3" xfId="18730"/>
    <cellStyle name="20% - Accent3 6 3 2 5" xfId="1408"/>
    <cellStyle name="20% - Accent3 6 3 2 5 2" xfId="16840"/>
    <cellStyle name="20% - Accent3 6 3 2 5 2 2" xfId="30247"/>
    <cellStyle name="20% - Accent3 6 3 2 5 3" xfId="18731"/>
    <cellStyle name="20% - Accent3 6 3 2 6" xfId="9021"/>
    <cellStyle name="20% - Accent3 6 3 2 6 2" xfId="23496"/>
    <cellStyle name="20% - Accent3 6 3 2 7" xfId="18727"/>
    <cellStyle name="20% - Accent3 6 3 3" xfId="1409"/>
    <cellStyle name="20% - Accent3 6 3 3 2" xfId="1410"/>
    <cellStyle name="20% - Accent3 6 3 3 2 2" xfId="14836"/>
    <cellStyle name="20% - Accent3 6 3 3 2 2 2" xfId="28385"/>
    <cellStyle name="20% - Accent3 6 3 3 2 3" xfId="18733"/>
    <cellStyle name="20% - Accent3 6 3 3 3" xfId="10745"/>
    <cellStyle name="20% - Accent3 6 3 3 3 2" xfId="24687"/>
    <cellStyle name="20% - Accent3 6 3 3 4" xfId="18732"/>
    <cellStyle name="20% - Accent3 6 3 4" xfId="1411"/>
    <cellStyle name="20% - Accent3 6 3 4 2" xfId="12228"/>
    <cellStyle name="20% - Accent3 6 3 4 2 2" xfId="25940"/>
    <cellStyle name="20% - Accent3 6 3 4 3" xfId="18734"/>
    <cellStyle name="20% - Accent3 6 3 5" xfId="1412"/>
    <cellStyle name="20% - Accent3 6 3 5 2" xfId="12728"/>
    <cellStyle name="20% - Accent3 6 3 5 2 2" xfId="26440"/>
    <cellStyle name="20% - Accent3 6 3 5 3" xfId="18735"/>
    <cellStyle name="20% - Accent3 6 3 6" xfId="1413"/>
    <cellStyle name="20% - Accent3 6 3 6 2" xfId="13792"/>
    <cellStyle name="20% - Accent3 6 3 6 2 2" xfId="27341"/>
    <cellStyle name="20% - Accent3 6 3 6 3" xfId="18736"/>
    <cellStyle name="20% - Accent3 6 3 7" xfId="1414"/>
    <cellStyle name="20% - Accent3 6 3 7 2" xfId="14373"/>
    <cellStyle name="20% - Accent3 6 3 7 2 2" xfId="27922"/>
    <cellStyle name="20% - Accent3 6 3 7 3" xfId="18737"/>
    <cellStyle name="20% - Accent3 6 3 8" xfId="1415"/>
    <cellStyle name="20% - Accent3 6 3 8 2" xfId="14834"/>
    <cellStyle name="20% - Accent3 6 3 8 2 2" xfId="28383"/>
    <cellStyle name="20% - Accent3 6 3 8 3" xfId="18738"/>
    <cellStyle name="20% - Accent3 6 3 9" xfId="1416"/>
    <cellStyle name="20% - Accent3 6 3 9 2" xfId="16259"/>
    <cellStyle name="20% - Accent3 6 3 9 2 2" xfId="29666"/>
    <cellStyle name="20% - Accent3 6 3 9 3" xfId="18739"/>
    <cellStyle name="20% - Accent3 6 4" xfId="1417"/>
    <cellStyle name="20% - Accent3 6 4 2" xfId="1418"/>
    <cellStyle name="20% - Accent3 6 4 2 2" xfId="10747"/>
    <cellStyle name="20% - Accent3 6 4 2 2 2" xfId="24689"/>
    <cellStyle name="20% - Accent3 6 4 2 3" xfId="18741"/>
    <cellStyle name="20% - Accent3 6 4 3" xfId="1419"/>
    <cellStyle name="20% - Accent3 6 4 3 2" xfId="12675"/>
    <cellStyle name="20% - Accent3 6 4 3 2 2" xfId="26387"/>
    <cellStyle name="20% - Accent3 6 4 3 3" xfId="18742"/>
    <cellStyle name="20% - Accent3 6 4 4" xfId="1420"/>
    <cellStyle name="20% - Accent3 6 4 4 2" xfId="14837"/>
    <cellStyle name="20% - Accent3 6 4 4 2 2" xfId="28386"/>
    <cellStyle name="20% - Accent3 6 4 4 3" xfId="18743"/>
    <cellStyle name="20% - Accent3 6 4 5" xfId="1421"/>
    <cellStyle name="20% - Accent3 6 4 5 2" xfId="16551"/>
    <cellStyle name="20% - Accent3 6 4 5 2 2" xfId="29958"/>
    <cellStyle name="20% - Accent3 6 4 5 3" xfId="18744"/>
    <cellStyle name="20% - Accent3 6 4 6" xfId="9022"/>
    <cellStyle name="20% - Accent3 6 4 6 2" xfId="23497"/>
    <cellStyle name="20% - Accent3 6 4 7" xfId="18740"/>
    <cellStyle name="20% - Accent3 6 5" xfId="1422"/>
    <cellStyle name="20% - Accent3 6 5 2" xfId="1423"/>
    <cellStyle name="20% - Accent3 6 5 2 2" xfId="14838"/>
    <cellStyle name="20% - Accent3 6 5 2 2 2" xfId="28387"/>
    <cellStyle name="20% - Accent3 6 5 2 3" xfId="18746"/>
    <cellStyle name="20% - Accent3 6 5 3" xfId="10740"/>
    <cellStyle name="20% - Accent3 6 5 3 2" xfId="24682"/>
    <cellStyle name="20% - Accent3 6 5 4" xfId="18745"/>
    <cellStyle name="20% - Accent3 6 6" xfId="1424"/>
    <cellStyle name="20% - Accent3 6 6 2" xfId="11926"/>
    <cellStyle name="20% - Accent3 6 6 2 2" xfId="25641"/>
    <cellStyle name="20% - Accent3 6 6 3" xfId="18747"/>
    <cellStyle name="20% - Accent3 6 7" xfId="1425"/>
    <cellStyle name="20% - Accent3 6 7 2" xfId="12429"/>
    <cellStyle name="20% - Accent3 6 7 2 2" xfId="26141"/>
    <cellStyle name="20% - Accent3 6 7 3" xfId="18748"/>
    <cellStyle name="20% - Accent3 6 8" xfId="1426"/>
    <cellStyle name="20% - Accent3 6 8 2" xfId="13503"/>
    <cellStyle name="20% - Accent3 6 8 2 2" xfId="27052"/>
    <cellStyle name="20% - Accent3 6 8 3" xfId="18749"/>
    <cellStyle name="20% - Accent3 6 9" xfId="1427"/>
    <cellStyle name="20% - Accent3 6 9 2" xfId="14084"/>
    <cellStyle name="20% - Accent3 6 9 2 2" xfId="27633"/>
    <cellStyle name="20% - Accent3 6 9 3" xfId="18750"/>
    <cellStyle name="20% - Accent3 7" xfId="1428"/>
    <cellStyle name="20% - Accent3 7 10" xfId="1429"/>
    <cellStyle name="20% - Accent3 7 10 2" xfId="15992"/>
    <cellStyle name="20% - Accent3 7 10 2 2" xfId="29399"/>
    <cellStyle name="20% - Accent3 7 10 3" xfId="18752"/>
    <cellStyle name="20% - Accent3 7 11" xfId="9023"/>
    <cellStyle name="20% - Accent3 7 11 2" xfId="23498"/>
    <cellStyle name="20% - Accent3 7 12" xfId="18751"/>
    <cellStyle name="20% - Accent3 7 2" xfId="1430"/>
    <cellStyle name="20% - Accent3 7 2 10" xfId="9024"/>
    <cellStyle name="20% - Accent3 7 2 10 2" xfId="23499"/>
    <cellStyle name="20% - Accent3 7 2 11" xfId="18753"/>
    <cellStyle name="20% - Accent3 7 2 2" xfId="1431"/>
    <cellStyle name="20% - Accent3 7 2 2 2" xfId="1432"/>
    <cellStyle name="20% - Accent3 7 2 2 2 2" xfId="10750"/>
    <cellStyle name="20% - Accent3 7 2 2 2 2 2" xfId="24692"/>
    <cellStyle name="20% - Accent3 7 2 2 2 3" xfId="18755"/>
    <cellStyle name="20% - Accent3 7 2 2 3" xfId="1433"/>
    <cellStyle name="20% - Accent3 7 2 2 3 2" xfId="12532"/>
    <cellStyle name="20% - Accent3 7 2 2 3 2 2" xfId="26244"/>
    <cellStyle name="20% - Accent3 7 2 2 3 3" xfId="18756"/>
    <cellStyle name="20% - Accent3 7 2 2 4" xfId="1434"/>
    <cellStyle name="20% - Accent3 7 2 2 4 2" xfId="14841"/>
    <cellStyle name="20% - Accent3 7 2 2 4 2 2" xfId="28390"/>
    <cellStyle name="20% - Accent3 7 2 2 4 3" xfId="18757"/>
    <cellStyle name="20% - Accent3 7 2 2 5" xfId="1435"/>
    <cellStyle name="20% - Accent3 7 2 2 5 2" xfId="16862"/>
    <cellStyle name="20% - Accent3 7 2 2 5 2 2" xfId="30269"/>
    <cellStyle name="20% - Accent3 7 2 2 5 3" xfId="18758"/>
    <cellStyle name="20% - Accent3 7 2 2 6" xfId="9025"/>
    <cellStyle name="20% - Accent3 7 2 2 6 2" xfId="23500"/>
    <cellStyle name="20% - Accent3 7 2 2 7" xfId="18754"/>
    <cellStyle name="20% - Accent3 7 2 3" xfId="1436"/>
    <cellStyle name="20% - Accent3 7 2 3 2" xfId="1437"/>
    <cellStyle name="20% - Accent3 7 2 3 2 2" xfId="14842"/>
    <cellStyle name="20% - Accent3 7 2 3 2 2 2" xfId="28391"/>
    <cellStyle name="20% - Accent3 7 2 3 2 3" xfId="18760"/>
    <cellStyle name="20% - Accent3 7 2 3 3" xfId="10749"/>
    <cellStyle name="20% - Accent3 7 2 3 3 2" xfId="24691"/>
    <cellStyle name="20% - Accent3 7 2 3 4" xfId="18759"/>
    <cellStyle name="20% - Accent3 7 2 4" xfId="1438"/>
    <cellStyle name="20% - Accent3 7 2 4 2" xfId="12250"/>
    <cellStyle name="20% - Accent3 7 2 4 2 2" xfId="25962"/>
    <cellStyle name="20% - Accent3 7 2 4 3" xfId="18761"/>
    <cellStyle name="20% - Accent3 7 2 5" xfId="1439"/>
    <cellStyle name="20% - Accent3 7 2 5 2" xfId="12531"/>
    <cellStyle name="20% - Accent3 7 2 5 2 2" xfId="26243"/>
    <cellStyle name="20% - Accent3 7 2 5 3" xfId="18762"/>
    <cellStyle name="20% - Accent3 7 2 6" xfId="1440"/>
    <cellStyle name="20% - Accent3 7 2 6 2" xfId="13814"/>
    <cellStyle name="20% - Accent3 7 2 6 2 2" xfId="27363"/>
    <cellStyle name="20% - Accent3 7 2 6 3" xfId="18763"/>
    <cellStyle name="20% - Accent3 7 2 7" xfId="1441"/>
    <cellStyle name="20% - Accent3 7 2 7 2" xfId="14395"/>
    <cellStyle name="20% - Accent3 7 2 7 2 2" xfId="27944"/>
    <cellStyle name="20% - Accent3 7 2 7 3" xfId="18764"/>
    <cellStyle name="20% - Accent3 7 2 8" xfId="1442"/>
    <cellStyle name="20% - Accent3 7 2 8 2" xfId="14840"/>
    <cellStyle name="20% - Accent3 7 2 8 2 2" xfId="28389"/>
    <cellStyle name="20% - Accent3 7 2 8 3" xfId="18765"/>
    <cellStyle name="20% - Accent3 7 2 9" xfId="1443"/>
    <cellStyle name="20% - Accent3 7 2 9 2" xfId="16281"/>
    <cellStyle name="20% - Accent3 7 2 9 2 2" xfId="29688"/>
    <cellStyle name="20% - Accent3 7 2 9 3" xfId="18766"/>
    <cellStyle name="20% - Accent3 7 3" xfId="1444"/>
    <cellStyle name="20% - Accent3 7 3 2" xfId="1445"/>
    <cellStyle name="20% - Accent3 7 3 2 2" xfId="10751"/>
    <cellStyle name="20% - Accent3 7 3 2 2 2" xfId="24693"/>
    <cellStyle name="20% - Accent3 7 3 2 3" xfId="18768"/>
    <cellStyle name="20% - Accent3 7 3 3" xfId="1446"/>
    <cellStyle name="20% - Accent3 7 3 3 2" xfId="12709"/>
    <cellStyle name="20% - Accent3 7 3 3 2 2" xfId="26421"/>
    <cellStyle name="20% - Accent3 7 3 3 3" xfId="18769"/>
    <cellStyle name="20% - Accent3 7 3 4" xfId="1447"/>
    <cellStyle name="20% - Accent3 7 3 4 2" xfId="14843"/>
    <cellStyle name="20% - Accent3 7 3 4 2 2" xfId="28392"/>
    <cellStyle name="20% - Accent3 7 3 4 3" xfId="18770"/>
    <cellStyle name="20% - Accent3 7 3 5" xfId="1448"/>
    <cellStyle name="20% - Accent3 7 3 5 2" xfId="16573"/>
    <cellStyle name="20% - Accent3 7 3 5 2 2" xfId="29980"/>
    <cellStyle name="20% - Accent3 7 3 5 3" xfId="18771"/>
    <cellStyle name="20% - Accent3 7 3 6" xfId="9026"/>
    <cellStyle name="20% - Accent3 7 3 6 2" xfId="23501"/>
    <cellStyle name="20% - Accent3 7 3 7" xfId="18767"/>
    <cellStyle name="20% - Accent3 7 4" xfId="1449"/>
    <cellStyle name="20% - Accent3 7 4 2" xfId="1450"/>
    <cellStyle name="20% - Accent3 7 4 2 2" xfId="14844"/>
    <cellStyle name="20% - Accent3 7 4 2 2 2" xfId="28393"/>
    <cellStyle name="20% - Accent3 7 4 2 3" xfId="18773"/>
    <cellStyle name="20% - Accent3 7 4 3" xfId="10748"/>
    <cellStyle name="20% - Accent3 7 4 3 2" xfId="24690"/>
    <cellStyle name="20% - Accent3 7 4 4" xfId="18772"/>
    <cellStyle name="20% - Accent3 7 5" xfId="1451"/>
    <cellStyle name="20% - Accent3 7 5 2" xfId="11948"/>
    <cellStyle name="20% - Accent3 7 5 2 2" xfId="25663"/>
    <cellStyle name="20% - Accent3 7 5 3" xfId="18774"/>
    <cellStyle name="20% - Accent3 7 6" xfId="1452"/>
    <cellStyle name="20% - Accent3 7 6 2" xfId="12495"/>
    <cellStyle name="20% - Accent3 7 6 2 2" xfId="26207"/>
    <cellStyle name="20% - Accent3 7 6 3" xfId="18775"/>
    <cellStyle name="20% - Accent3 7 7" xfId="1453"/>
    <cellStyle name="20% - Accent3 7 7 2" xfId="13525"/>
    <cellStyle name="20% - Accent3 7 7 2 2" xfId="27074"/>
    <cellStyle name="20% - Accent3 7 7 3" xfId="18776"/>
    <cellStyle name="20% - Accent3 7 8" xfId="1454"/>
    <cellStyle name="20% - Accent3 7 8 2" xfId="14106"/>
    <cellStyle name="20% - Accent3 7 8 2 2" xfId="27655"/>
    <cellStyle name="20% - Accent3 7 8 3" xfId="18777"/>
    <cellStyle name="20% - Accent3 7 9" xfId="1455"/>
    <cellStyle name="20% - Accent3 7 9 2" xfId="14839"/>
    <cellStyle name="20% - Accent3 7 9 2 2" xfId="28388"/>
    <cellStyle name="20% - Accent3 7 9 3" xfId="18778"/>
    <cellStyle name="20% - Accent3 8" xfId="1456"/>
    <cellStyle name="20% - Accent3 8 10" xfId="9027"/>
    <cellStyle name="20% - Accent3 8 10 2" xfId="23502"/>
    <cellStyle name="20% - Accent3 8 11" xfId="18779"/>
    <cellStyle name="20% - Accent3 8 2" xfId="1457"/>
    <cellStyle name="20% - Accent3 8 2 2" xfId="1458"/>
    <cellStyle name="20% - Accent3 8 2 2 2" xfId="10753"/>
    <cellStyle name="20% - Accent3 8 2 2 2 2" xfId="24695"/>
    <cellStyle name="20% - Accent3 8 2 2 3" xfId="18781"/>
    <cellStyle name="20% - Accent3 8 2 3" xfId="1459"/>
    <cellStyle name="20% - Accent3 8 2 3 2" xfId="12111"/>
    <cellStyle name="20% - Accent3 8 2 3 2 2" xfId="25823"/>
    <cellStyle name="20% - Accent3 8 2 3 3" xfId="18782"/>
    <cellStyle name="20% - Accent3 8 2 4" xfId="1460"/>
    <cellStyle name="20% - Accent3 8 2 4 2" xfId="14846"/>
    <cellStyle name="20% - Accent3 8 2 4 2 2" xfId="28395"/>
    <cellStyle name="20% - Accent3 8 2 4 3" xfId="18783"/>
    <cellStyle name="20% - Accent3 8 2 5" xfId="1461"/>
    <cellStyle name="20% - Accent3 8 2 5 2" xfId="16714"/>
    <cellStyle name="20% - Accent3 8 2 5 2 2" xfId="30121"/>
    <cellStyle name="20% - Accent3 8 2 5 3" xfId="18784"/>
    <cellStyle name="20% - Accent3 8 2 6" xfId="9028"/>
    <cellStyle name="20% - Accent3 8 2 6 2" xfId="23503"/>
    <cellStyle name="20% - Accent3 8 2 7" xfId="18780"/>
    <cellStyle name="20% - Accent3 8 3" xfId="1462"/>
    <cellStyle name="20% - Accent3 8 3 2" xfId="1463"/>
    <cellStyle name="20% - Accent3 8 3 2 2" xfId="14847"/>
    <cellStyle name="20% - Accent3 8 3 2 2 2" xfId="28396"/>
    <cellStyle name="20% - Accent3 8 3 2 3" xfId="18786"/>
    <cellStyle name="20% - Accent3 8 3 3" xfId="10752"/>
    <cellStyle name="20% - Accent3 8 3 3 2" xfId="24694"/>
    <cellStyle name="20% - Accent3 8 3 4" xfId="18785"/>
    <cellStyle name="20% - Accent3 8 4" xfId="1464"/>
    <cellStyle name="20% - Accent3 8 4 2" xfId="12092"/>
    <cellStyle name="20% - Accent3 8 4 2 2" xfId="25806"/>
    <cellStyle name="20% - Accent3 8 4 3" xfId="18787"/>
    <cellStyle name="20% - Accent3 8 5" xfId="1465"/>
    <cellStyle name="20% - Accent3 8 5 2" xfId="12107"/>
    <cellStyle name="20% - Accent3 8 5 2 2" xfId="25819"/>
    <cellStyle name="20% - Accent3 8 5 3" xfId="18788"/>
    <cellStyle name="20% - Accent3 8 6" xfId="1466"/>
    <cellStyle name="20% - Accent3 8 6 2" xfId="13666"/>
    <cellStyle name="20% - Accent3 8 6 2 2" xfId="27215"/>
    <cellStyle name="20% - Accent3 8 6 3" xfId="18789"/>
    <cellStyle name="20% - Accent3 8 7" xfId="1467"/>
    <cellStyle name="20% - Accent3 8 7 2" xfId="14247"/>
    <cellStyle name="20% - Accent3 8 7 2 2" xfId="27796"/>
    <cellStyle name="20% - Accent3 8 7 3" xfId="18790"/>
    <cellStyle name="20% - Accent3 8 8" xfId="1468"/>
    <cellStyle name="20% - Accent3 8 8 2" xfId="14845"/>
    <cellStyle name="20% - Accent3 8 8 2 2" xfId="28394"/>
    <cellStyle name="20% - Accent3 8 8 3" xfId="18791"/>
    <cellStyle name="20% - Accent3 8 9" xfId="1469"/>
    <cellStyle name="20% - Accent3 8 9 2" xfId="16133"/>
    <cellStyle name="20% - Accent3 8 9 2 2" xfId="29540"/>
    <cellStyle name="20% - Accent3 8 9 3" xfId="18792"/>
    <cellStyle name="20% - Accent3 9" xfId="1470"/>
    <cellStyle name="20% - Accent3 9 2" xfId="1471"/>
    <cellStyle name="20% - Accent3 9 2 2" xfId="10754"/>
    <cellStyle name="20% - Accent3 9 2 2 2" xfId="24696"/>
    <cellStyle name="20% - Accent3 9 2 3" xfId="18794"/>
    <cellStyle name="20% - Accent3 9 3" xfId="1472"/>
    <cellStyle name="20% - Accent3 9 3 2" xfId="11761"/>
    <cellStyle name="20% - Accent3 9 3 2 2" xfId="25476"/>
    <cellStyle name="20% - Accent3 9 3 3" xfId="18795"/>
    <cellStyle name="20% - Accent3 9 4" xfId="1473"/>
    <cellStyle name="20% - Accent3 9 4 2" xfId="14848"/>
    <cellStyle name="20% - Accent3 9 4 2 2" xfId="28397"/>
    <cellStyle name="20% - Accent3 9 4 3" xfId="18796"/>
    <cellStyle name="20% - Accent3 9 5" xfId="1474"/>
    <cellStyle name="20% - Accent3 9 5 2" xfId="17098"/>
    <cellStyle name="20% - Accent3 9 5 2 2" xfId="30457"/>
    <cellStyle name="20% - Accent3 9 5 3" xfId="18797"/>
    <cellStyle name="20% - Accent3 9 6" xfId="9029"/>
    <cellStyle name="20% - Accent3 9 6 2" xfId="23504"/>
    <cellStyle name="20% - Accent3 9 7" xfId="18793"/>
    <cellStyle name="20% - Accent4" xfId="40" builtinId="42" customBuiltin="1"/>
    <cellStyle name="20% - Accent4 10" xfId="1475"/>
    <cellStyle name="20% - Accent4 10 2" xfId="1476"/>
    <cellStyle name="20% - Accent4 10 2 2" xfId="1477"/>
    <cellStyle name="20% - Accent4 10 2 2 2" xfId="12458"/>
    <cellStyle name="20% - Accent4 10 2 2 2 2" xfId="26170"/>
    <cellStyle name="20% - Accent4 10 2 2 3" xfId="18800"/>
    <cellStyle name="20% - Accent4 10 2 3" xfId="1478"/>
    <cellStyle name="20% - Accent4 10 2 3 2" xfId="14851"/>
    <cellStyle name="20% - Accent4 10 2 3 2 2" xfId="28400"/>
    <cellStyle name="20% - Accent4 10 2 3 3" xfId="18801"/>
    <cellStyle name="20% - Accent4 10 2 4" xfId="10756"/>
    <cellStyle name="20% - Accent4 10 2 4 2" xfId="24698"/>
    <cellStyle name="20% - Accent4 10 2 5" xfId="18799"/>
    <cellStyle name="20% - Accent4 10 3" xfId="1479"/>
    <cellStyle name="20% - Accent4 10 3 2" xfId="12697"/>
    <cellStyle name="20% - Accent4 10 3 2 2" xfId="26409"/>
    <cellStyle name="20% - Accent4 10 3 3" xfId="18802"/>
    <cellStyle name="20% - Accent4 10 4" xfId="1480"/>
    <cellStyle name="20% - Accent4 10 4 2" xfId="14850"/>
    <cellStyle name="20% - Accent4 10 4 2 2" xfId="28399"/>
    <cellStyle name="20% - Accent4 10 4 3" xfId="18803"/>
    <cellStyle name="20% - Accent4 10 5" xfId="1481"/>
    <cellStyle name="20% - Accent4 10 5 2" xfId="17188"/>
    <cellStyle name="20% - Accent4 10 5 2 2" xfId="30547"/>
    <cellStyle name="20% - Accent4 10 5 3" xfId="18804"/>
    <cellStyle name="20% - Accent4 10 6" xfId="9031"/>
    <cellStyle name="20% - Accent4 10 6 2" xfId="23506"/>
    <cellStyle name="20% - Accent4 10 7" xfId="18798"/>
    <cellStyle name="20% - Accent4 11" xfId="1482"/>
    <cellStyle name="20% - Accent4 11 2" xfId="1483"/>
    <cellStyle name="20% - Accent4 11 2 2" xfId="10757"/>
    <cellStyle name="20% - Accent4 11 2 2 2" xfId="24699"/>
    <cellStyle name="20% - Accent4 11 2 3" xfId="18806"/>
    <cellStyle name="20% - Accent4 11 3" xfId="1484"/>
    <cellStyle name="20% - Accent4 11 3 2" xfId="12588"/>
    <cellStyle name="20% - Accent4 11 3 2 2" xfId="26300"/>
    <cellStyle name="20% - Accent4 11 3 3" xfId="18807"/>
    <cellStyle name="20% - Accent4 11 4" xfId="1485"/>
    <cellStyle name="20% - Accent4 11 4 2" xfId="14852"/>
    <cellStyle name="20% - Accent4 11 4 2 2" xfId="28401"/>
    <cellStyle name="20% - Accent4 11 4 3" xfId="18808"/>
    <cellStyle name="20% - Accent4 11 5" xfId="1486"/>
    <cellStyle name="20% - Accent4 11 5 2" xfId="17277"/>
    <cellStyle name="20% - Accent4 11 5 2 2" xfId="30636"/>
    <cellStyle name="20% - Accent4 11 5 3" xfId="18809"/>
    <cellStyle name="20% - Accent4 11 6" xfId="9032"/>
    <cellStyle name="20% - Accent4 11 6 2" xfId="23507"/>
    <cellStyle name="20% - Accent4 11 7" xfId="18805"/>
    <cellStyle name="20% - Accent4 12" xfId="1487"/>
    <cellStyle name="20% - Accent4 12 2" xfId="1488"/>
    <cellStyle name="20% - Accent4 12 2 2" xfId="1489"/>
    <cellStyle name="20% - Accent4 12 2 2 2" xfId="10759"/>
    <cellStyle name="20% - Accent4 12 2 2 2 2" xfId="24701"/>
    <cellStyle name="20% - Accent4 12 2 2 3" xfId="18812"/>
    <cellStyle name="20% - Accent4 12 2 3" xfId="1490"/>
    <cellStyle name="20% - Accent4 12 2 3 2" xfId="12773"/>
    <cellStyle name="20% - Accent4 12 2 3 2 2" xfId="26485"/>
    <cellStyle name="20% - Accent4 12 2 3 3" xfId="18813"/>
    <cellStyle name="20% - Accent4 12 2 4" xfId="1491"/>
    <cellStyle name="20% - Accent4 12 2 4 2" xfId="14854"/>
    <cellStyle name="20% - Accent4 12 2 4 2 2" xfId="28403"/>
    <cellStyle name="20% - Accent4 12 2 4 3" xfId="18814"/>
    <cellStyle name="20% - Accent4 12 2 5" xfId="9034"/>
    <cellStyle name="20% - Accent4 12 2 5 2" xfId="23509"/>
    <cellStyle name="20% - Accent4 12 2 6" xfId="18811"/>
    <cellStyle name="20% - Accent4 12 3" xfId="1492"/>
    <cellStyle name="20% - Accent4 12 3 2" xfId="10758"/>
    <cellStyle name="20% - Accent4 12 3 2 2" xfId="24700"/>
    <cellStyle name="20% - Accent4 12 3 3" xfId="18815"/>
    <cellStyle name="20% - Accent4 12 4" xfId="1493"/>
    <cellStyle name="20% - Accent4 12 4 2" xfId="12465"/>
    <cellStyle name="20% - Accent4 12 4 2 2" xfId="26177"/>
    <cellStyle name="20% - Accent4 12 4 3" xfId="18816"/>
    <cellStyle name="20% - Accent4 12 5" xfId="1494"/>
    <cellStyle name="20% - Accent4 12 5 2" xfId="14853"/>
    <cellStyle name="20% - Accent4 12 5 2 2" xfId="28402"/>
    <cellStyle name="20% - Accent4 12 5 3" xfId="18817"/>
    <cellStyle name="20% - Accent4 12 6" xfId="1495"/>
    <cellStyle name="20% - Accent4 12 6 2" xfId="16429"/>
    <cellStyle name="20% - Accent4 12 6 2 2" xfId="29836"/>
    <cellStyle name="20% - Accent4 12 6 3" xfId="18818"/>
    <cellStyle name="20% - Accent4 12 7" xfId="9033"/>
    <cellStyle name="20% - Accent4 12 7 2" xfId="23508"/>
    <cellStyle name="20% - Accent4 12 8" xfId="18810"/>
    <cellStyle name="20% - Accent4 13" xfId="1496"/>
    <cellStyle name="20% - Accent4 13 2" xfId="1497"/>
    <cellStyle name="20% - Accent4 13 2 2" xfId="10760"/>
    <cellStyle name="20% - Accent4 13 2 2 2" xfId="24702"/>
    <cellStyle name="20% - Accent4 13 2 3" xfId="18820"/>
    <cellStyle name="20% - Accent4 13 3" xfId="1498"/>
    <cellStyle name="20% - Accent4 13 3 2" xfId="12484"/>
    <cellStyle name="20% - Accent4 13 3 2 2" xfId="26196"/>
    <cellStyle name="20% - Accent4 13 3 3" xfId="18821"/>
    <cellStyle name="20% - Accent4 13 4" xfId="1499"/>
    <cellStyle name="20% - Accent4 13 4 2" xfId="14855"/>
    <cellStyle name="20% - Accent4 13 4 2 2" xfId="28404"/>
    <cellStyle name="20% - Accent4 13 4 3" xfId="18822"/>
    <cellStyle name="20% - Accent4 13 5" xfId="9035"/>
    <cellStyle name="20% - Accent4 13 5 2" xfId="23510"/>
    <cellStyle name="20% - Accent4 13 6" xfId="18819"/>
    <cellStyle name="20% - Accent4 14" xfId="1500"/>
    <cellStyle name="20% - Accent4 14 2" xfId="1501"/>
    <cellStyle name="20% - Accent4 14 2 2" xfId="10761"/>
    <cellStyle name="20% - Accent4 14 2 2 2" xfId="24703"/>
    <cellStyle name="20% - Accent4 14 2 3" xfId="18824"/>
    <cellStyle name="20% - Accent4 14 3" xfId="1502"/>
    <cellStyle name="20% - Accent4 14 3 2" xfId="12575"/>
    <cellStyle name="20% - Accent4 14 3 2 2" xfId="26287"/>
    <cellStyle name="20% - Accent4 14 3 3" xfId="18825"/>
    <cellStyle name="20% - Accent4 14 4" xfId="1503"/>
    <cellStyle name="20% - Accent4 14 4 2" xfId="14856"/>
    <cellStyle name="20% - Accent4 14 4 2 2" xfId="28405"/>
    <cellStyle name="20% - Accent4 14 4 3" xfId="18826"/>
    <cellStyle name="20% - Accent4 14 5" xfId="9036"/>
    <cellStyle name="20% - Accent4 14 5 2" xfId="23511"/>
    <cellStyle name="20% - Accent4 14 6" xfId="18823"/>
    <cellStyle name="20% - Accent4 15" xfId="1504"/>
    <cellStyle name="20% - Accent4 15 2" xfId="1505"/>
    <cellStyle name="20% - Accent4 15 2 2" xfId="10762"/>
    <cellStyle name="20% - Accent4 15 2 2 2" xfId="24704"/>
    <cellStyle name="20% - Accent4 15 2 3" xfId="18828"/>
    <cellStyle name="20% - Accent4 15 3" xfId="1506"/>
    <cellStyle name="20% - Accent4 15 3 2" xfId="12491"/>
    <cellStyle name="20% - Accent4 15 3 2 2" xfId="26203"/>
    <cellStyle name="20% - Accent4 15 3 3" xfId="18829"/>
    <cellStyle name="20% - Accent4 15 4" xfId="1507"/>
    <cellStyle name="20% - Accent4 15 4 2" xfId="14857"/>
    <cellStyle name="20% - Accent4 15 4 2 2" xfId="28406"/>
    <cellStyle name="20% - Accent4 15 4 3" xfId="18830"/>
    <cellStyle name="20% - Accent4 15 5" xfId="9037"/>
    <cellStyle name="20% - Accent4 15 5 2" xfId="23512"/>
    <cellStyle name="20% - Accent4 15 6" xfId="18827"/>
    <cellStyle name="20% - Accent4 16" xfId="1508"/>
    <cellStyle name="20% - Accent4 16 2" xfId="1509"/>
    <cellStyle name="20% - Accent4 16 2 2" xfId="10763"/>
    <cellStyle name="20% - Accent4 16 2 2 2" xfId="24705"/>
    <cellStyle name="20% - Accent4 16 2 3" xfId="18832"/>
    <cellStyle name="20% - Accent4 16 3" xfId="1510"/>
    <cellStyle name="20% - Accent4 16 3 2" xfId="12741"/>
    <cellStyle name="20% - Accent4 16 3 2 2" xfId="26453"/>
    <cellStyle name="20% - Accent4 16 3 3" xfId="18833"/>
    <cellStyle name="20% - Accent4 16 4" xfId="1511"/>
    <cellStyle name="20% - Accent4 16 4 2" xfId="14858"/>
    <cellStyle name="20% - Accent4 16 4 2 2" xfId="28407"/>
    <cellStyle name="20% - Accent4 16 4 3" xfId="18834"/>
    <cellStyle name="20% - Accent4 16 5" xfId="9038"/>
    <cellStyle name="20% - Accent4 16 5 2" xfId="23513"/>
    <cellStyle name="20% - Accent4 16 6" xfId="18831"/>
    <cellStyle name="20% - Accent4 17" xfId="1512"/>
    <cellStyle name="20% - Accent4 17 2" xfId="1513"/>
    <cellStyle name="20% - Accent4 17 2 2" xfId="10764"/>
    <cellStyle name="20% - Accent4 17 2 2 2" xfId="24706"/>
    <cellStyle name="20% - Accent4 17 2 3" xfId="18836"/>
    <cellStyle name="20% - Accent4 17 3" xfId="1514"/>
    <cellStyle name="20% - Accent4 17 3 2" xfId="12779"/>
    <cellStyle name="20% - Accent4 17 3 2 2" xfId="26491"/>
    <cellStyle name="20% - Accent4 17 3 3" xfId="18837"/>
    <cellStyle name="20% - Accent4 17 4" xfId="1515"/>
    <cellStyle name="20% - Accent4 17 4 2" xfId="14859"/>
    <cellStyle name="20% - Accent4 17 4 2 2" xfId="28408"/>
    <cellStyle name="20% - Accent4 17 4 3" xfId="18838"/>
    <cellStyle name="20% - Accent4 17 5" xfId="9039"/>
    <cellStyle name="20% - Accent4 17 5 2" xfId="23514"/>
    <cellStyle name="20% - Accent4 17 6" xfId="18835"/>
    <cellStyle name="20% - Accent4 18" xfId="1516"/>
    <cellStyle name="20% - Accent4 18 2" xfId="1517"/>
    <cellStyle name="20% - Accent4 18 2 2" xfId="10765"/>
    <cellStyle name="20% - Accent4 18 2 2 2" xfId="24707"/>
    <cellStyle name="20% - Accent4 18 2 3" xfId="18840"/>
    <cellStyle name="20% - Accent4 18 3" xfId="1518"/>
    <cellStyle name="20% - Accent4 18 3 2" xfId="12490"/>
    <cellStyle name="20% - Accent4 18 3 2 2" xfId="26202"/>
    <cellStyle name="20% - Accent4 18 3 3" xfId="18841"/>
    <cellStyle name="20% - Accent4 18 4" xfId="1519"/>
    <cellStyle name="20% - Accent4 18 4 2" xfId="14860"/>
    <cellStyle name="20% - Accent4 18 4 2 2" xfId="28409"/>
    <cellStyle name="20% - Accent4 18 4 3" xfId="18842"/>
    <cellStyle name="20% - Accent4 18 5" xfId="9040"/>
    <cellStyle name="20% - Accent4 18 5 2" xfId="23515"/>
    <cellStyle name="20% - Accent4 18 6" xfId="18839"/>
    <cellStyle name="20% - Accent4 19" xfId="1520"/>
    <cellStyle name="20% - Accent4 19 2" xfId="1521"/>
    <cellStyle name="20% - Accent4 19 2 2" xfId="11713"/>
    <cellStyle name="20% - Accent4 19 2 2 2" xfId="25433"/>
    <cellStyle name="20% - Accent4 19 2 3" xfId="18844"/>
    <cellStyle name="20% - Accent4 19 3" xfId="1522"/>
    <cellStyle name="20% - Accent4 19 3 2" xfId="12450"/>
    <cellStyle name="20% - Accent4 19 3 2 2" xfId="26162"/>
    <cellStyle name="20% - Accent4 19 3 3" xfId="18845"/>
    <cellStyle name="20% - Accent4 19 4" xfId="1523"/>
    <cellStyle name="20% - Accent4 19 4 2" xfId="14861"/>
    <cellStyle name="20% - Accent4 19 4 2 2" xfId="28410"/>
    <cellStyle name="20% - Accent4 19 4 3" xfId="18846"/>
    <cellStyle name="20% - Accent4 19 5" xfId="10465"/>
    <cellStyle name="20% - Accent4 19 5 2" xfId="24424"/>
    <cellStyle name="20% - Accent4 19 6" xfId="18843"/>
    <cellStyle name="20% - Accent4 2" xfId="1524"/>
    <cellStyle name="20% - Accent4 2 10" xfId="1525"/>
    <cellStyle name="20% - Accent4 2 10 2" xfId="1526"/>
    <cellStyle name="20% - Accent4 2 10 2 2" xfId="14863"/>
    <cellStyle name="20% - Accent4 2 10 2 2 2" xfId="28412"/>
    <cellStyle name="20% - Accent4 2 10 2 3" xfId="18849"/>
    <cellStyle name="20% - Accent4 2 10 3" xfId="11842"/>
    <cellStyle name="20% - Accent4 2 10 3 2" xfId="25557"/>
    <cellStyle name="20% - Accent4 2 10 4" xfId="18848"/>
    <cellStyle name="20% - Accent4 2 11" xfId="1527"/>
    <cellStyle name="20% - Accent4 2 11 2" xfId="12543"/>
    <cellStyle name="20% - Accent4 2 11 2 2" xfId="26255"/>
    <cellStyle name="20% - Accent4 2 11 3" xfId="18850"/>
    <cellStyle name="20% - Accent4 2 12" xfId="1528"/>
    <cellStyle name="20% - Accent4 2 12 2" xfId="13441"/>
    <cellStyle name="20% - Accent4 2 12 2 2" xfId="26990"/>
    <cellStyle name="20% - Accent4 2 12 3" xfId="18851"/>
    <cellStyle name="20% - Accent4 2 13" xfId="1529"/>
    <cellStyle name="20% - Accent4 2 13 2" xfId="14022"/>
    <cellStyle name="20% - Accent4 2 13 2 2" xfId="27571"/>
    <cellStyle name="20% - Accent4 2 13 3" xfId="18852"/>
    <cellStyle name="20% - Accent4 2 14" xfId="1530"/>
    <cellStyle name="20% - Accent4 2 14 2" xfId="14862"/>
    <cellStyle name="20% - Accent4 2 14 2 2" xfId="28411"/>
    <cellStyle name="20% - Accent4 2 14 3" xfId="18853"/>
    <cellStyle name="20% - Accent4 2 15" xfId="1531"/>
    <cellStyle name="20% - Accent4 2 15 2" xfId="15908"/>
    <cellStyle name="20% - Accent4 2 15 2 2" xfId="29315"/>
    <cellStyle name="20% - Accent4 2 15 3" xfId="18854"/>
    <cellStyle name="20% - Accent4 2 16" xfId="9041"/>
    <cellStyle name="20% - Accent4 2 16 2" xfId="23516"/>
    <cellStyle name="20% - Accent4 2 17" xfId="18847"/>
    <cellStyle name="20% - Accent4 2 18" xfId="33074"/>
    <cellStyle name="20% - Accent4 2 2" xfId="1532"/>
    <cellStyle name="20% - Accent4 2 2 10" xfId="1533"/>
    <cellStyle name="20% - Accent4 2 2 10 2" xfId="14864"/>
    <cellStyle name="20% - Accent4 2 2 10 2 2" xfId="28413"/>
    <cellStyle name="20% - Accent4 2 2 10 3" xfId="18856"/>
    <cellStyle name="20% - Accent4 2 2 11" xfId="1534"/>
    <cellStyle name="20% - Accent4 2 2 11 2" xfId="15954"/>
    <cellStyle name="20% - Accent4 2 2 11 2 2" xfId="29361"/>
    <cellStyle name="20% - Accent4 2 2 11 3" xfId="18857"/>
    <cellStyle name="20% - Accent4 2 2 12" xfId="9042"/>
    <cellStyle name="20% - Accent4 2 2 12 2" xfId="23517"/>
    <cellStyle name="20% - Accent4 2 2 13" xfId="18855"/>
    <cellStyle name="20% - Accent4 2 2 2" xfId="1535"/>
    <cellStyle name="20% - Accent4 2 2 2 10" xfId="1536"/>
    <cellStyle name="20% - Accent4 2 2 2 10 2" xfId="16097"/>
    <cellStyle name="20% - Accent4 2 2 2 10 2 2" xfId="29504"/>
    <cellStyle name="20% - Accent4 2 2 2 10 3" xfId="18859"/>
    <cellStyle name="20% - Accent4 2 2 2 11" xfId="9043"/>
    <cellStyle name="20% - Accent4 2 2 2 11 2" xfId="23518"/>
    <cellStyle name="20% - Accent4 2 2 2 12" xfId="18858"/>
    <cellStyle name="20% - Accent4 2 2 2 2" xfId="1537"/>
    <cellStyle name="20% - Accent4 2 2 2 2 10" xfId="9044"/>
    <cellStyle name="20% - Accent4 2 2 2 2 10 2" xfId="23519"/>
    <cellStyle name="20% - Accent4 2 2 2 2 11" xfId="18860"/>
    <cellStyle name="20% - Accent4 2 2 2 2 2" xfId="1538"/>
    <cellStyle name="20% - Accent4 2 2 2 2 2 2" xfId="1539"/>
    <cellStyle name="20% - Accent4 2 2 2 2 2 2 2" xfId="10770"/>
    <cellStyle name="20% - Accent4 2 2 2 2 2 2 2 2" xfId="24712"/>
    <cellStyle name="20% - Accent4 2 2 2 2 2 2 3" xfId="18862"/>
    <cellStyle name="20% - Accent4 2 2 2 2 2 3" xfId="1540"/>
    <cellStyle name="20% - Accent4 2 2 2 2 2 3 2" xfId="12623"/>
    <cellStyle name="20% - Accent4 2 2 2 2 2 3 2 2" xfId="26335"/>
    <cellStyle name="20% - Accent4 2 2 2 2 2 3 3" xfId="18863"/>
    <cellStyle name="20% - Accent4 2 2 2 2 2 4" xfId="1541"/>
    <cellStyle name="20% - Accent4 2 2 2 2 2 4 2" xfId="14867"/>
    <cellStyle name="20% - Accent4 2 2 2 2 2 4 2 2" xfId="28416"/>
    <cellStyle name="20% - Accent4 2 2 2 2 2 4 3" xfId="18864"/>
    <cellStyle name="20% - Accent4 2 2 2 2 2 5" xfId="1542"/>
    <cellStyle name="20% - Accent4 2 2 2 2 2 5 2" xfId="16967"/>
    <cellStyle name="20% - Accent4 2 2 2 2 2 5 2 2" xfId="30374"/>
    <cellStyle name="20% - Accent4 2 2 2 2 2 5 3" xfId="18865"/>
    <cellStyle name="20% - Accent4 2 2 2 2 2 6" xfId="9045"/>
    <cellStyle name="20% - Accent4 2 2 2 2 2 6 2" xfId="23520"/>
    <cellStyle name="20% - Accent4 2 2 2 2 2 7" xfId="18861"/>
    <cellStyle name="20% - Accent4 2 2 2 2 3" xfId="1543"/>
    <cellStyle name="20% - Accent4 2 2 2 2 3 2" xfId="1544"/>
    <cellStyle name="20% - Accent4 2 2 2 2 3 2 2" xfId="14868"/>
    <cellStyle name="20% - Accent4 2 2 2 2 3 2 2 2" xfId="28417"/>
    <cellStyle name="20% - Accent4 2 2 2 2 3 2 3" xfId="18867"/>
    <cellStyle name="20% - Accent4 2 2 2 2 3 3" xfId="10769"/>
    <cellStyle name="20% - Accent4 2 2 2 2 3 3 2" xfId="24711"/>
    <cellStyle name="20% - Accent4 2 2 2 2 3 4" xfId="18866"/>
    <cellStyle name="20% - Accent4 2 2 2 2 4" xfId="1545"/>
    <cellStyle name="20% - Accent4 2 2 2 2 4 2" xfId="12355"/>
    <cellStyle name="20% - Accent4 2 2 2 2 4 2 2" xfId="26067"/>
    <cellStyle name="20% - Accent4 2 2 2 2 4 3" xfId="18868"/>
    <cellStyle name="20% - Accent4 2 2 2 2 5" xfId="1546"/>
    <cellStyle name="20% - Accent4 2 2 2 2 5 2" xfId="11850"/>
    <cellStyle name="20% - Accent4 2 2 2 2 5 2 2" xfId="25565"/>
    <cellStyle name="20% - Accent4 2 2 2 2 5 3" xfId="18869"/>
    <cellStyle name="20% - Accent4 2 2 2 2 6" xfId="1547"/>
    <cellStyle name="20% - Accent4 2 2 2 2 6 2" xfId="13919"/>
    <cellStyle name="20% - Accent4 2 2 2 2 6 2 2" xfId="27468"/>
    <cellStyle name="20% - Accent4 2 2 2 2 6 3" xfId="18870"/>
    <cellStyle name="20% - Accent4 2 2 2 2 7" xfId="1548"/>
    <cellStyle name="20% - Accent4 2 2 2 2 7 2" xfId="14500"/>
    <cellStyle name="20% - Accent4 2 2 2 2 7 2 2" xfId="28049"/>
    <cellStyle name="20% - Accent4 2 2 2 2 7 3" xfId="18871"/>
    <cellStyle name="20% - Accent4 2 2 2 2 8" xfId="1549"/>
    <cellStyle name="20% - Accent4 2 2 2 2 8 2" xfId="14866"/>
    <cellStyle name="20% - Accent4 2 2 2 2 8 2 2" xfId="28415"/>
    <cellStyle name="20% - Accent4 2 2 2 2 8 3" xfId="18872"/>
    <cellStyle name="20% - Accent4 2 2 2 2 9" xfId="1550"/>
    <cellStyle name="20% - Accent4 2 2 2 2 9 2" xfId="16386"/>
    <cellStyle name="20% - Accent4 2 2 2 2 9 2 2" xfId="29793"/>
    <cellStyle name="20% - Accent4 2 2 2 2 9 3" xfId="18873"/>
    <cellStyle name="20% - Accent4 2 2 2 3" xfId="1551"/>
    <cellStyle name="20% - Accent4 2 2 2 3 2" xfId="1552"/>
    <cellStyle name="20% - Accent4 2 2 2 3 2 2" xfId="10771"/>
    <cellStyle name="20% - Accent4 2 2 2 3 2 2 2" xfId="24713"/>
    <cellStyle name="20% - Accent4 2 2 2 3 2 3" xfId="18875"/>
    <cellStyle name="20% - Accent4 2 2 2 3 3" xfId="1553"/>
    <cellStyle name="20% - Accent4 2 2 2 3 3 2" xfId="11754"/>
    <cellStyle name="20% - Accent4 2 2 2 3 3 2 2" xfId="25469"/>
    <cellStyle name="20% - Accent4 2 2 2 3 3 3" xfId="18876"/>
    <cellStyle name="20% - Accent4 2 2 2 3 4" xfId="1554"/>
    <cellStyle name="20% - Accent4 2 2 2 3 4 2" xfId="14869"/>
    <cellStyle name="20% - Accent4 2 2 2 3 4 2 2" xfId="28418"/>
    <cellStyle name="20% - Accent4 2 2 2 3 4 3" xfId="18877"/>
    <cellStyle name="20% - Accent4 2 2 2 3 5" xfId="1555"/>
    <cellStyle name="20% - Accent4 2 2 2 3 5 2" xfId="16678"/>
    <cellStyle name="20% - Accent4 2 2 2 3 5 2 2" xfId="30085"/>
    <cellStyle name="20% - Accent4 2 2 2 3 5 3" xfId="18878"/>
    <cellStyle name="20% - Accent4 2 2 2 3 6" xfId="9046"/>
    <cellStyle name="20% - Accent4 2 2 2 3 6 2" xfId="23521"/>
    <cellStyle name="20% - Accent4 2 2 2 3 7" xfId="18874"/>
    <cellStyle name="20% - Accent4 2 2 2 4" xfId="1556"/>
    <cellStyle name="20% - Accent4 2 2 2 4 2" xfId="1557"/>
    <cellStyle name="20% - Accent4 2 2 2 4 2 2" xfId="14870"/>
    <cellStyle name="20% - Accent4 2 2 2 4 2 2 2" xfId="28419"/>
    <cellStyle name="20% - Accent4 2 2 2 4 2 3" xfId="18880"/>
    <cellStyle name="20% - Accent4 2 2 2 4 3" xfId="10768"/>
    <cellStyle name="20% - Accent4 2 2 2 4 3 2" xfId="24710"/>
    <cellStyle name="20% - Accent4 2 2 2 4 4" xfId="18879"/>
    <cellStyle name="20% - Accent4 2 2 2 5" xfId="1558"/>
    <cellStyle name="20% - Accent4 2 2 2 5 2" xfId="12055"/>
    <cellStyle name="20% - Accent4 2 2 2 5 2 2" xfId="25770"/>
    <cellStyle name="20% - Accent4 2 2 2 5 3" xfId="18881"/>
    <cellStyle name="20% - Accent4 2 2 2 6" xfId="1559"/>
    <cellStyle name="20% - Accent4 2 2 2 6 2" xfId="12488"/>
    <cellStyle name="20% - Accent4 2 2 2 6 2 2" xfId="26200"/>
    <cellStyle name="20% - Accent4 2 2 2 6 3" xfId="18882"/>
    <cellStyle name="20% - Accent4 2 2 2 7" xfId="1560"/>
    <cellStyle name="20% - Accent4 2 2 2 7 2" xfId="13630"/>
    <cellStyle name="20% - Accent4 2 2 2 7 2 2" xfId="27179"/>
    <cellStyle name="20% - Accent4 2 2 2 7 3" xfId="18883"/>
    <cellStyle name="20% - Accent4 2 2 2 8" xfId="1561"/>
    <cellStyle name="20% - Accent4 2 2 2 8 2" xfId="14211"/>
    <cellStyle name="20% - Accent4 2 2 2 8 2 2" xfId="27760"/>
    <cellStyle name="20% - Accent4 2 2 2 8 3" xfId="18884"/>
    <cellStyle name="20% - Accent4 2 2 2 9" xfId="1562"/>
    <cellStyle name="20% - Accent4 2 2 2 9 2" xfId="14865"/>
    <cellStyle name="20% - Accent4 2 2 2 9 2 2" xfId="28414"/>
    <cellStyle name="20% - Accent4 2 2 2 9 3" xfId="18885"/>
    <cellStyle name="20% - Accent4 2 2 3" xfId="1563"/>
    <cellStyle name="20% - Accent4 2 2 3 10" xfId="9047"/>
    <cellStyle name="20% - Accent4 2 2 3 10 2" xfId="23522"/>
    <cellStyle name="20% - Accent4 2 2 3 11" xfId="18886"/>
    <cellStyle name="20% - Accent4 2 2 3 2" xfId="1564"/>
    <cellStyle name="20% - Accent4 2 2 3 2 2" xfId="1565"/>
    <cellStyle name="20% - Accent4 2 2 3 2 2 2" xfId="10773"/>
    <cellStyle name="20% - Accent4 2 2 3 2 2 2 2" xfId="24715"/>
    <cellStyle name="20% - Accent4 2 2 3 2 2 3" xfId="18888"/>
    <cellStyle name="20% - Accent4 2 2 3 2 3" xfId="1566"/>
    <cellStyle name="20% - Accent4 2 2 3 2 3 2" xfId="11775"/>
    <cellStyle name="20% - Accent4 2 2 3 2 3 2 2" xfId="25490"/>
    <cellStyle name="20% - Accent4 2 2 3 2 3 3" xfId="18889"/>
    <cellStyle name="20% - Accent4 2 2 3 2 4" xfId="1567"/>
    <cellStyle name="20% - Accent4 2 2 3 2 4 2" xfId="14872"/>
    <cellStyle name="20% - Accent4 2 2 3 2 4 2 2" xfId="28421"/>
    <cellStyle name="20% - Accent4 2 2 3 2 4 3" xfId="18890"/>
    <cellStyle name="20% - Accent4 2 2 3 2 5" xfId="1568"/>
    <cellStyle name="20% - Accent4 2 2 3 2 5 2" xfId="16824"/>
    <cellStyle name="20% - Accent4 2 2 3 2 5 2 2" xfId="30231"/>
    <cellStyle name="20% - Accent4 2 2 3 2 5 3" xfId="18891"/>
    <cellStyle name="20% - Accent4 2 2 3 2 6" xfId="9048"/>
    <cellStyle name="20% - Accent4 2 2 3 2 6 2" xfId="23523"/>
    <cellStyle name="20% - Accent4 2 2 3 2 7" xfId="18887"/>
    <cellStyle name="20% - Accent4 2 2 3 3" xfId="1569"/>
    <cellStyle name="20% - Accent4 2 2 3 3 2" xfId="1570"/>
    <cellStyle name="20% - Accent4 2 2 3 3 2 2" xfId="14873"/>
    <cellStyle name="20% - Accent4 2 2 3 3 2 2 2" xfId="28422"/>
    <cellStyle name="20% - Accent4 2 2 3 3 2 3" xfId="18893"/>
    <cellStyle name="20% - Accent4 2 2 3 3 3" xfId="10772"/>
    <cellStyle name="20% - Accent4 2 2 3 3 3 2" xfId="24714"/>
    <cellStyle name="20% - Accent4 2 2 3 3 4" xfId="18892"/>
    <cellStyle name="20% - Accent4 2 2 3 4" xfId="1571"/>
    <cellStyle name="20% - Accent4 2 2 3 4 2" xfId="12212"/>
    <cellStyle name="20% - Accent4 2 2 3 4 2 2" xfId="25924"/>
    <cellStyle name="20% - Accent4 2 2 3 4 3" xfId="18894"/>
    <cellStyle name="20% - Accent4 2 2 3 5" xfId="1572"/>
    <cellStyle name="20% - Accent4 2 2 3 5 2" xfId="12535"/>
    <cellStyle name="20% - Accent4 2 2 3 5 2 2" xfId="26247"/>
    <cellStyle name="20% - Accent4 2 2 3 5 3" xfId="18895"/>
    <cellStyle name="20% - Accent4 2 2 3 6" xfId="1573"/>
    <cellStyle name="20% - Accent4 2 2 3 6 2" xfId="13776"/>
    <cellStyle name="20% - Accent4 2 2 3 6 2 2" xfId="27325"/>
    <cellStyle name="20% - Accent4 2 2 3 6 3" xfId="18896"/>
    <cellStyle name="20% - Accent4 2 2 3 7" xfId="1574"/>
    <cellStyle name="20% - Accent4 2 2 3 7 2" xfId="14357"/>
    <cellStyle name="20% - Accent4 2 2 3 7 2 2" xfId="27906"/>
    <cellStyle name="20% - Accent4 2 2 3 7 3" xfId="18897"/>
    <cellStyle name="20% - Accent4 2 2 3 8" xfId="1575"/>
    <cellStyle name="20% - Accent4 2 2 3 8 2" xfId="14871"/>
    <cellStyle name="20% - Accent4 2 2 3 8 2 2" xfId="28420"/>
    <cellStyle name="20% - Accent4 2 2 3 8 3" xfId="18898"/>
    <cellStyle name="20% - Accent4 2 2 3 9" xfId="1576"/>
    <cellStyle name="20% - Accent4 2 2 3 9 2" xfId="16243"/>
    <cellStyle name="20% - Accent4 2 2 3 9 2 2" xfId="29650"/>
    <cellStyle name="20% - Accent4 2 2 3 9 3" xfId="18899"/>
    <cellStyle name="20% - Accent4 2 2 4" xfId="1577"/>
    <cellStyle name="20% - Accent4 2 2 4 2" xfId="1578"/>
    <cellStyle name="20% - Accent4 2 2 4 2 2" xfId="10774"/>
    <cellStyle name="20% - Accent4 2 2 4 2 2 2" xfId="24716"/>
    <cellStyle name="20% - Accent4 2 2 4 2 3" xfId="18901"/>
    <cellStyle name="20% - Accent4 2 2 4 3" xfId="1579"/>
    <cellStyle name="20% - Accent4 2 2 4 3 2" xfId="12747"/>
    <cellStyle name="20% - Accent4 2 2 4 3 2 2" xfId="26459"/>
    <cellStyle name="20% - Accent4 2 2 4 3 3" xfId="18902"/>
    <cellStyle name="20% - Accent4 2 2 4 4" xfId="1580"/>
    <cellStyle name="20% - Accent4 2 2 4 4 2" xfId="14874"/>
    <cellStyle name="20% - Accent4 2 2 4 4 2 2" xfId="28423"/>
    <cellStyle name="20% - Accent4 2 2 4 4 3" xfId="18903"/>
    <cellStyle name="20% - Accent4 2 2 4 5" xfId="1581"/>
    <cellStyle name="20% - Accent4 2 2 4 5 2" xfId="17171"/>
    <cellStyle name="20% - Accent4 2 2 4 5 2 2" xfId="30530"/>
    <cellStyle name="20% - Accent4 2 2 4 5 3" xfId="18904"/>
    <cellStyle name="20% - Accent4 2 2 4 6" xfId="9049"/>
    <cellStyle name="20% - Accent4 2 2 4 6 2" xfId="23524"/>
    <cellStyle name="20% - Accent4 2 2 4 7" xfId="18900"/>
    <cellStyle name="20% - Accent4 2 2 5" xfId="1582"/>
    <cellStyle name="20% - Accent4 2 2 5 2" xfId="1583"/>
    <cellStyle name="20% - Accent4 2 2 5 2 2" xfId="14875"/>
    <cellStyle name="20% - Accent4 2 2 5 2 2 2" xfId="28424"/>
    <cellStyle name="20% - Accent4 2 2 5 2 3" xfId="18906"/>
    <cellStyle name="20% - Accent4 2 2 5 3" xfId="1584"/>
    <cellStyle name="20% - Accent4 2 2 5 3 2" xfId="17260"/>
    <cellStyle name="20% - Accent4 2 2 5 3 2 2" xfId="30619"/>
    <cellStyle name="20% - Accent4 2 2 5 3 3" xfId="18907"/>
    <cellStyle name="20% - Accent4 2 2 5 4" xfId="10767"/>
    <cellStyle name="20% - Accent4 2 2 5 4 2" xfId="24709"/>
    <cellStyle name="20% - Accent4 2 2 5 5" xfId="18905"/>
    <cellStyle name="20% - Accent4 2 2 6" xfId="1585"/>
    <cellStyle name="20% - Accent4 2 2 6 2" xfId="1586"/>
    <cellStyle name="20% - Accent4 2 2 6 2 2" xfId="16535"/>
    <cellStyle name="20% - Accent4 2 2 6 2 2 2" xfId="29942"/>
    <cellStyle name="20% - Accent4 2 2 6 2 3" xfId="18909"/>
    <cellStyle name="20% - Accent4 2 2 6 3" xfId="11910"/>
    <cellStyle name="20% - Accent4 2 2 6 3 2" xfId="25625"/>
    <cellStyle name="20% - Accent4 2 2 6 4" xfId="18908"/>
    <cellStyle name="20% - Accent4 2 2 7" xfId="1587"/>
    <cellStyle name="20% - Accent4 2 2 7 2" xfId="12397"/>
    <cellStyle name="20% - Accent4 2 2 7 2 2" xfId="26109"/>
    <cellStyle name="20% - Accent4 2 2 7 3" xfId="18910"/>
    <cellStyle name="20% - Accent4 2 2 8" xfId="1588"/>
    <cellStyle name="20% - Accent4 2 2 8 2" xfId="13487"/>
    <cellStyle name="20% - Accent4 2 2 8 2 2" xfId="27036"/>
    <cellStyle name="20% - Accent4 2 2 8 3" xfId="18911"/>
    <cellStyle name="20% - Accent4 2 2 9" xfId="1589"/>
    <cellStyle name="20% - Accent4 2 2 9 2" xfId="14068"/>
    <cellStyle name="20% - Accent4 2 2 9 2 2" xfId="27617"/>
    <cellStyle name="20% - Accent4 2 2 9 3" xfId="18912"/>
    <cellStyle name="20% - Accent4 2 3" xfId="1590"/>
    <cellStyle name="20% - Accent4 2 3 10" xfId="1591"/>
    <cellStyle name="20% - Accent4 2 3 10 2" xfId="16051"/>
    <cellStyle name="20% - Accent4 2 3 10 2 2" xfId="29458"/>
    <cellStyle name="20% - Accent4 2 3 10 3" xfId="18914"/>
    <cellStyle name="20% - Accent4 2 3 11" xfId="9050"/>
    <cellStyle name="20% - Accent4 2 3 11 2" xfId="23525"/>
    <cellStyle name="20% - Accent4 2 3 12" xfId="18913"/>
    <cellStyle name="20% - Accent4 2 3 2" xfId="1592"/>
    <cellStyle name="20% - Accent4 2 3 2 10" xfId="9051"/>
    <cellStyle name="20% - Accent4 2 3 2 10 2" xfId="23526"/>
    <cellStyle name="20% - Accent4 2 3 2 11" xfId="18915"/>
    <cellStyle name="20% - Accent4 2 3 2 2" xfId="1593"/>
    <cellStyle name="20% - Accent4 2 3 2 2 2" xfId="1594"/>
    <cellStyle name="20% - Accent4 2 3 2 2 2 2" xfId="10777"/>
    <cellStyle name="20% - Accent4 2 3 2 2 2 2 2" xfId="24719"/>
    <cellStyle name="20% - Accent4 2 3 2 2 2 3" xfId="18917"/>
    <cellStyle name="20% - Accent4 2 3 2 2 3" xfId="1595"/>
    <cellStyle name="20% - Accent4 2 3 2 2 3 2" xfId="11769"/>
    <cellStyle name="20% - Accent4 2 3 2 2 3 2 2" xfId="25484"/>
    <cellStyle name="20% - Accent4 2 3 2 2 3 3" xfId="18918"/>
    <cellStyle name="20% - Accent4 2 3 2 2 4" xfId="1596"/>
    <cellStyle name="20% - Accent4 2 3 2 2 4 2" xfId="14878"/>
    <cellStyle name="20% - Accent4 2 3 2 2 4 2 2" xfId="28427"/>
    <cellStyle name="20% - Accent4 2 3 2 2 4 3" xfId="18919"/>
    <cellStyle name="20% - Accent4 2 3 2 2 5" xfId="1597"/>
    <cellStyle name="20% - Accent4 2 3 2 2 5 2" xfId="16921"/>
    <cellStyle name="20% - Accent4 2 3 2 2 5 2 2" xfId="30328"/>
    <cellStyle name="20% - Accent4 2 3 2 2 5 3" xfId="18920"/>
    <cellStyle name="20% - Accent4 2 3 2 2 6" xfId="9052"/>
    <cellStyle name="20% - Accent4 2 3 2 2 6 2" xfId="23527"/>
    <cellStyle name="20% - Accent4 2 3 2 2 7" xfId="18916"/>
    <cellStyle name="20% - Accent4 2 3 2 3" xfId="1598"/>
    <cellStyle name="20% - Accent4 2 3 2 3 2" xfId="1599"/>
    <cellStyle name="20% - Accent4 2 3 2 3 2 2" xfId="14879"/>
    <cellStyle name="20% - Accent4 2 3 2 3 2 2 2" xfId="28428"/>
    <cellStyle name="20% - Accent4 2 3 2 3 2 3" xfId="18922"/>
    <cellStyle name="20% - Accent4 2 3 2 3 3" xfId="10776"/>
    <cellStyle name="20% - Accent4 2 3 2 3 3 2" xfId="24718"/>
    <cellStyle name="20% - Accent4 2 3 2 3 4" xfId="18921"/>
    <cellStyle name="20% - Accent4 2 3 2 4" xfId="1600"/>
    <cellStyle name="20% - Accent4 2 3 2 4 2" xfId="12309"/>
    <cellStyle name="20% - Accent4 2 3 2 4 2 2" xfId="26021"/>
    <cellStyle name="20% - Accent4 2 3 2 4 3" xfId="18923"/>
    <cellStyle name="20% - Accent4 2 3 2 5" xfId="1601"/>
    <cellStyle name="20% - Accent4 2 3 2 5 2" xfId="12603"/>
    <cellStyle name="20% - Accent4 2 3 2 5 2 2" xfId="26315"/>
    <cellStyle name="20% - Accent4 2 3 2 5 3" xfId="18924"/>
    <cellStyle name="20% - Accent4 2 3 2 6" xfId="1602"/>
    <cellStyle name="20% - Accent4 2 3 2 6 2" xfId="13873"/>
    <cellStyle name="20% - Accent4 2 3 2 6 2 2" xfId="27422"/>
    <cellStyle name="20% - Accent4 2 3 2 6 3" xfId="18925"/>
    <cellStyle name="20% - Accent4 2 3 2 7" xfId="1603"/>
    <cellStyle name="20% - Accent4 2 3 2 7 2" xfId="14454"/>
    <cellStyle name="20% - Accent4 2 3 2 7 2 2" xfId="28003"/>
    <cellStyle name="20% - Accent4 2 3 2 7 3" xfId="18926"/>
    <cellStyle name="20% - Accent4 2 3 2 8" xfId="1604"/>
    <cellStyle name="20% - Accent4 2 3 2 8 2" xfId="14877"/>
    <cellStyle name="20% - Accent4 2 3 2 8 2 2" xfId="28426"/>
    <cellStyle name="20% - Accent4 2 3 2 8 3" xfId="18927"/>
    <cellStyle name="20% - Accent4 2 3 2 9" xfId="1605"/>
    <cellStyle name="20% - Accent4 2 3 2 9 2" xfId="16340"/>
    <cellStyle name="20% - Accent4 2 3 2 9 2 2" xfId="29747"/>
    <cellStyle name="20% - Accent4 2 3 2 9 3" xfId="18928"/>
    <cellStyle name="20% - Accent4 2 3 3" xfId="1606"/>
    <cellStyle name="20% - Accent4 2 3 3 2" xfId="1607"/>
    <cellStyle name="20% - Accent4 2 3 3 2 2" xfId="10778"/>
    <cellStyle name="20% - Accent4 2 3 3 2 2 2" xfId="24720"/>
    <cellStyle name="20% - Accent4 2 3 3 2 3" xfId="18930"/>
    <cellStyle name="20% - Accent4 2 3 3 3" xfId="1608"/>
    <cellStyle name="20% - Accent4 2 3 3 3 2" xfId="12502"/>
    <cellStyle name="20% - Accent4 2 3 3 3 2 2" xfId="26214"/>
    <cellStyle name="20% - Accent4 2 3 3 3 3" xfId="18931"/>
    <cellStyle name="20% - Accent4 2 3 3 4" xfId="1609"/>
    <cellStyle name="20% - Accent4 2 3 3 4 2" xfId="14880"/>
    <cellStyle name="20% - Accent4 2 3 3 4 2 2" xfId="28429"/>
    <cellStyle name="20% - Accent4 2 3 3 4 3" xfId="18932"/>
    <cellStyle name="20% - Accent4 2 3 3 5" xfId="1610"/>
    <cellStyle name="20% - Accent4 2 3 3 5 2" xfId="16632"/>
    <cellStyle name="20% - Accent4 2 3 3 5 2 2" xfId="30039"/>
    <cellStyle name="20% - Accent4 2 3 3 5 3" xfId="18933"/>
    <cellStyle name="20% - Accent4 2 3 3 6" xfId="9053"/>
    <cellStyle name="20% - Accent4 2 3 3 6 2" xfId="23528"/>
    <cellStyle name="20% - Accent4 2 3 3 7" xfId="18929"/>
    <cellStyle name="20% - Accent4 2 3 4" xfId="1611"/>
    <cellStyle name="20% - Accent4 2 3 4 2" xfId="1612"/>
    <cellStyle name="20% - Accent4 2 3 4 2 2" xfId="14881"/>
    <cellStyle name="20% - Accent4 2 3 4 2 2 2" xfId="28430"/>
    <cellStyle name="20% - Accent4 2 3 4 2 3" xfId="18935"/>
    <cellStyle name="20% - Accent4 2 3 4 3" xfId="10775"/>
    <cellStyle name="20% - Accent4 2 3 4 3 2" xfId="24717"/>
    <cellStyle name="20% - Accent4 2 3 4 4" xfId="18934"/>
    <cellStyle name="20% - Accent4 2 3 5" xfId="1613"/>
    <cellStyle name="20% - Accent4 2 3 5 2" xfId="12009"/>
    <cellStyle name="20% - Accent4 2 3 5 2 2" xfId="25724"/>
    <cellStyle name="20% - Accent4 2 3 5 3" xfId="18936"/>
    <cellStyle name="20% - Accent4 2 3 6" xfId="1614"/>
    <cellStyle name="20% - Accent4 2 3 6 2" xfId="12748"/>
    <cellStyle name="20% - Accent4 2 3 6 2 2" xfId="26460"/>
    <cellStyle name="20% - Accent4 2 3 6 3" xfId="18937"/>
    <cellStyle name="20% - Accent4 2 3 7" xfId="1615"/>
    <cellStyle name="20% - Accent4 2 3 7 2" xfId="13584"/>
    <cellStyle name="20% - Accent4 2 3 7 2 2" xfId="27133"/>
    <cellStyle name="20% - Accent4 2 3 7 3" xfId="18938"/>
    <cellStyle name="20% - Accent4 2 3 8" xfId="1616"/>
    <cellStyle name="20% - Accent4 2 3 8 2" xfId="14165"/>
    <cellStyle name="20% - Accent4 2 3 8 2 2" xfId="27714"/>
    <cellStyle name="20% - Accent4 2 3 8 3" xfId="18939"/>
    <cellStyle name="20% - Accent4 2 3 9" xfId="1617"/>
    <cellStyle name="20% - Accent4 2 3 9 2" xfId="14876"/>
    <cellStyle name="20% - Accent4 2 3 9 2 2" xfId="28425"/>
    <cellStyle name="20% - Accent4 2 3 9 3" xfId="18940"/>
    <cellStyle name="20% - Accent4 2 4" xfId="1618"/>
    <cellStyle name="20% - Accent4 2 4 10" xfId="9054"/>
    <cellStyle name="20% - Accent4 2 4 10 2" xfId="23529"/>
    <cellStyle name="20% - Accent4 2 4 11" xfId="18941"/>
    <cellStyle name="20% - Accent4 2 4 2" xfId="1619"/>
    <cellStyle name="20% - Accent4 2 4 2 2" xfId="1620"/>
    <cellStyle name="20% - Accent4 2 4 2 2 2" xfId="10780"/>
    <cellStyle name="20% - Accent4 2 4 2 2 2 2" xfId="24722"/>
    <cellStyle name="20% - Accent4 2 4 2 2 3" xfId="18943"/>
    <cellStyle name="20% - Accent4 2 4 2 3" xfId="1621"/>
    <cellStyle name="20% - Accent4 2 4 2 3 2" xfId="12553"/>
    <cellStyle name="20% - Accent4 2 4 2 3 2 2" xfId="26265"/>
    <cellStyle name="20% - Accent4 2 4 2 3 3" xfId="18944"/>
    <cellStyle name="20% - Accent4 2 4 2 4" xfId="1622"/>
    <cellStyle name="20% - Accent4 2 4 2 4 2" xfId="14883"/>
    <cellStyle name="20% - Accent4 2 4 2 4 2 2" xfId="28432"/>
    <cellStyle name="20% - Accent4 2 4 2 4 3" xfId="18945"/>
    <cellStyle name="20% - Accent4 2 4 2 5" xfId="1623"/>
    <cellStyle name="20% - Accent4 2 4 2 5 2" xfId="16778"/>
    <cellStyle name="20% - Accent4 2 4 2 5 2 2" xfId="30185"/>
    <cellStyle name="20% - Accent4 2 4 2 5 3" xfId="18946"/>
    <cellStyle name="20% - Accent4 2 4 2 6" xfId="9055"/>
    <cellStyle name="20% - Accent4 2 4 2 6 2" xfId="23530"/>
    <cellStyle name="20% - Accent4 2 4 2 7" xfId="18942"/>
    <cellStyle name="20% - Accent4 2 4 3" xfId="1624"/>
    <cellStyle name="20% - Accent4 2 4 3 2" xfId="1625"/>
    <cellStyle name="20% - Accent4 2 4 3 2 2" xfId="14884"/>
    <cellStyle name="20% - Accent4 2 4 3 2 2 2" xfId="28433"/>
    <cellStyle name="20% - Accent4 2 4 3 2 3" xfId="18948"/>
    <cellStyle name="20% - Accent4 2 4 3 3" xfId="10779"/>
    <cellStyle name="20% - Accent4 2 4 3 3 2" xfId="24721"/>
    <cellStyle name="20% - Accent4 2 4 3 4" xfId="18947"/>
    <cellStyle name="20% - Accent4 2 4 4" xfId="1626"/>
    <cellStyle name="20% - Accent4 2 4 4 2" xfId="12166"/>
    <cellStyle name="20% - Accent4 2 4 4 2 2" xfId="25878"/>
    <cellStyle name="20% - Accent4 2 4 4 3" xfId="18949"/>
    <cellStyle name="20% - Accent4 2 4 5" xfId="1627"/>
    <cellStyle name="20% - Accent4 2 4 5 2" xfId="12499"/>
    <cellStyle name="20% - Accent4 2 4 5 2 2" xfId="26211"/>
    <cellStyle name="20% - Accent4 2 4 5 3" xfId="18950"/>
    <cellStyle name="20% - Accent4 2 4 6" xfId="1628"/>
    <cellStyle name="20% - Accent4 2 4 6 2" xfId="13730"/>
    <cellStyle name="20% - Accent4 2 4 6 2 2" xfId="27279"/>
    <cellStyle name="20% - Accent4 2 4 6 3" xfId="18951"/>
    <cellStyle name="20% - Accent4 2 4 7" xfId="1629"/>
    <cellStyle name="20% - Accent4 2 4 7 2" xfId="14311"/>
    <cellStyle name="20% - Accent4 2 4 7 2 2" xfId="27860"/>
    <cellStyle name="20% - Accent4 2 4 7 3" xfId="18952"/>
    <cellStyle name="20% - Accent4 2 4 8" xfId="1630"/>
    <cellStyle name="20% - Accent4 2 4 8 2" xfId="14882"/>
    <cellStyle name="20% - Accent4 2 4 8 2 2" xfId="28431"/>
    <cellStyle name="20% - Accent4 2 4 8 3" xfId="18953"/>
    <cellStyle name="20% - Accent4 2 4 9" xfId="1631"/>
    <cellStyle name="20% - Accent4 2 4 9 2" xfId="16197"/>
    <cellStyle name="20% - Accent4 2 4 9 2 2" xfId="29604"/>
    <cellStyle name="20% - Accent4 2 4 9 3" xfId="18954"/>
    <cellStyle name="20% - Accent4 2 5" xfId="1632"/>
    <cellStyle name="20% - Accent4 2 5 2" xfId="1633"/>
    <cellStyle name="20% - Accent4 2 5 2 2" xfId="1634"/>
    <cellStyle name="20% - Accent4 2 5 2 2 2" xfId="10782"/>
    <cellStyle name="20% - Accent4 2 5 2 2 2 2" xfId="24724"/>
    <cellStyle name="20% - Accent4 2 5 2 2 3" xfId="18957"/>
    <cellStyle name="20% - Accent4 2 5 2 3" xfId="1635"/>
    <cellStyle name="20% - Accent4 2 5 2 3 2" xfId="12780"/>
    <cellStyle name="20% - Accent4 2 5 2 3 2 2" xfId="26492"/>
    <cellStyle name="20% - Accent4 2 5 2 3 3" xfId="18958"/>
    <cellStyle name="20% - Accent4 2 5 2 4" xfId="1636"/>
    <cellStyle name="20% - Accent4 2 5 2 4 2" xfId="14886"/>
    <cellStyle name="20% - Accent4 2 5 2 4 2 2" xfId="28435"/>
    <cellStyle name="20% - Accent4 2 5 2 4 3" xfId="18959"/>
    <cellStyle name="20% - Accent4 2 5 2 5" xfId="9057"/>
    <cellStyle name="20% - Accent4 2 5 2 5 2" xfId="23532"/>
    <cellStyle name="20% - Accent4 2 5 2 6" xfId="18956"/>
    <cellStyle name="20% - Accent4 2 5 3" xfId="1637"/>
    <cellStyle name="20% - Accent4 2 5 3 2" xfId="10781"/>
    <cellStyle name="20% - Accent4 2 5 3 2 2" xfId="24723"/>
    <cellStyle name="20% - Accent4 2 5 3 3" xfId="18960"/>
    <cellStyle name="20% - Accent4 2 5 4" xfId="1638"/>
    <cellStyle name="20% - Accent4 2 5 4 2" xfId="12522"/>
    <cellStyle name="20% - Accent4 2 5 4 2 2" xfId="26234"/>
    <cellStyle name="20% - Accent4 2 5 4 3" xfId="18961"/>
    <cellStyle name="20% - Accent4 2 5 5" xfId="1639"/>
    <cellStyle name="20% - Accent4 2 5 5 2" xfId="14885"/>
    <cellStyle name="20% - Accent4 2 5 5 2 2" xfId="28434"/>
    <cellStyle name="20% - Accent4 2 5 5 3" xfId="18962"/>
    <cellStyle name="20% - Accent4 2 5 6" xfId="1640"/>
    <cellStyle name="20% - Accent4 2 5 6 2" xfId="17010"/>
    <cellStyle name="20% - Accent4 2 5 6 2 2" xfId="30417"/>
    <cellStyle name="20% - Accent4 2 5 6 3" xfId="18963"/>
    <cellStyle name="20% - Accent4 2 5 7" xfId="9056"/>
    <cellStyle name="20% - Accent4 2 5 7 2" xfId="23531"/>
    <cellStyle name="20% - Accent4 2 5 8" xfId="18955"/>
    <cellStyle name="20% - Accent4 2 6" xfId="1641"/>
    <cellStyle name="20% - Accent4 2 6 2" xfId="1642"/>
    <cellStyle name="20% - Accent4 2 6 2 2" xfId="10783"/>
    <cellStyle name="20% - Accent4 2 6 2 2 2" xfId="24725"/>
    <cellStyle name="20% - Accent4 2 6 2 3" xfId="18965"/>
    <cellStyle name="20% - Accent4 2 6 3" xfId="1643"/>
    <cellStyle name="20% - Accent4 2 6 3 2" xfId="12406"/>
    <cellStyle name="20% - Accent4 2 6 3 2 2" xfId="26118"/>
    <cellStyle name="20% - Accent4 2 6 3 3" xfId="18966"/>
    <cellStyle name="20% - Accent4 2 6 4" xfId="1644"/>
    <cellStyle name="20% - Accent4 2 6 4 2" xfId="14887"/>
    <cellStyle name="20% - Accent4 2 6 4 2 2" xfId="28436"/>
    <cellStyle name="20% - Accent4 2 6 4 3" xfId="18967"/>
    <cellStyle name="20% - Accent4 2 6 5" xfId="1645"/>
    <cellStyle name="20% - Accent4 2 6 5 2" xfId="17125"/>
    <cellStyle name="20% - Accent4 2 6 5 2 2" xfId="30484"/>
    <cellStyle name="20% - Accent4 2 6 5 3" xfId="18968"/>
    <cellStyle name="20% - Accent4 2 6 6" xfId="9058"/>
    <cellStyle name="20% - Accent4 2 6 6 2" xfId="23533"/>
    <cellStyle name="20% - Accent4 2 6 7" xfId="18964"/>
    <cellStyle name="20% - Accent4 2 7" xfId="1646"/>
    <cellStyle name="20% - Accent4 2 7 2" xfId="1647"/>
    <cellStyle name="20% - Accent4 2 7 2 2" xfId="10784"/>
    <cellStyle name="20% - Accent4 2 7 2 2 2" xfId="24726"/>
    <cellStyle name="20% - Accent4 2 7 2 3" xfId="18970"/>
    <cellStyle name="20% - Accent4 2 7 3" xfId="1648"/>
    <cellStyle name="20% - Accent4 2 7 3 2" xfId="12788"/>
    <cellStyle name="20% - Accent4 2 7 3 2 2" xfId="26500"/>
    <cellStyle name="20% - Accent4 2 7 3 3" xfId="18971"/>
    <cellStyle name="20% - Accent4 2 7 4" xfId="1649"/>
    <cellStyle name="20% - Accent4 2 7 4 2" xfId="14888"/>
    <cellStyle name="20% - Accent4 2 7 4 2 2" xfId="28437"/>
    <cellStyle name="20% - Accent4 2 7 4 3" xfId="18972"/>
    <cellStyle name="20% - Accent4 2 7 5" xfId="1650"/>
    <cellStyle name="20% - Accent4 2 7 5 2" xfId="17214"/>
    <cellStyle name="20% - Accent4 2 7 5 2 2" xfId="30573"/>
    <cellStyle name="20% - Accent4 2 7 5 3" xfId="18973"/>
    <cellStyle name="20% - Accent4 2 7 6" xfId="9059"/>
    <cellStyle name="20% - Accent4 2 7 6 2" xfId="23534"/>
    <cellStyle name="20% - Accent4 2 7 7" xfId="18969"/>
    <cellStyle name="20% - Accent4 2 8" xfId="1651"/>
    <cellStyle name="20% - Accent4 2 8 2" xfId="1652"/>
    <cellStyle name="20% - Accent4 2 8 2 2" xfId="12480"/>
    <cellStyle name="20% - Accent4 2 8 2 2 2" xfId="26192"/>
    <cellStyle name="20% - Accent4 2 8 2 3" xfId="18975"/>
    <cellStyle name="20% - Accent4 2 8 3" xfId="1653"/>
    <cellStyle name="20% - Accent4 2 8 3 2" xfId="14889"/>
    <cellStyle name="20% - Accent4 2 8 3 2 2" xfId="28438"/>
    <cellStyle name="20% - Accent4 2 8 3 3" xfId="18976"/>
    <cellStyle name="20% - Accent4 2 8 4" xfId="1654"/>
    <cellStyle name="20% - Accent4 2 8 4 2" xfId="16489"/>
    <cellStyle name="20% - Accent4 2 8 4 2 2" xfId="29896"/>
    <cellStyle name="20% - Accent4 2 8 4 3" xfId="18977"/>
    <cellStyle name="20% - Accent4 2 8 5" xfId="10531"/>
    <cellStyle name="20% - Accent4 2 8 5 2" xfId="24473"/>
    <cellStyle name="20% - Accent4 2 8 6" xfId="18974"/>
    <cellStyle name="20% - Accent4 2 9" xfId="1655"/>
    <cellStyle name="20% - Accent4 2 9 2" xfId="1656"/>
    <cellStyle name="20% - Accent4 2 9 2 2" xfId="12593"/>
    <cellStyle name="20% - Accent4 2 9 2 2 2" xfId="26305"/>
    <cellStyle name="20% - Accent4 2 9 2 3" xfId="18979"/>
    <cellStyle name="20% - Accent4 2 9 3" xfId="1657"/>
    <cellStyle name="20% - Accent4 2 9 3 2" xfId="14890"/>
    <cellStyle name="20% - Accent4 2 9 3 2 2" xfId="28439"/>
    <cellStyle name="20% - Accent4 2 9 3 3" xfId="18980"/>
    <cellStyle name="20% - Accent4 2 9 4" xfId="10766"/>
    <cellStyle name="20% - Accent4 2 9 4 2" xfId="24708"/>
    <cellStyle name="20% - Accent4 2 9 5" xfId="18978"/>
    <cellStyle name="20% - Accent4 20" xfId="1658"/>
    <cellStyle name="20% - Accent4 20 2" xfId="1659"/>
    <cellStyle name="20% - Accent4 20 2 2" xfId="12683"/>
    <cellStyle name="20% - Accent4 20 2 2 2" xfId="26395"/>
    <cellStyle name="20% - Accent4 20 2 3" xfId="18982"/>
    <cellStyle name="20% - Accent4 20 3" xfId="1660"/>
    <cellStyle name="20% - Accent4 20 3 2" xfId="14891"/>
    <cellStyle name="20% - Accent4 20 3 2 2" xfId="28440"/>
    <cellStyle name="20% - Accent4 20 3 3" xfId="18983"/>
    <cellStyle name="20% - Accent4 20 4" xfId="10506"/>
    <cellStyle name="20% - Accent4 20 4 2" xfId="24454"/>
    <cellStyle name="20% - Accent4 20 5" xfId="18981"/>
    <cellStyle name="20% - Accent4 21" xfId="1661"/>
    <cellStyle name="20% - Accent4 21 2" xfId="1662"/>
    <cellStyle name="20% - Accent4 21 2 2" xfId="12601"/>
    <cellStyle name="20% - Accent4 21 2 2 2" xfId="26313"/>
    <cellStyle name="20% - Accent4 21 2 3" xfId="18985"/>
    <cellStyle name="20% - Accent4 21 3" xfId="1663"/>
    <cellStyle name="20% - Accent4 21 3 2" xfId="14892"/>
    <cellStyle name="20% - Accent4 21 3 2 2" xfId="28441"/>
    <cellStyle name="20% - Accent4 21 3 3" xfId="18986"/>
    <cellStyle name="20% - Accent4 21 4" xfId="10755"/>
    <cellStyle name="20% - Accent4 21 4 2" xfId="24697"/>
    <cellStyle name="20% - Accent4 21 5" xfId="18984"/>
    <cellStyle name="20% - Accent4 22" xfId="1664"/>
    <cellStyle name="20% - Accent4 22 2" xfId="11742"/>
    <cellStyle name="20% - Accent4 22 2 2" xfId="25457"/>
    <cellStyle name="20% - Accent4 22 3" xfId="18987"/>
    <cellStyle name="20% - Accent4 23" xfId="1665"/>
    <cellStyle name="20% - Accent4 23 2" xfId="12447"/>
    <cellStyle name="20% - Accent4 23 2 2" xfId="26159"/>
    <cellStyle name="20% - Accent4 23 3" xfId="18988"/>
    <cellStyle name="20% - Accent4 24" xfId="1666"/>
    <cellStyle name="20% - Accent4 24 2" xfId="13381"/>
    <cellStyle name="20% - Accent4 24 2 2" xfId="26930"/>
    <cellStyle name="20% - Accent4 24 3" xfId="18989"/>
    <cellStyle name="20% - Accent4 25" xfId="1667"/>
    <cellStyle name="20% - Accent4 25 2" xfId="13962"/>
    <cellStyle name="20% - Accent4 25 2 2" xfId="27511"/>
    <cellStyle name="20% - Accent4 25 3" xfId="18990"/>
    <cellStyle name="20% - Accent4 26" xfId="1668"/>
    <cellStyle name="20% - Accent4 26 2" xfId="14849"/>
    <cellStyle name="20% - Accent4 26 2 2" xfId="28398"/>
    <cellStyle name="20% - Accent4 26 3" xfId="18991"/>
    <cellStyle name="20% - Accent4 27" xfId="1669"/>
    <cellStyle name="20% - Accent4 27 2" xfId="15837"/>
    <cellStyle name="20% - Accent4 27 2 2" xfId="29244"/>
    <cellStyle name="20% - Accent4 27 3" xfId="18992"/>
    <cellStyle name="20% - Accent4 28" xfId="1670"/>
    <cellStyle name="20% - Accent4 28 2" xfId="15848"/>
    <cellStyle name="20% - Accent4 28 2 2" xfId="29255"/>
    <cellStyle name="20% - Accent4 28 3" xfId="18993"/>
    <cellStyle name="20% - Accent4 29" xfId="1671"/>
    <cellStyle name="20% - Accent4 29 2" xfId="9030"/>
    <cellStyle name="20% - Accent4 29 2 2" xfId="23505"/>
    <cellStyle name="20% - Accent4 29 3" xfId="18994"/>
    <cellStyle name="20% - Accent4 3" xfId="1672"/>
    <cellStyle name="20% - Accent4 3 10" xfId="1673"/>
    <cellStyle name="20% - Accent4 3 10 2" xfId="14045"/>
    <cellStyle name="20% - Accent4 3 10 2 2" xfId="27594"/>
    <cellStyle name="20% - Accent4 3 10 3" xfId="18996"/>
    <cellStyle name="20% - Accent4 3 11" xfId="1674"/>
    <cellStyle name="20% - Accent4 3 11 2" xfId="14893"/>
    <cellStyle name="20% - Accent4 3 11 2 2" xfId="28442"/>
    <cellStyle name="20% - Accent4 3 11 3" xfId="18997"/>
    <cellStyle name="20% - Accent4 3 12" xfId="1675"/>
    <cellStyle name="20% - Accent4 3 12 2" xfId="15931"/>
    <cellStyle name="20% - Accent4 3 12 2 2" xfId="29338"/>
    <cellStyle name="20% - Accent4 3 12 3" xfId="18998"/>
    <cellStyle name="20% - Accent4 3 13" xfId="9060"/>
    <cellStyle name="20% - Accent4 3 13 2" xfId="23535"/>
    <cellStyle name="20% - Accent4 3 14" xfId="18995"/>
    <cellStyle name="20% - Accent4 3 2" xfId="1676"/>
    <cellStyle name="20% - Accent4 3 2 10" xfId="1677"/>
    <cellStyle name="20% - Accent4 3 2 10 2" xfId="16074"/>
    <cellStyle name="20% - Accent4 3 2 10 2 2" xfId="29481"/>
    <cellStyle name="20% - Accent4 3 2 10 3" xfId="19000"/>
    <cellStyle name="20% - Accent4 3 2 11" xfId="9061"/>
    <cellStyle name="20% - Accent4 3 2 11 2" xfId="23536"/>
    <cellStyle name="20% - Accent4 3 2 12" xfId="18999"/>
    <cellStyle name="20% - Accent4 3 2 2" xfId="1678"/>
    <cellStyle name="20% - Accent4 3 2 2 10" xfId="9062"/>
    <cellStyle name="20% - Accent4 3 2 2 10 2" xfId="23537"/>
    <cellStyle name="20% - Accent4 3 2 2 11" xfId="19001"/>
    <cellStyle name="20% - Accent4 3 2 2 2" xfId="1679"/>
    <cellStyle name="20% - Accent4 3 2 2 2 2" xfId="1680"/>
    <cellStyle name="20% - Accent4 3 2 2 2 2 2" xfId="10788"/>
    <cellStyle name="20% - Accent4 3 2 2 2 2 2 2" xfId="24730"/>
    <cellStyle name="20% - Accent4 3 2 2 2 2 3" xfId="19003"/>
    <cellStyle name="20% - Accent4 3 2 2 2 3" xfId="1681"/>
    <cellStyle name="20% - Accent4 3 2 2 2 3 2" xfId="12771"/>
    <cellStyle name="20% - Accent4 3 2 2 2 3 2 2" xfId="26483"/>
    <cellStyle name="20% - Accent4 3 2 2 2 3 3" xfId="19004"/>
    <cellStyle name="20% - Accent4 3 2 2 2 4" xfId="1682"/>
    <cellStyle name="20% - Accent4 3 2 2 2 4 2" xfId="14896"/>
    <cellStyle name="20% - Accent4 3 2 2 2 4 2 2" xfId="28445"/>
    <cellStyle name="20% - Accent4 3 2 2 2 4 3" xfId="19005"/>
    <cellStyle name="20% - Accent4 3 2 2 2 5" xfId="1683"/>
    <cellStyle name="20% - Accent4 3 2 2 2 5 2" xfId="16944"/>
    <cellStyle name="20% - Accent4 3 2 2 2 5 2 2" xfId="30351"/>
    <cellStyle name="20% - Accent4 3 2 2 2 5 3" xfId="19006"/>
    <cellStyle name="20% - Accent4 3 2 2 2 6" xfId="9063"/>
    <cellStyle name="20% - Accent4 3 2 2 2 6 2" xfId="23538"/>
    <cellStyle name="20% - Accent4 3 2 2 2 7" xfId="19002"/>
    <cellStyle name="20% - Accent4 3 2 2 3" xfId="1684"/>
    <cellStyle name="20% - Accent4 3 2 2 3 2" xfId="1685"/>
    <cellStyle name="20% - Accent4 3 2 2 3 2 2" xfId="14897"/>
    <cellStyle name="20% - Accent4 3 2 2 3 2 2 2" xfId="28446"/>
    <cellStyle name="20% - Accent4 3 2 2 3 2 3" xfId="19008"/>
    <cellStyle name="20% - Accent4 3 2 2 3 3" xfId="10787"/>
    <cellStyle name="20% - Accent4 3 2 2 3 3 2" xfId="24729"/>
    <cellStyle name="20% - Accent4 3 2 2 3 4" xfId="19007"/>
    <cellStyle name="20% - Accent4 3 2 2 4" xfId="1686"/>
    <cellStyle name="20% - Accent4 3 2 2 4 2" xfId="12332"/>
    <cellStyle name="20% - Accent4 3 2 2 4 2 2" xfId="26044"/>
    <cellStyle name="20% - Accent4 3 2 2 4 3" xfId="19009"/>
    <cellStyle name="20% - Accent4 3 2 2 5" xfId="1687"/>
    <cellStyle name="20% - Accent4 3 2 2 5 2" xfId="12595"/>
    <cellStyle name="20% - Accent4 3 2 2 5 2 2" xfId="26307"/>
    <cellStyle name="20% - Accent4 3 2 2 5 3" xfId="19010"/>
    <cellStyle name="20% - Accent4 3 2 2 6" xfId="1688"/>
    <cellStyle name="20% - Accent4 3 2 2 6 2" xfId="13896"/>
    <cellStyle name="20% - Accent4 3 2 2 6 2 2" xfId="27445"/>
    <cellStyle name="20% - Accent4 3 2 2 6 3" xfId="19011"/>
    <cellStyle name="20% - Accent4 3 2 2 7" xfId="1689"/>
    <cellStyle name="20% - Accent4 3 2 2 7 2" xfId="14477"/>
    <cellStyle name="20% - Accent4 3 2 2 7 2 2" xfId="28026"/>
    <cellStyle name="20% - Accent4 3 2 2 7 3" xfId="19012"/>
    <cellStyle name="20% - Accent4 3 2 2 8" xfId="1690"/>
    <cellStyle name="20% - Accent4 3 2 2 8 2" xfId="14895"/>
    <cellStyle name="20% - Accent4 3 2 2 8 2 2" xfId="28444"/>
    <cellStyle name="20% - Accent4 3 2 2 8 3" xfId="19013"/>
    <cellStyle name="20% - Accent4 3 2 2 9" xfId="1691"/>
    <cellStyle name="20% - Accent4 3 2 2 9 2" xfId="16363"/>
    <cellStyle name="20% - Accent4 3 2 2 9 2 2" xfId="29770"/>
    <cellStyle name="20% - Accent4 3 2 2 9 3" xfId="19014"/>
    <cellStyle name="20% - Accent4 3 2 3" xfId="1692"/>
    <cellStyle name="20% - Accent4 3 2 3 2" xfId="1693"/>
    <cellStyle name="20% - Accent4 3 2 3 2 2" xfId="10789"/>
    <cellStyle name="20% - Accent4 3 2 3 2 2 2" xfId="24731"/>
    <cellStyle name="20% - Accent4 3 2 3 2 3" xfId="19016"/>
    <cellStyle name="20% - Accent4 3 2 3 3" xfId="1694"/>
    <cellStyle name="20% - Accent4 3 2 3 3 2" xfId="11868"/>
    <cellStyle name="20% - Accent4 3 2 3 3 2 2" xfId="25583"/>
    <cellStyle name="20% - Accent4 3 2 3 3 3" xfId="19017"/>
    <cellStyle name="20% - Accent4 3 2 3 4" xfId="1695"/>
    <cellStyle name="20% - Accent4 3 2 3 4 2" xfId="14898"/>
    <cellStyle name="20% - Accent4 3 2 3 4 2 2" xfId="28447"/>
    <cellStyle name="20% - Accent4 3 2 3 4 3" xfId="19018"/>
    <cellStyle name="20% - Accent4 3 2 3 5" xfId="1696"/>
    <cellStyle name="20% - Accent4 3 2 3 5 2" xfId="16655"/>
    <cellStyle name="20% - Accent4 3 2 3 5 2 2" xfId="30062"/>
    <cellStyle name="20% - Accent4 3 2 3 5 3" xfId="19019"/>
    <cellStyle name="20% - Accent4 3 2 3 6" xfId="9064"/>
    <cellStyle name="20% - Accent4 3 2 3 6 2" xfId="23539"/>
    <cellStyle name="20% - Accent4 3 2 3 7" xfId="19015"/>
    <cellStyle name="20% - Accent4 3 2 4" xfId="1697"/>
    <cellStyle name="20% - Accent4 3 2 4 2" xfId="1698"/>
    <cellStyle name="20% - Accent4 3 2 4 2 2" xfId="14899"/>
    <cellStyle name="20% - Accent4 3 2 4 2 2 2" xfId="28448"/>
    <cellStyle name="20% - Accent4 3 2 4 2 3" xfId="19021"/>
    <cellStyle name="20% - Accent4 3 2 4 3" xfId="10786"/>
    <cellStyle name="20% - Accent4 3 2 4 3 2" xfId="24728"/>
    <cellStyle name="20% - Accent4 3 2 4 4" xfId="19020"/>
    <cellStyle name="20% - Accent4 3 2 5" xfId="1699"/>
    <cellStyle name="20% - Accent4 3 2 5 2" xfId="12032"/>
    <cellStyle name="20% - Accent4 3 2 5 2 2" xfId="25747"/>
    <cellStyle name="20% - Accent4 3 2 5 3" xfId="19022"/>
    <cellStyle name="20% - Accent4 3 2 6" xfId="1700"/>
    <cellStyle name="20% - Accent4 3 2 6 2" xfId="12528"/>
    <cellStyle name="20% - Accent4 3 2 6 2 2" xfId="26240"/>
    <cellStyle name="20% - Accent4 3 2 6 3" xfId="19023"/>
    <cellStyle name="20% - Accent4 3 2 7" xfId="1701"/>
    <cellStyle name="20% - Accent4 3 2 7 2" xfId="13607"/>
    <cellStyle name="20% - Accent4 3 2 7 2 2" xfId="27156"/>
    <cellStyle name="20% - Accent4 3 2 7 3" xfId="19024"/>
    <cellStyle name="20% - Accent4 3 2 8" xfId="1702"/>
    <cellStyle name="20% - Accent4 3 2 8 2" xfId="14188"/>
    <cellStyle name="20% - Accent4 3 2 8 2 2" xfId="27737"/>
    <cellStyle name="20% - Accent4 3 2 8 3" xfId="19025"/>
    <cellStyle name="20% - Accent4 3 2 9" xfId="1703"/>
    <cellStyle name="20% - Accent4 3 2 9 2" xfId="14894"/>
    <cellStyle name="20% - Accent4 3 2 9 2 2" xfId="28443"/>
    <cellStyle name="20% - Accent4 3 2 9 3" xfId="19026"/>
    <cellStyle name="20% - Accent4 3 3" xfId="1704"/>
    <cellStyle name="20% - Accent4 3 3 10" xfId="9065"/>
    <cellStyle name="20% - Accent4 3 3 10 2" xfId="23540"/>
    <cellStyle name="20% - Accent4 3 3 11" xfId="19027"/>
    <cellStyle name="20% - Accent4 3 3 2" xfId="1705"/>
    <cellStyle name="20% - Accent4 3 3 2 2" xfId="1706"/>
    <cellStyle name="20% - Accent4 3 3 2 2 2" xfId="10791"/>
    <cellStyle name="20% - Accent4 3 3 2 2 2 2" xfId="24733"/>
    <cellStyle name="20% - Accent4 3 3 2 2 3" xfId="19029"/>
    <cellStyle name="20% - Accent4 3 3 2 3" xfId="1707"/>
    <cellStyle name="20% - Accent4 3 3 2 3 2" xfId="12516"/>
    <cellStyle name="20% - Accent4 3 3 2 3 2 2" xfId="26228"/>
    <cellStyle name="20% - Accent4 3 3 2 3 3" xfId="19030"/>
    <cellStyle name="20% - Accent4 3 3 2 4" xfId="1708"/>
    <cellStyle name="20% - Accent4 3 3 2 4 2" xfId="14901"/>
    <cellStyle name="20% - Accent4 3 3 2 4 2 2" xfId="28450"/>
    <cellStyle name="20% - Accent4 3 3 2 4 3" xfId="19031"/>
    <cellStyle name="20% - Accent4 3 3 2 5" xfId="1709"/>
    <cellStyle name="20% - Accent4 3 3 2 5 2" xfId="16801"/>
    <cellStyle name="20% - Accent4 3 3 2 5 2 2" xfId="30208"/>
    <cellStyle name="20% - Accent4 3 3 2 5 3" xfId="19032"/>
    <cellStyle name="20% - Accent4 3 3 2 6" xfId="9066"/>
    <cellStyle name="20% - Accent4 3 3 2 6 2" xfId="23541"/>
    <cellStyle name="20% - Accent4 3 3 2 7" xfId="19028"/>
    <cellStyle name="20% - Accent4 3 3 3" xfId="1710"/>
    <cellStyle name="20% - Accent4 3 3 3 2" xfId="1711"/>
    <cellStyle name="20% - Accent4 3 3 3 2 2" xfId="14902"/>
    <cellStyle name="20% - Accent4 3 3 3 2 2 2" xfId="28451"/>
    <cellStyle name="20% - Accent4 3 3 3 2 3" xfId="19034"/>
    <cellStyle name="20% - Accent4 3 3 3 3" xfId="10790"/>
    <cellStyle name="20% - Accent4 3 3 3 3 2" xfId="24732"/>
    <cellStyle name="20% - Accent4 3 3 3 4" xfId="19033"/>
    <cellStyle name="20% - Accent4 3 3 4" xfId="1712"/>
    <cellStyle name="20% - Accent4 3 3 4 2" xfId="12189"/>
    <cellStyle name="20% - Accent4 3 3 4 2 2" xfId="25901"/>
    <cellStyle name="20% - Accent4 3 3 4 3" xfId="19035"/>
    <cellStyle name="20% - Accent4 3 3 5" xfId="1713"/>
    <cellStyle name="20% - Accent4 3 3 5 2" xfId="12545"/>
    <cellStyle name="20% - Accent4 3 3 5 2 2" xfId="26257"/>
    <cellStyle name="20% - Accent4 3 3 5 3" xfId="19036"/>
    <cellStyle name="20% - Accent4 3 3 6" xfId="1714"/>
    <cellStyle name="20% - Accent4 3 3 6 2" xfId="13753"/>
    <cellStyle name="20% - Accent4 3 3 6 2 2" xfId="27302"/>
    <cellStyle name="20% - Accent4 3 3 6 3" xfId="19037"/>
    <cellStyle name="20% - Accent4 3 3 7" xfId="1715"/>
    <cellStyle name="20% - Accent4 3 3 7 2" xfId="14334"/>
    <cellStyle name="20% - Accent4 3 3 7 2 2" xfId="27883"/>
    <cellStyle name="20% - Accent4 3 3 7 3" xfId="19038"/>
    <cellStyle name="20% - Accent4 3 3 8" xfId="1716"/>
    <cellStyle name="20% - Accent4 3 3 8 2" xfId="14900"/>
    <cellStyle name="20% - Accent4 3 3 8 2 2" xfId="28449"/>
    <cellStyle name="20% - Accent4 3 3 8 3" xfId="19039"/>
    <cellStyle name="20% - Accent4 3 3 9" xfId="1717"/>
    <cellStyle name="20% - Accent4 3 3 9 2" xfId="16220"/>
    <cellStyle name="20% - Accent4 3 3 9 2 2" xfId="29627"/>
    <cellStyle name="20% - Accent4 3 3 9 3" xfId="19040"/>
    <cellStyle name="20% - Accent4 3 4" xfId="1718"/>
    <cellStyle name="20% - Accent4 3 4 2" xfId="1719"/>
    <cellStyle name="20% - Accent4 3 4 2 2" xfId="10792"/>
    <cellStyle name="20% - Accent4 3 4 2 2 2" xfId="24734"/>
    <cellStyle name="20% - Accent4 3 4 2 3" xfId="19042"/>
    <cellStyle name="20% - Accent4 3 4 3" xfId="1720"/>
    <cellStyle name="20% - Accent4 3 4 3 2" xfId="12590"/>
    <cellStyle name="20% - Accent4 3 4 3 2 2" xfId="26302"/>
    <cellStyle name="20% - Accent4 3 4 3 3" xfId="19043"/>
    <cellStyle name="20% - Accent4 3 4 4" xfId="1721"/>
    <cellStyle name="20% - Accent4 3 4 4 2" xfId="14903"/>
    <cellStyle name="20% - Accent4 3 4 4 2 2" xfId="28452"/>
    <cellStyle name="20% - Accent4 3 4 4 3" xfId="19044"/>
    <cellStyle name="20% - Accent4 3 4 5" xfId="1722"/>
    <cellStyle name="20% - Accent4 3 4 5 2" xfId="17148"/>
    <cellStyle name="20% - Accent4 3 4 5 2 2" xfId="30507"/>
    <cellStyle name="20% - Accent4 3 4 5 3" xfId="19045"/>
    <cellStyle name="20% - Accent4 3 4 6" xfId="9067"/>
    <cellStyle name="20% - Accent4 3 4 6 2" xfId="23542"/>
    <cellStyle name="20% - Accent4 3 4 7" xfId="19041"/>
    <cellStyle name="20% - Accent4 3 5" xfId="1723"/>
    <cellStyle name="20% - Accent4 3 5 2" xfId="1724"/>
    <cellStyle name="20% - Accent4 3 5 2 2" xfId="10793"/>
    <cellStyle name="20% - Accent4 3 5 2 2 2" xfId="24735"/>
    <cellStyle name="20% - Accent4 3 5 2 3" xfId="19047"/>
    <cellStyle name="20% - Accent4 3 5 3" xfId="1725"/>
    <cellStyle name="20% - Accent4 3 5 3 2" xfId="11851"/>
    <cellStyle name="20% - Accent4 3 5 3 2 2" xfId="25566"/>
    <cellStyle name="20% - Accent4 3 5 3 3" xfId="19048"/>
    <cellStyle name="20% - Accent4 3 5 4" xfId="1726"/>
    <cellStyle name="20% - Accent4 3 5 4 2" xfId="14904"/>
    <cellStyle name="20% - Accent4 3 5 4 2 2" xfId="28453"/>
    <cellStyle name="20% - Accent4 3 5 4 3" xfId="19049"/>
    <cellStyle name="20% - Accent4 3 5 5" xfId="1727"/>
    <cellStyle name="20% - Accent4 3 5 5 2" xfId="17237"/>
    <cellStyle name="20% - Accent4 3 5 5 2 2" xfId="30596"/>
    <cellStyle name="20% - Accent4 3 5 5 3" xfId="19050"/>
    <cellStyle name="20% - Accent4 3 5 6" xfId="9068"/>
    <cellStyle name="20% - Accent4 3 5 6 2" xfId="23543"/>
    <cellStyle name="20% - Accent4 3 5 7" xfId="19046"/>
    <cellStyle name="20% - Accent4 3 6" xfId="1728"/>
    <cellStyle name="20% - Accent4 3 6 2" xfId="1729"/>
    <cellStyle name="20% - Accent4 3 6 2 2" xfId="14905"/>
    <cellStyle name="20% - Accent4 3 6 2 2 2" xfId="28454"/>
    <cellStyle name="20% - Accent4 3 6 2 3" xfId="19052"/>
    <cellStyle name="20% - Accent4 3 6 3" xfId="1730"/>
    <cellStyle name="20% - Accent4 3 6 3 2" xfId="16512"/>
    <cellStyle name="20% - Accent4 3 6 3 2 2" xfId="29919"/>
    <cellStyle name="20% - Accent4 3 6 3 3" xfId="19053"/>
    <cellStyle name="20% - Accent4 3 6 4" xfId="10785"/>
    <cellStyle name="20% - Accent4 3 6 4 2" xfId="24727"/>
    <cellStyle name="20% - Accent4 3 6 5" xfId="19051"/>
    <cellStyle name="20% - Accent4 3 7" xfId="1731"/>
    <cellStyle name="20% - Accent4 3 7 2" xfId="11884"/>
    <cellStyle name="20% - Accent4 3 7 2 2" xfId="25599"/>
    <cellStyle name="20% - Accent4 3 7 3" xfId="19054"/>
    <cellStyle name="20% - Accent4 3 8" xfId="1732"/>
    <cellStyle name="20% - Accent4 3 8 2" xfId="12435"/>
    <cellStyle name="20% - Accent4 3 8 2 2" xfId="26147"/>
    <cellStyle name="20% - Accent4 3 8 3" xfId="19055"/>
    <cellStyle name="20% - Accent4 3 9" xfId="1733"/>
    <cellStyle name="20% - Accent4 3 9 2" xfId="13464"/>
    <cellStyle name="20% - Accent4 3 9 2 2" xfId="27013"/>
    <cellStyle name="20% - Accent4 3 9 3" xfId="19056"/>
    <cellStyle name="20% - Accent4 30" xfId="23257"/>
    <cellStyle name="20% - Accent4 4" xfId="1734"/>
    <cellStyle name="20% - Accent4 4 10" xfId="1735"/>
    <cellStyle name="20% - Accent4 4 10 2" xfId="14906"/>
    <cellStyle name="20% - Accent4 4 10 2 2" xfId="28455"/>
    <cellStyle name="20% - Accent4 4 10 3" xfId="19058"/>
    <cellStyle name="20% - Accent4 4 11" xfId="1736"/>
    <cellStyle name="20% - Accent4 4 11 2" xfId="15882"/>
    <cellStyle name="20% - Accent4 4 11 2 2" xfId="29289"/>
    <cellStyle name="20% - Accent4 4 11 3" xfId="19059"/>
    <cellStyle name="20% - Accent4 4 12" xfId="9069"/>
    <cellStyle name="20% - Accent4 4 12 2" xfId="23544"/>
    <cellStyle name="20% - Accent4 4 13" xfId="19057"/>
    <cellStyle name="20% - Accent4 4 2" xfId="1737"/>
    <cellStyle name="20% - Accent4 4 2 10" xfId="1738"/>
    <cellStyle name="20% - Accent4 4 2 10 2" xfId="16025"/>
    <cellStyle name="20% - Accent4 4 2 10 2 2" xfId="29432"/>
    <cellStyle name="20% - Accent4 4 2 10 3" xfId="19061"/>
    <cellStyle name="20% - Accent4 4 2 11" xfId="9070"/>
    <cellStyle name="20% - Accent4 4 2 11 2" xfId="23545"/>
    <cellStyle name="20% - Accent4 4 2 12" xfId="19060"/>
    <cellStyle name="20% - Accent4 4 2 2" xfId="1739"/>
    <cellStyle name="20% - Accent4 4 2 2 10" xfId="9071"/>
    <cellStyle name="20% - Accent4 4 2 2 10 2" xfId="23546"/>
    <cellStyle name="20% - Accent4 4 2 2 11" xfId="19062"/>
    <cellStyle name="20% - Accent4 4 2 2 2" xfId="1740"/>
    <cellStyle name="20% - Accent4 4 2 2 2 2" xfId="1741"/>
    <cellStyle name="20% - Accent4 4 2 2 2 2 2" xfId="10797"/>
    <cellStyle name="20% - Accent4 4 2 2 2 2 2 2" xfId="24739"/>
    <cellStyle name="20% - Accent4 4 2 2 2 2 3" xfId="19064"/>
    <cellStyle name="20% - Accent4 4 2 2 2 3" xfId="1742"/>
    <cellStyle name="20% - Accent4 4 2 2 2 3 2" xfId="11738"/>
    <cellStyle name="20% - Accent4 4 2 2 2 3 2 2" xfId="25453"/>
    <cellStyle name="20% - Accent4 4 2 2 2 3 3" xfId="19065"/>
    <cellStyle name="20% - Accent4 4 2 2 2 4" xfId="1743"/>
    <cellStyle name="20% - Accent4 4 2 2 2 4 2" xfId="14909"/>
    <cellStyle name="20% - Accent4 4 2 2 2 4 2 2" xfId="28458"/>
    <cellStyle name="20% - Accent4 4 2 2 2 4 3" xfId="19066"/>
    <cellStyle name="20% - Accent4 4 2 2 2 5" xfId="1744"/>
    <cellStyle name="20% - Accent4 4 2 2 2 5 2" xfId="16895"/>
    <cellStyle name="20% - Accent4 4 2 2 2 5 2 2" xfId="30302"/>
    <cellStyle name="20% - Accent4 4 2 2 2 5 3" xfId="19067"/>
    <cellStyle name="20% - Accent4 4 2 2 2 6" xfId="9072"/>
    <cellStyle name="20% - Accent4 4 2 2 2 6 2" xfId="23547"/>
    <cellStyle name="20% - Accent4 4 2 2 2 7" xfId="19063"/>
    <cellStyle name="20% - Accent4 4 2 2 3" xfId="1745"/>
    <cellStyle name="20% - Accent4 4 2 2 3 2" xfId="1746"/>
    <cellStyle name="20% - Accent4 4 2 2 3 2 2" xfId="14910"/>
    <cellStyle name="20% - Accent4 4 2 2 3 2 2 2" xfId="28459"/>
    <cellStyle name="20% - Accent4 4 2 2 3 2 3" xfId="19069"/>
    <cellStyle name="20% - Accent4 4 2 2 3 3" xfId="10796"/>
    <cellStyle name="20% - Accent4 4 2 2 3 3 2" xfId="24738"/>
    <cellStyle name="20% - Accent4 4 2 2 3 4" xfId="19068"/>
    <cellStyle name="20% - Accent4 4 2 2 4" xfId="1747"/>
    <cellStyle name="20% - Accent4 4 2 2 4 2" xfId="12283"/>
    <cellStyle name="20% - Accent4 4 2 2 4 2 2" xfId="25995"/>
    <cellStyle name="20% - Accent4 4 2 2 4 3" xfId="19070"/>
    <cellStyle name="20% - Accent4 4 2 2 5" xfId="1748"/>
    <cellStyle name="20% - Accent4 4 2 2 5 2" xfId="12751"/>
    <cellStyle name="20% - Accent4 4 2 2 5 2 2" xfId="26463"/>
    <cellStyle name="20% - Accent4 4 2 2 5 3" xfId="19071"/>
    <cellStyle name="20% - Accent4 4 2 2 6" xfId="1749"/>
    <cellStyle name="20% - Accent4 4 2 2 6 2" xfId="13847"/>
    <cellStyle name="20% - Accent4 4 2 2 6 2 2" xfId="27396"/>
    <cellStyle name="20% - Accent4 4 2 2 6 3" xfId="19072"/>
    <cellStyle name="20% - Accent4 4 2 2 7" xfId="1750"/>
    <cellStyle name="20% - Accent4 4 2 2 7 2" xfId="14428"/>
    <cellStyle name="20% - Accent4 4 2 2 7 2 2" xfId="27977"/>
    <cellStyle name="20% - Accent4 4 2 2 7 3" xfId="19073"/>
    <cellStyle name="20% - Accent4 4 2 2 8" xfId="1751"/>
    <cellStyle name="20% - Accent4 4 2 2 8 2" xfId="14908"/>
    <cellStyle name="20% - Accent4 4 2 2 8 2 2" xfId="28457"/>
    <cellStyle name="20% - Accent4 4 2 2 8 3" xfId="19074"/>
    <cellStyle name="20% - Accent4 4 2 2 9" xfId="1752"/>
    <cellStyle name="20% - Accent4 4 2 2 9 2" xfId="16314"/>
    <cellStyle name="20% - Accent4 4 2 2 9 2 2" xfId="29721"/>
    <cellStyle name="20% - Accent4 4 2 2 9 3" xfId="19075"/>
    <cellStyle name="20% - Accent4 4 2 3" xfId="1753"/>
    <cellStyle name="20% - Accent4 4 2 3 2" xfId="1754"/>
    <cellStyle name="20% - Accent4 4 2 3 2 2" xfId="10798"/>
    <cellStyle name="20% - Accent4 4 2 3 2 2 2" xfId="24740"/>
    <cellStyle name="20% - Accent4 4 2 3 2 3" xfId="19077"/>
    <cellStyle name="20% - Accent4 4 2 3 3" xfId="1755"/>
    <cellStyle name="20% - Accent4 4 2 3 3 2" xfId="12635"/>
    <cellStyle name="20% - Accent4 4 2 3 3 2 2" xfId="26347"/>
    <cellStyle name="20% - Accent4 4 2 3 3 3" xfId="19078"/>
    <cellStyle name="20% - Accent4 4 2 3 4" xfId="1756"/>
    <cellStyle name="20% - Accent4 4 2 3 4 2" xfId="14911"/>
    <cellStyle name="20% - Accent4 4 2 3 4 2 2" xfId="28460"/>
    <cellStyle name="20% - Accent4 4 2 3 4 3" xfId="19079"/>
    <cellStyle name="20% - Accent4 4 2 3 5" xfId="1757"/>
    <cellStyle name="20% - Accent4 4 2 3 5 2" xfId="16606"/>
    <cellStyle name="20% - Accent4 4 2 3 5 2 2" xfId="30013"/>
    <cellStyle name="20% - Accent4 4 2 3 5 3" xfId="19080"/>
    <cellStyle name="20% - Accent4 4 2 3 6" xfId="9073"/>
    <cellStyle name="20% - Accent4 4 2 3 6 2" xfId="23548"/>
    <cellStyle name="20% - Accent4 4 2 3 7" xfId="19076"/>
    <cellStyle name="20% - Accent4 4 2 4" xfId="1758"/>
    <cellStyle name="20% - Accent4 4 2 4 2" xfId="1759"/>
    <cellStyle name="20% - Accent4 4 2 4 2 2" xfId="14912"/>
    <cellStyle name="20% - Accent4 4 2 4 2 2 2" xfId="28461"/>
    <cellStyle name="20% - Accent4 4 2 4 2 3" xfId="19082"/>
    <cellStyle name="20% - Accent4 4 2 4 3" xfId="10795"/>
    <cellStyle name="20% - Accent4 4 2 4 3 2" xfId="24737"/>
    <cellStyle name="20% - Accent4 4 2 4 4" xfId="19081"/>
    <cellStyle name="20% - Accent4 4 2 5" xfId="1760"/>
    <cellStyle name="20% - Accent4 4 2 5 2" xfId="11983"/>
    <cellStyle name="20% - Accent4 4 2 5 2 2" xfId="25698"/>
    <cellStyle name="20% - Accent4 4 2 5 3" xfId="19083"/>
    <cellStyle name="20% - Accent4 4 2 6" xfId="1761"/>
    <cellStyle name="20% - Accent4 4 2 6 2" xfId="12507"/>
    <cellStyle name="20% - Accent4 4 2 6 2 2" xfId="26219"/>
    <cellStyle name="20% - Accent4 4 2 6 3" xfId="19084"/>
    <cellStyle name="20% - Accent4 4 2 7" xfId="1762"/>
    <cellStyle name="20% - Accent4 4 2 7 2" xfId="13558"/>
    <cellStyle name="20% - Accent4 4 2 7 2 2" xfId="27107"/>
    <cellStyle name="20% - Accent4 4 2 7 3" xfId="19085"/>
    <cellStyle name="20% - Accent4 4 2 8" xfId="1763"/>
    <cellStyle name="20% - Accent4 4 2 8 2" xfId="14139"/>
    <cellStyle name="20% - Accent4 4 2 8 2 2" xfId="27688"/>
    <cellStyle name="20% - Accent4 4 2 8 3" xfId="19086"/>
    <cellStyle name="20% - Accent4 4 2 9" xfId="1764"/>
    <cellStyle name="20% - Accent4 4 2 9 2" xfId="14907"/>
    <cellStyle name="20% - Accent4 4 2 9 2 2" xfId="28456"/>
    <cellStyle name="20% - Accent4 4 2 9 3" xfId="19087"/>
    <cellStyle name="20% - Accent4 4 3" xfId="1765"/>
    <cellStyle name="20% - Accent4 4 3 10" xfId="9074"/>
    <cellStyle name="20% - Accent4 4 3 10 2" xfId="23549"/>
    <cellStyle name="20% - Accent4 4 3 11" xfId="19088"/>
    <cellStyle name="20% - Accent4 4 3 2" xfId="1766"/>
    <cellStyle name="20% - Accent4 4 3 2 2" xfId="1767"/>
    <cellStyle name="20% - Accent4 4 3 2 2 2" xfId="10800"/>
    <cellStyle name="20% - Accent4 4 3 2 2 2 2" xfId="24742"/>
    <cellStyle name="20% - Accent4 4 3 2 2 3" xfId="19090"/>
    <cellStyle name="20% - Accent4 4 3 2 3" xfId="1768"/>
    <cellStyle name="20% - Accent4 4 3 2 3 2" xfId="12609"/>
    <cellStyle name="20% - Accent4 4 3 2 3 2 2" xfId="26321"/>
    <cellStyle name="20% - Accent4 4 3 2 3 3" xfId="19091"/>
    <cellStyle name="20% - Accent4 4 3 2 4" xfId="1769"/>
    <cellStyle name="20% - Accent4 4 3 2 4 2" xfId="14914"/>
    <cellStyle name="20% - Accent4 4 3 2 4 2 2" xfId="28463"/>
    <cellStyle name="20% - Accent4 4 3 2 4 3" xfId="19092"/>
    <cellStyle name="20% - Accent4 4 3 2 5" xfId="1770"/>
    <cellStyle name="20% - Accent4 4 3 2 5 2" xfId="16755"/>
    <cellStyle name="20% - Accent4 4 3 2 5 2 2" xfId="30162"/>
    <cellStyle name="20% - Accent4 4 3 2 5 3" xfId="19093"/>
    <cellStyle name="20% - Accent4 4 3 2 6" xfId="9075"/>
    <cellStyle name="20% - Accent4 4 3 2 6 2" xfId="23550"/>
    <cellStyle name="20% - Accent4 4 3 2 7" xfId="19089"/>
    <cellStyle name="20% - Accent4 4 3 3" xfId="1771"/>
    <cellStyle name="20% - Accent4 4 3 3 2" xfId="1772"/>
    <cellStyle name="20% - Accent4 4 3 3 2 2" xfId="14915"/>
    <cellStyle name="20% - Accent4 4 3 3 2 2 2" xfId="28464"/>
    <cellStyle name="20% - Accent4 4 3 3 2 3" xfId="19095"/>
    <cellStyle name="20% - Accent4 4 3 3 3" xfId="10799"/>
    <cellStyle name="20% - Accent4 4 3 3 3 2" xfId="24741"/>
    <cellStyle name="20% - Accent4 4 3 3 4" xfId="19094"/>
    <cellStyle name="20% - Accent4 4 3 4" xfId="1773"/>
    <cellStyle name="20% - Accent4 4 3 4 2" xfId="12143"/>
    <cellStyle name="20% - Accent4 4 3 4 2 2" xfId="25855"/>
    <cellStyle name="20% - Accent4 4 3 4 3" xfId="19096"/>
    <cellStyle name="20% - Accent4 4 3 5" xfId="1774"/>
    <cellStyle name="20% - Accent4 4 3 5 2" xfId="12636"/>
    <cellStyle name="20% - Accent4 4 3 5 2 2" xfId="26348"/>
    <cellStyle name="20% - Accent4 4 3 5 3" xfId="19097"/>
    <cellStyle name="20% - Accent4 4 3 6" xfId="1775"/>
    <cellStyle name="20% - Accent4 4 3 6 2" xfId="13707"/>
    <cellStyle name="20% - Accent4 4 3 6 2 2" xfId="27256"/>
    <cellStyle name="20% - Accent4 4 3 6 3" xfId="19098"/>
    <cellStyle name="20% - Accent4 4 3 7" xfId="1776"/>
    <cellStyle name="20% - Accent4 4 3 7 2" xfId="14288"/>
    <cellStyle name="20% - Accent4 4 3 7 2 2" xfId="27837"/>
    <cellStyle name="20% - Accent4 4 3 7 3" xfId="19099"/>
    <cellStyle name="20% - Accent4 4 3 8" xfId="1777"/>
    <cellStyle name="20% - Accent4 4 3 8 2" xfId="14913"/>
    <cellStyle name="20% - Accent4 4 3 8 2 2" xfId="28462"/>
    <cellStyle name="20% - Accent4 4 3 8 3" xfId="19100"/>
    <cellStyle name="20% - Accent4 4 3 9" xfId="1778"/>
    <cellStyle name="20% - Accent4 4 3 9 2" xfId="16174"/>
    <cellStyle name="20% - Accent4 4 3 9 2 2" xfId="29581"/>
    <cellStyle name="20% - Accent4 4 3 9 3" xfId="19101"/>
    <cellStyle name="20% - Accent4 4 4" xfId="1779"/>
    <cellStyle name="20% - Accent4 4 4 2" xfId="1780"/>
    <cellStyle name="20% - Accent4 4 4 2 2" xfId="10801"/>
    <cellStyle name="20% - Accent4 4 4 2 2 2" xfId="24743"/>
    <cellStyle name="20% - Accent4 4 4 2 3" xfId="19103"/>
    <cellStyle name="20% - Accent4 4 4 3" xfId="1781"/>
    <cellStyle name="20% - Accent4 4 4 3 2" xfId="12425"/>
    <cellStyle name="20% - Accent4 4 4 3 2 2" xfId="26137"/>
    <cellStyle name="20% - Accent4 4 4 3 3" xfId="19104"/>
    <cellStyle name="20% - Accent4 4 4 4" xfId="1782"/>
    <cellStyle name="20% - Accent4 4 4 4 2" xfId="14916"/>
    <cellStyle name="20% - Accent4 4 4 4 2 2" xfId="28465"/>
    <cellStyle name="20% - Accent4 4 4 4 3" xfId="19105"/>
    <cellStyle name="20% - Accent4 4 4 5" xfId="1783"/>
    <cellStyle name="20% - Accent4 4 4 5 2" xfId="16463"/>
    <cellStyle name="20% - Accent4 4 4 5 2 2" xfId="29870"/>
    <cellStyle name="20% - Accent4 4 4 5 3" xfId="19106"/>
    <cellStyle name="20% - Accent4 4 4 6" xfId="9076"/>
    <cellStyle name="20% - Accent4 4 4 6 2" xfId="23551"/>
    <cellStyle name="20% - Accent4 4 4 7" xfId="19102"/>
    <cellStyle name="20% - Accent4 4 5" xfId="1784"/>
    <cellStyle name="20% - Accent4 4 5 2" xfId="1785"/>
    <cellStyle name="20% - Accent4 4 5 2 2" xfId="14917"/>
    <cellStyle name="20% - Accent4 4 5 2 2 2" xfId="28466"/>
    <cellStyle name="20% - Accent4 4 5 2 3" xfId="19108"/>
    <cellStyle name="20% - Accent4 4 5 3" xfId="10794"/>
    <cellStyle name="20% - Accent4 4 5 3 2" xfId="24736"/>
    <cellStyle name="20% - Accent4 4 5 4" xfId="19107"/>
    <cellStyle name="20% - Accent4 4 6" xfId="1786"/>
    <cellStyle name="20% - Accent4 4 6 2" xfId="11814"/>
    <cellStyle name="20% - Accent4 4 6 2 2" xfId="25529"/>
    <cellStyle name="20% - Accent4 4 6 3" xfId="19109"/>
    <cellStyle name="20% - Accent4 4 7" xfId="1787"/>
    <cellStyle name="20% - Accent4 4 7 2" xfId="11858"/>
    <cellStyle name="20% - Accent4 4 7 2 2" xfId="25573"/>
    <cellStyle name="20% - Accent4 4 7 3" xfId="19110"/>
    <cellStyle name="20% - Accent4 4 8" xfId="1788"/>
    <cellStyle name="20% - Accent4 4 8 2" xfId="13415"/>
    <cellStyle name="20% - Accent4 4 8 2 2" xfId="26964"/>
    <cellStyle name="20% - Accent4 4 8 3" xfId="19111"/>
    <cellStyle name="20% - Accent4 4 9" xfId="1789"/>
    <cellStyle name="20% - Accent4 4 9 2" xfId="13996"/>
    <cellStyle name="20% - Accent4 4 9 2 2" xfId="27545"/>
    <cellStyle name="20% - Accent4 4 9 3" xfId="19112"/>
    <cellStyle name="20% - Accent4 5" xfId="1790"/>
    <cellStyle name="20% - Accent4 5 10" xfId="1791"/>
    <cellStyle name="20% - Accent4 5 10 2" xfId="14918"/>
    <cellStyle name="20% - Accent4 5 10 2 2" xfId="28467"/>
    <cellStyle name="20% - Accent4 5 10 3" xfId="19114"/>
    <cellStyle name="20% - Accent4 5 11" xfId="1792"/>
    <cellStyle name="20% - Accent4 5 11 2" xfId="15865"/>
    <cellStyle name="20% - Accent4 5 11 2 2" xfId="29272"/>
    <cellStyle name="20% - Accent4 5 11 3" xfId="19115"/>
    <cellStyle name="20% - Accent4 5 12" xfId="9077"/>
    <cellStyle name="20% - Accent4 5 12 2" xfId="23552"/>
    <cellStyle name="20% - Accent4 5 13" xfId="19113"/>
    <cellStyle name="20% - Accent4 5 2" xfId="1793"/>
    <cellStyle name="20% - Accent4 5 2 10" xfId="1794"/>
    <cellStyle name="20% - Accent4 5 2 10 2" xfId="16008"/>
    <cellStyle name="20% - Accent4 5 2 10 2 2" xfId="29415"/>
    <cellStyle name="20% - Accent4 5 2 10 3" xfId="19117"/>
    <cellStyle name="20% - Accent4 5 2 11" xfId="9078"/>
    <cellStyle name="20% - Accent4 5 2 11 2" xfId="23553"/>
    <cellStyle name="20% - Accent4 5 2 12" xfId="19116"/>
    <cellStyle name="20% - Accent4 5 2 2" xfId="1795"/>
    <cellStyle name="20% - Accent4 5 2 2 10" xfId="9079"/>
    <cellStyle name="20% - Accent4 5 2 2 10 2" xfId="23554"/>
    <cellStyle name="20% - Accent4 5 2 2 11" xfId="19118"/>
    <cellStyle name="20% - Accent4 5 2 2 2" xfId="1796"/>
    <cellStyle name="20% - Accent4 5 2 2 2 2" xfId="1797"/>
    <cellStyle name="20% - Accent4 5 2 2 2 2 2" xfId="10805"/>
    <cellStyle name="20% - Accent4 5 2 2 2 2 2 2" xfId="24747"/>
    <cellStyle name="20% - Accent4 5 2 2 2 2 3" xfId="19120"/>
    <cellStyle name="20% - Accent4 5 2 2 2 3" xfId="1798"/>
    <cellStyle name="20% - Accent4 5 2 2 2 3 2" xfId="12738"/>
    <cellStyle name="20% - Accent4 5 2 2 2 3 2 2" xfId="26450"/>
    <cellStyle name="20% - Accent4 5 2 2 2 3 3" xfId="19121"/>
    <cellStyle name="20% - Accent4 5 2 2 2 4" xfId="1799"/>
    <cellStyle name="20% - Accent4 5 2 2 2 4 2" xfId="14921"/>
    <cellStyle name="20% - Accent4 5 2 2 2 4 2 2" xfId="28470"/>
    <cellStyle name="20% - Accent4 5 2 2 2 4 3" xfId="19122"/>
    <cellStyle name="20% - Accent4 5 2 2 2 5" xfId="1800"/>
    <cellStyle name="20% - Accent4 5 2 2 2 5 2" xfId="16878"/>
    <cellStyle name="20% - Accent4 5 2 2 2 5 2 2" xfId="30285"/>
    <cellStyle name="20% - Accent4 5 2 2 2 5 3" xfId="19123"/>
    <cellStyle name="20% - Accent4 5 2 2 2 6" xfId="9080"/>
    <cellStyle name="20% - Accent4 5 2 2 2 6 2" xfId="23555"/>
    <cellStyle name="20% - Accent4 5 2 2 2 7" xfId="19119"/>
    <cellStyle name="20% - Accent4 5 2 2 3" xfId="1801"/>
    <cellStyle name="20% - Accent4 5 2 2 3 2" xfId="1802"/>
    <cellStyle name="20% - Accent4 5 2 2 3 2 2" xfId="14922"/>
    <cellStyle name="20% - Accent4 5 2 2 3 2 2 2" xfId="28471"/>
    <cellStyle name="20% - Accent4 5 2 2 3 2 3" xfId="19125"/>
    <cellStyle name="20% - Accent4 5 2 2 3 3" xfId="10804"/>
    <cellStyle name="20% - Accent4 5 2 2 3 3 2" xfId="24746"/>
    <cellStyle name="20% - Accent4 5 2 2 3 4" xfId="19124"/>
    <cellStyle name="20% - Accent4 5 2 2 4" xfId="1803"/>
    <cellStyle name="20% - Accent4 5 2 2 4 2" xfId="12266"/>
    <cellStyle name="20% - Accent4 5 2 2 4 2 2" xfId="25978"/>
    <cellStyle name="20% - Accent4 5 2 2 4 3" xfId="19126"/>
    <cellStyle name="20% - Accent4 5 2 2 5" xfId="1804"/>
    <cellStyle name="20% - Accent4 5 2 2 5 2" xfId="12770"/>
    <cellStyle name="20% - Accent4 5 2 2 5 2 2" xfId="26482"/>
    <cellStyle name="20% - Accent4 5 2 2 5 3" xfId="19127"/>
    <cellStyle name="20% - Accent4 5 2 2 6" xfId="1805"/>
    <cellStyle name="20% - Accent4 5 2 2 6 2" xfId="13830"/>
    <cellStyle name="20% - Accent4 5 2 2 6 2 2" xfId="27379"/>
    <cellStyle name="20% - Accent4 5 2 2 6 3" xfId="19128"/>
    <cellStyle name="20% - Accent4 5 2 2 7" xfId="1806"/>
    <cellStyle name="20% - Accent4 5 2 2 7 2" xfId="14411"/>
    <cellStyle name="20% - Accent4 5 2 2 7 2 2" xfId="27960"/>
    <cellStyle name="20% - Accent4 5 2 2 7 3" xfId="19129"/>
    <cellStyle name="20% - Accent4 5 2 2 8" xfId="1807"/>
    <cellStyle name="20% - Accent4 5 2 2 8 2" xfId="14920"/>
    <cellStyle name="20% - Accent4 5 2 2 8 2 2" xfId="28469"/>
    <cellStyle name="20% - Accent4 5 2 2 8 3" xfId="19130"/>
    <cellStyle name="20% - Accent4 5 2 2 9" xfId="1808"/>
    <cellStyle name="20% - Accent4 5 2 2 9 2" xfId="16297"/>
    <cellStyle name="20% - Accent4 5 2 2 9 2 2" xfId="29704"/>
    <cellStyle name="20% - Accent4 5 2 2 9 3" xfId="19131"/>
    <cellStyle name="20% - Accent4 5 2 3" xfId="1809"/>
    <cellStyle name="20% - Accent4 5 2 3 2" xfId="1810"/>
    <cellStyle name="20% - Accent4 5 2 3 2 2" xfId="10806"/>
    <cellStyle name="20% - Accent4 5 2 3 2 2 2" xfId="24748"/>
    <cellStyle name="20% - Accent4 5 2 3 2 3" xfId="19133"/>
    <cellStyle name="20% - Accent4 5 2 3 3" xfId="1811"/>
    <cellStyle name="20% - Accent4 5 2 3 3 2" xfId="12529"/>
    <cellStyle name="20% - Accent4 5 2 3 3 2 2" xfId="26241"/>
    <cellStyle name="20% - Accent4 5 2 3 3 3" xfId="19134"/>
    <cellStyle name="20% - Accent4 5 2 3 4" xfId="1812"/>
    <cellStyle name="20% - Accent4 5 2 3 4 2" xfId="14923"/>
    <cellStyle name="20% - Accent4 5 2 3 4 2 2" xfId="28472"/>
    <cellStyle name="20% - Accent4 5 2 3 4 3" xfId="19135"/>
    <cellStyle name="20% - Accent4 5 2 3 5" xfId="1813"/>
    <cellStyle name="20% - Accent4 5 2 3 5 2" xfId="16589"/>
    <cellStyle name="20% - Accent4 5 2 3 5 2 2" xfId="29996"/>
    <cellStyle name="20% - Accent4 5 2 3 5 3" xfId="19136"/>
    <cellStyle name="20% - Accent4 5 2 3 6" xfId="9081"/>
    <cellStyle name="20% - Accent4 5 2 3 6 2" xfId="23556"/>
    <cellStyle name="20% - Accent4 5 2 3 7" xfId="19132"/>
    <cellStyle name="20% - Accent4 5 2 4" xfId="1814"/>
    <cellStyle name="20% - Accent4 5 2 4 2" xfId="1815"/>
    <cellStyle name="20% - Accent4 5 2 4 2 2" xfId="14924"/>
    <cellStyle name="20% - Accent4 5 2 4 2 2 2" xfId="28473"/>
    <cellStyle name="20% - Accent4 5 2 4 2 3" xfId="19138"/>
    <cellStyle name="20% - Accent4 5 2 4 3" xfId="10803"/>
    <cellStyle name="20% - Accent4 5 2 4 3 2" xfId="24745"/>
    <cellStyle name="20% - Accent4 5 2 4 4" xfId="19137"/>
    <cellStyle name="20% - Accent4 5 2 5" xfId="1816"/>
    <cellStyle name="20% - Accent4 5 2 5 2" xfId="11966"/>
    <cellStyle name="20% - Accent4 5 2 5 2 2" xfId="25681"/>
    <cellStyle name="20% - Accent4 5 2 5 3" xfId="19139"/>
    <cellStyle name="20% - Accent4 5 2 6" xfId="1817"/>
    <cellStyle name="20% - Accent4 5 2 6 2" xfId="12715"/>
    <cellStyle name="20% - Accent4 5 2 6 2 2" xfId="26427"/>
    <cellStyle name="20% - Accent4 5 2 6 3" xfId="19140"/>
    <cellStyle name="20% - Accent4 5 2 7" xfId="1818"/>
    <cellStyle name="20% - Accent4 5 2 7 2" xfId="13541"/>
    <cellStyle name="20% - Accent4 5 2 7 2 2" xfId="27090"/>
    <cellStyle name="20% - Accent4 5 2 7 3" xfId="19141"/>
    <cellStyle name="20% - Accent4 5 2 8" xfId="1819"/>
    <cellStyle name="20% - Accent4 5 2 8 2" xfId="14122"/>
    <cellStyle name="20% - Accent4 5 2 8 2 2" xfId="27671"/>
    <cellStyle name="20% - Accent4 5 2 8 3" xfId="19142"/>
    <cellStyle name="20% - Accent4 5 2 9" xfId="1820"/>
    <cellStyle name="20% - Accent4 5 2 9 2" xfId="14919"/>
    <cellStyle name="20% - Accent4 5 2 9 2 2" xfId="28468"/>
    <cellStyle name="20% - Accent4 5 2 9 3" xfId="19143"/>
    <cellStyle name="20% - Accent4 5 3" xfId="1821"/>
    <cellStyle name="20% - Accent4 5 3 10" xfId="9082"/>
    <cellStyle name="20% - Accent4 5 3 10 2" xfId="23557"/>
    <cellStyle name="20% - Accent4 5 3 11" xfId="19144"/>
    <cellStyle name="20% - Accent4 5 3 2" xfId="1822"/>
    <cellStyle name="20% - Accent4 5 3 2 2" xfId="1823"/>
    <cellStyle name="20% - Accent4 5 3 2 2 2" xfId="10808"/>
    <cellStyle name="20% - Accent4 5 3 2 2 2 2" xfId="24750"/>
    <cellStyle name="20% - Accent4 5 3 2 2 3" xfId="19146"/>
    <cellStyle name="20% - Accent4 5 3 2 3" xfId="1824"/>
    <cellStyle name="20% - Accent4 5 3 2 3 2" xfId="12536"/>
    <cellStyle name="20% - Accent4 5 3 2 3 2 2" xfId="26248"/>
    <cellStyle name="20% - Accent4 5 3 2 3 3" xfId="19147"/>
    <cellStyle name="20% - Accent4 5 3 2 4" xfId="1825"/>
    <cellStyle name="20% - Accent4 5 3 2 4 2" xfId="14926"/>
    <cellStyle name="20% - Accent4 5 3 2 4 2 2" xfId="28475"/>
    <cellStyle name="20% - Accent4 5 3 2 4 3" xfId="19148"/>
    <cellStyle name="20% - Accent4 5 3 2 5" xfId="1826"/>
    <cellStyle name="20% - Accent4 5 3 2 5 2" xfId="16738"/>
    <cellStyle name="20% - Accent4 5 3 2 5 2 2" xfId="30145"/>
    <cellStyle name="20% - Accent4 5 3 2 5 3" xfId="19149"/>
    <cellStyle name="20% - Accent4 5 3 2 6" xfId="9083"/>
    <cellStyle name="20% - Accent4 5 3 2 6 2" xfId="23558"/>
    <cellStyle name="20% - Accent4 5 3 2 7" xfId="19145"/>
    <cellStyle name="20% - Accent4 5 3 3" xfId="1827"/>
    <cellStyle name="20% - Accent4 5 3 3 2" xfId="1828"/>
    <cellStyle name="20% - Accent4 5 3 3 2 2" xfId="14927"/>
    <cellStyle name="20% - Accent4 5 3 3 2 2 2" xfId="28476"/>
    <cellStyle name="20% - Accent4 5 3 3 2 3" xfId="19151"/>
    <cellStyle name="20% - Accent4 5 3 3 3" xfId="10807"/>
    <cellStyle name="20% - Accent4 5 3 3 3 2" xfId="24749"/>
    <cellStyle name="20% - Accent4 5 3 3 4" xfId="19150"/>
    <cellStyle name="20% - Accent4 5 3 4" xfId="1829"/>
    <cellStyle name="20% - Accent4 5 3 4 2" xfId="12126"/>
    <cellStyle name="20% - Accent4 5 3 4 2 2" xfId="25838"/>
    <cellStyle name="20% - Accent4 5 3 4 3" xfId="19152"/>
    <cellStyle name="20% - Accent4 5 3 5" xfId="1830"/>
    <cellStyle name="20% - Accent4 5 3 5 2" xfId="12563"/>
    <cellStyle name="20% - Accent4 5 3 5 2 2" xfId="26275"/>
    <cellStyle name="20% - Accent4 5 3 5 3" xfId="19153"/>
    <cellStyle name="20% - Accent4 5 3 6" xfId="1831"/>
    <cellStyle name="20% - Accent4 5 3 6 2" xfId="13690"/>
    <cellStyle name="20% - Accent4 5 3 6 2 2" xfId="27239"/>
    <cellStyle name="20% - Accent4 5 3 6 3" xfId="19154"/>
    <cellStyle name="20% - Accent4 5 3 7" xfId="1832"/>
    <cellStyle name="20% - Accent4 5 3 7 2" xfId="14271"/>
    <cellStyle name="20% - Accent4 5 3 7 2 2" xfId="27820"/>
    <cellStyle name="20% - Accent4 5 3 7 3" xfId="19155"/>
    <cellStyle name="20% - Accent4 5 3 8" xfId="1833"/>
    <cellStyle name="20% - Accent4 5 3 8 2" xfId="14925"/>
    <cellStyle name="20% - Accent4 5 3 8 2 2" xfId="28474"/>
    <cellStyle name="20% - Accent4 5 3 8 3" xfId="19156"/>
    <cellStyle name="20% - Accent4 5 3 9" xfId="1834"/>
    <cellStyle name="20% - Accent4 5 3 9 2" xfId="16157"/>
    <cellStyle name="20% - Accent4 5 3 9 2 2" xfId="29564"/>
    <cellStyle name="20% - Accent4 5 3 9 3" xfId="19157"/>
    <cellStyle name="20% - Accent4 5 4" xfId="1835"/>
    <cellStyle name="20% - Accent4 5 4 2" xfId="1836"/>
    <cellStyle name="20% - Accent4 5 4 2 2" xfId="10809"/>
    <cellStyle name="20% - Accent4 5 4 2 2 2" xfId="24751"/>
    <cellStyle name="20% - Accent4 5 4 2 3" xfId="19159"/>
    <cellStyle name="20% - Accent4 5 4 3" xfId="1837"/>
    <cellStyle name="20% - Accent4 5 4 3 2" xfId="12804"/>
    <cellStyle name="20% - Accent4 5 4 3 2 2" xfId="26516"/>
    <cellStyle name="20% - Accent4 5 4 3 3" xfId="19160"/>
    <cellStyle name="20% - Accent4 5 4 4" xfId="1838"/>
    <cellStyle name="20% - Accent4 5 4 4 2" xfId="14928"/>
    <cellStyle name="20% - Accent4 5 4 4 2 2" xfId="28477"/>
    <cellStyle name="20% - Accent4 5 4 4 3" xfId="19161"/>
    <cellStyle name="20% - Accent4 5 4 5" xfId="1839"/>
    <cellStyle name="20% - Accent4 5 4 5 2" xfId="16446"/>
    <cellStyle name="20% - Accent4 5 4 5 2 2" xfId="29853"/>
    <cellStyle name="20% - Accent4 5 4 5 3" xfId="19162"/>
    <cellStyle name="20% - Accent4 5 4 6" xfId="9084"/>
    <cellStyle name="20% - Accent4 5 4 6 2" xfId="23559"/>
    <cellStyle name="20% - Accent4 5 4 7" xfId="19158"/>
    <cellStyle name="20% - Accent4 5 5" xfId="1840"/>
    <cellStyle name="20% - Accent4 5 5 2" xfId="1841"/>
    <cellStyle name="20% - Accent4 5 5 2 2" xfId="14929"/>
    <cellStyle name="20% - Accent4 5 5 2 2 2" xfId="28478"/>
    <cellStyle name="20% - Accent4 5 5 2 3" xfId="19164"/>
    <cellStyle name="20% - Accent4 5 5 3" xfId="10802"/>
    <cellStyle name="20% - Accent4 5 5 3 2" xfId="24744"/>
    <cellStyle name="20% - Accent4 5 5 4" xfId="19163"/>
    <cellStyle name="20% - Accent4 5 6" xfId="1842"/>
    <cellStyle name="20% - Accent4 5 6 2" xfId="11797"/>
    <cellStyle name="20% - Accent4 5 6 2 2" xfId="25512"/>
    <cellStyle name="20% - Accent4 5 6 3" xfId="19165"/>
    <cellStyle name="20% - Accent4 5 7" xfId="1843"/>
    <cellStyle name="20% - Accent4 5 7 2" xfId="12717"/>
    <cellStyle name="20% - Accent4 5 7 2 2" xfId="26429"/>
    <cellStyle name="20% - Accent4 5 7 3" xfId="19166"/>
    <cellStyle name="20% - Accent4 5 8" xfId="1844"/>
    <cellStyle name="20% - Accent4 5 8 2" xfId="13398"/>
    <cellStyle name="20% - Accent4 5 8 2 2" xfId="26947"/>
    <cellStyle name="20% - Accent4 5 8 3" xfId="19167"/>
    <cellStyle name="20% - Accent4 5 9" xfId="1845"/>
    <cellStyle name="20% - Accent4 5 9 2" xfId="13979"/>
    <cellStyle name="20% - Accent4 5 9 2 2" xfId="27528"/>
    <cellStyle name="20% - Accent4 5 9 3" xfId="19168"/>
    <cellStyle name="20% - Accent4 6" xfId="1846"/>
    <cellStyle name="20% - Accent4 6 10" xfId="1847"/>
    <cellStyle name="20% - Accent4 6 10 2" xfId="14930"/>
    <cellStyle name="20% - Accent4 6 10 2 2" xfId="28479"/>
    <cellStyle name="20% - Accent4 6 10 3" xfId="19170"/>
    <cellStyle name="20% - Accent4 6 11" xfId="1848"/>
    <cellStyle name="20% - Accent4 6 11 2" xfId="15971"/>
    <cellStyle name="20% - Accent4 6 11 2 2" xfId="29378"/>
    <cellStyle name="20% - Accent4 6 11 3" xfId="19171"/>
    <cellStyle name="20% - Accent4 6 12" xfId="9085"/>
    <cellStyle name="20% - Accent4 6 12 2" xfId="23560"/>
    <cellStyle name="20% - Accent4 6 13" xfId="19169"/>
    <cellStyle name="20% - Accent4 6 2" xfId="1849"/>
    <cellStyle name="20% - Accent4 6 2 10" xfId="1850"/>
    <cellStyle name="20% - Accent4 6 2 10 2" xfId="16114"/>
    <cellStyle name="20% - Accent4 6 2 10 2 2" xfId="29521"/>
    <cellStyle name="20% - Accent4 6 2 10 3" xfId="19173"/>
    <cellStyle name="20% - Accent4 6 2 11" xfId="9086"/>
    <cellStyle name="20% - Accent4 6 2 11 2" xfId="23561"/>
    <cellStyle name="20% - Accent4 6 2 12" xfId="19172"/>
    <cellStyle name="20% - Accent4 6 2 2" xfId="1851"/>
    <cellStyle name="20% - Accent4 6 2 2 10" xfId="9087"/>
    <cellStyle name="20% - Accent4 6 2 2 10 2" xfId="23562"/>
    <cellStyle name="20% - Accent4 6 2 2 11" xfId="19174"/>
    <cellStyle name="20% - Accent4 6 2 2 2" xfId="1852"/>
    <cellStyle name="20% - Accent4 6 2 2 2 2" xfId="1853"/>
    <cellStyle name="20% - Accent4 6 2 2 2 2 2" xfId="10813"/>
    <cellStyle name="20% - Accent4 6 2 2 2 2 2 2" xfId="24755"/>
    <cellStyle name="20% - Accent4 6 2 2 2 2 3" xfId="19176"/>
    <cellStyle name="20% - Accent4 6 2 2 2 3" xfId="1854"/>
    <cellStyle name="20% - Accent4 6 2 2 2 3 2" xfId="12763"/>
    <cellStyle name="20% - Accent4 6 2 2 2 3 2 2" xfId="26475"/>
    <cellStyle name="20% - Accent4 6 2 2 2 3 3" xfId="19177"/>
    <cellStyle name="20% - Accent4 6 2 2 2 4" xfId="1855"/>
    <cellStyle name="20% - Accent4 6 2 2 2 4 2" xfId="14933"/>
    <cellStyle name="20% - Accent4 6 2 2 2 4 2 2" xfId="28482"/>
    <cellStyle name="20% - Accent4 6 2 2 2 4 3" xfId="19178"/>
    <cellStyle name="20% - Accent4 6 2 2 2 5" xfId="1856"/>
    <cellStyle name="20% - Accent4 6 2 2 2 5 2" xfId="16984"/>
    <cellStyle name="20% - Accent4 6 2 2 2 5 2 2" xfId="30391"/>
    <cellStyle name="20% - Accent4 6 2 2 2 5 3" xfId="19179"/>
    <cellStyle name="20% - Accent4 6 2 2 2 6" xfId="9088"/>
    <cellStyle name="20% - Accent4 6 2 2 2 6 2" xfId="23563"/>
    <cellStyle name="20% - Accent4 6 2 2 2 7" xfId="19175"/>
    <cellStyle name="20% - Accent4 6 2 2 3" xfId="1857"/>
    <cellStyle name="20% - Accent4 6 2 2 3 2" xfId="1858"/>
    <cellStyle name="20% - Accent4 6 2 2 3 2 2" xfId="14934"/>
    <cellStyle name="20% - Accent4 6 2 2 3 2 2 2" xfId="28483"/>
    <cellStyle name="20% - Accent4 6 2 2 3 2 3" xfId="19181"/>
    <cellStyle name="20% - Accent4 6 2 2 3 3" xfId="10812"/>
    <cellStyle name="20% - Accent4 6 2 2 3 3 2" xfId="24754"/>
    <cellStyle name="20% - Accent4 6 2 2 3 4" xfId="19180"/>
    <cellStyle name="20% - Accent4 6 2 2 4" xfId="1859"/>
    <cellStyle name="20% - Accent4 6 2 2 4 2" xfId="12372"/>
    <cellStyle name="20% - Accent4 6 2 2 4 2 2" xfId="26084"/>
    <cellStyle name="20% - Accent4 6 2 2 4 3" xfId="19182"/>
    <cellStyle name="20% - Accent4 6 2 2 5" xfId="1860"/>
    <cellStyle name="20% - Accent4 6 2 2 5 2" xfId="12414"/>
    <cellStyle name="20% - Accent4 6 2 2 5 2 2" xfId="26126"/>
    <cellStyle name="20% - Accent4 6 2 2 5 3" xfId="19183"/>
    <cellStyle name="20% - Accent4 6 2 2 6" xfId="1861"/>
    <cellStyle name="20% - Accent4 6 2 2 6 2" xfId="13936"/>
    <cellStyle name="20% - Accent4 6 2 2 6 2 2" xfId="27485"/>
    <cellStyle name="20% - Accent4 6 2 2 6 3" xfId="19184"/>
    <cellStyle name="20% - Accent4 6 2 2 7" xfId="1862"/>
    <cellStyle name="20% - Accent4 6 2 2 7 2" xfId="14517"/>
    <cellStyle name="20% - Accent4 6 2 2 7 2 2" xfId="28066"/>
    <cellStyle name="20% - Accent4 6 2 2 7 3" xfId="19185"/>
    <cellStyle name="20% - Accent4 6 2 2 8" xfId="1863"/>
    <cellStyle name="20% - Accent4 6 2 2 8 2" xfId="14932"/>
    <cellStyle name="20% - Accent4 6 2 2 8 2 2" xfId="28481"/>
    <cellStyle name="20% - Accent4 6 2 2 8 3" xfId="19186"/>
    <cellStyle name="20% - Accent4 6 2 2 9" xfId="1864"/>
    <cellStyle name="20% - Accent4 6 2 2 9 2" xfId="16403"/>
    <cellStyle name="20% - Accent4 6 2 2 9 2 2" xfId="29810"/>
    <cellStyle name="20% - Accent4 6 2 2 9 3" xfId="19187"/>
    <cellStyle name="20% - Accent4 6 2 3" xfId="1865"/>
    <cellStyle name="20% - Accent4 6 2 3 2" xfId="1866"/>
    <cellStyle name="20% - Accent4 6 2 3 2 2" xfId="10814"/>
    <cellStyle name="20% - Accent4 6 2 3 2 2 2" xfId="24756"/>
    <cellStyle name="20% - Accent4 6 2 3 2 3" xfId="19189"/>
    <cellStyle name="20% - Accent4 6 2 3 3" xfId="1867"/>
    <cellStyle name="20% - Accent4 6 2 3 3 2" xfId="12632"/>
    <cellStyle name="20% - Accent4 6 2 3 3 2 2" xfId="26344"/>
    <cellStyle name="20% - Accent4 6 2 3 3 3" xfId="19190"/>
    <cellStyle name="20% - Accent4 6 2 3 4" xfId="1868"/>
    <cellStyle name="20% - Accent4 6 2 3 4 2" xfId="14935"/>
    <cellStyle name="20% - Accent4 6 2 3 4 2 2" xfId="28484"/>
    <cellStyle name="20% - Accent4 6 2 3 4 3" xfId="19191"/>
    <cellStyle name="20% - Accent4 6 2 3 5" xfId="1869"/>
    <cellStyle name="20% - Accent4 6 2 3 5 2" xfId="16695"/>
    <cellStyle name="20% - Accent4 6 2 3 5 2 2" xfId="30102"/>
    <cellStyle name="20% - Accent4 6 2 3 5 3" xfId="19192"/>
    <cellStyle name="20% - Accent4 6 2 3 6" xfId="9089"/>
    <cellStyle name="20% - Accent4 6 2 3 6 2" xfId="23564"/>
    <cellStyle name="20% - Accent4 6 2 3 7" xfId="19188"/>
    <cellStyle name="20% - Accent4 6 2 4" xfId="1870"/>
    <cellStyle name="20% - Accent4 6 2 4 2" xfId="1871"/>
    <cellStyle name="20% - Accent4 6 2 4 2 2" xfId="14936"/>
    <cellStyle name="20% - Accent4 6 2 4 2 2 2" xfId="28485"/>
    <cellStyle name="20% - Accent4 6 2 4 2 3" xfId="19194"/>
    <cellStyle name="20% - Accent4 6 2 4 3" xfId="10811"/>
    <cellStyle name="20% - Accent4 6 2 4 3 2" xfId="24753"/>
    <cellStyle name="20% - Accent4 6 2 4 4" xfId="19193"/>
    <cellStyle name="20% - Accent4 6 2 5" xfId="1872"/>
    <cellStyle name="20% - Accent4 6 2 5 2" xfId="12072"/>
    <cellStyle name="20% - Accent4 6 2 5 2 2" xfId="25787"/>
    <cellStyle name="20% - Accent4 6 2 5 3" xfId="19195"/>
    <cellStyle name="20% - Accent4 6 2 6" xfId="1873"/>
    <cellStyle name="20% - Accent4 6 2 6 2" xfId="12702"/>
    <cellStyle name="20% - Accent4 6 2 6 2 2" xfId="26414"/>
    <cellStyle name="20% - Accent4 6 2 6 3" xfId="19196"/>
    <cellStyle name="20% - Accent4 6 2 7" xfId="1874"/>
    <cellStyle name="20% - Accent4 6 2 7 2" xfId="13647"/>
    <cellStyle name="20% - Accent4 6 2 7 2 2" xfId="27196"/>
    <cellStyle name="20% - Accent4 6 2 7 3" xfId="19197"/>
    <cellStyle name="20% - Accent4 6 2 8" xfId="1875"/>
    <cellStyle name="20% - Accent4 6 2 8 2" xfId="14228"/>
    <cellStyle name="20% - Accent4 6 2 8 2 2" xfId="27777"/>
    <cellStyle name="20% - Accent4 6 2 8 3" xfId="19198"/>
    <cellStyle name="20% - Accent4 6 2 9" xfId="1876"/>
    <cellStyle name="20% - Accent4 6 2 9 2" xfId="14931"/>
    <cellStyle name="20% - Accent4 6 2 9 2 2" xfId="28480"/>
    <cellStyle name="20% - Accent4 6 2 9 3" xfId="19199"/>
    <cellStyle name="20% - Accent4 6 3" xfId="1877"/>
    <cellStyle name="20% - Accent4 6 3 10" xfId="9090"/>
    <cellStyle name="20% - Accent4 6 3 10 2" xfId="23565"/>
    <cellStyle name="20% - Accent4 6 3 11" xfId="19200"/>
    <cellStyle name="20% - Accent4 6 3 2" xfId="1878"/>
    <cellStyle name="20% - Accent4 6 3 2 2" xfId="1879"/>
    <cellStyle name="20% - Accent4 6 3 2 2 2" xfId="10816"/>
    <cellStyle name="20% - Accent4 6 3 2 2 2 2" xfId="24758"/>
    <cellStyle name="20% - Accent4 6 3 2 2 3" xfId="19202"/>
    <cellStyle name="20% - Accent4 6 3 2 3" xfId="1880"/>
    <cellStyle name="20% - Accent4 6 3 2 3 2" xfId="12401"/>
    <cellStyle name="20% - Accent4 6 3 2 3 2 2" xfId="26113"/>
    <cellStyle name="20% - Accent4 6 3 2 3 3" xfId="19203"/>
    <cellStyle name="20% - Accent4 6 3 2 4" xfId="1881"/>
    <cellStyle name="20% - Accent4 6 3 2 4 2" xfId="14938"/>
    <cellStyle name="20% - Accent4 6 3 2 4 2 2" xfId="28487"/>
    <cellStyle name="20% - Accent4 6 3 2 4 3" xfId="19204"/>
    <cellStyle name="20% - Accent4 6 3 2 5" xfId="1882"/>
    <cellStyle name="20% - Accent4 6 3 2 5 2" xfId="16841"/>
    <cellStyle name="20% - Accent4 6 3 2 5 2 2" xfId="30248"/>
    <cellStyle name="20% - Accent4 6 3 2 5 3" xfId="19205"/>
    <cellStyle name="20% - Accent4 6 3 2 6" xfId="9091"/>
    <cellStyle name="20% - Accent4 6 3 2 6 2" xfId="23566"/>
    <cellStyle name="20% - Accent4 6 3 2 7" xfId="19201"/>
    <cellStyle name="20% - Accent4 6 3 3" xfId="1883"/>
    <cellStyle name="20% - Accent4 6 3 3 2" xfId="1884"/>
    <cellStyle name="20% - Accent4 6 3 3 2 2" xfId="14939"/>
    <cellStyle name="20% - Accent4 6 3 3 2 2 2" xfId="28488"/>
    <cellStyle name="20% - Accent4 6 3 3 2 3" xfId="19207"/>
    <cellStyle name="20% - Accent4 6 3 3 3" xfId="10815"/>
    <cellStyle name="20% - Accent4 6 3 3 3 2" xfId="24757"/>
    <cellStyle name="20% - Accent4 6 3 3 4" xfId="19206"/>
    <cellStyle name="20% - Accent4 6 3 4" xfId="1885"/>
    <cellStyle name="20% - Accent4 6 3 4 2" xfId="12229"/>
    <cellStyle name="20% - Accent4 6 3 4 2 2" xfId="25941"/>
    <cellStyle name="20% - Accent4 6 3 4 3" xfId="19208"/>
    <cellStyle name="20% - Accent4 6 3 5" xfId="1886"/>
    <cellStyle name="20% - Accent4 6 3 5 2" xfId="11788"/>
    <cellStyle name="20% - Accent4 6 3 5 2 2" xfId="25503"/>
    <cellStyle name="20% - Accent4 6 3 5 3" xfId="19209"/>
    <cellStyle name="20% - Accent4 6 3 6" xfId="1887"/>
    <cellStyle name="20% - Accent4 6 3 6 2" xfId="13793"/>
    <cellStyle name="20% - Accent4 6 3 6 2 2" xfId="27342"/>
    <cellStyle name="20% - Accent4 6 3 6 3" xfId="19210"/>
    <cellStyle name="20% - Accent4 6 3 7" xfId="1888"/>
    <cellStyle name="20% - Accent4 6 3 7 2" xfId="14374"/>
    <cellStyle name="20% - Accent4 6 3 7 2 2" xfId="27923"/>
    <cellStyle name="20% - Accent4 6 3 7 3" xfId="19211"/>
    <cellStyle name="20% - Accent4 6 3 8" xfId="1889"/>
    <cellStyle name="20% - Accent4 6 3 8 2" xfId="14937"/>
    <cellStyle name="20% - Accent4 6 3 8 2 2" xfId="28486"/>
    <cellStyle name="20% - Accent4 6 3 8 3" xfId="19212"/>
    <cellStyle name="20% - Accent4 6 3 9" xfId="1890"/>
    <cellStyle name="20% - Accent4 6 3 9 2" xfId="16260"/>
    <cellStyle name="20% - Accent4 6 3 9 2 2" xfId="29667"/>
    <cellStyle name="20% - Accent4 6 3 9 3" xfId="19213"/>
    <cellStyle name="20% - Accent4 6 4" xfId="1891"/>
    <cellStyle name="20% - Accent4 6 4 2" xfId="1892"/>
    <cellStyle name="20% - Accent4 6 4 2 2" xfId="10817"/>
    <cellStyle name="20% - Accent4 6 4 2 2 2" xfId="24759"/>
    <cellStyle name="20% - Accent4 6 4 2 3" xfId="19215"/>
    <cellStyle name="20% - Accent4 6 4 3" xfId="1893"/>
    <cellStyle name="20% - Accent4 6 4 3 2" xfId="12106"/>
    <cellStyle name="20% - Accent4 6 4 3 2 2" xfId="25818"/>
    <cellStyle name="20% - Accent4 6 4 3 3" xfId="19216"/>
    <cellStyle name="20% - Accent4 6 4 4" xfId="1894"/>
    <cellStyle name="20% - Accent4 6 4 4 2" xfId="14940"/>
    <cellStyle name="20% - Accent4 6 4 4 2 2" xfId="28489"/>
    <cellStyle name="20% - Accent4 6 4 4 3" xfId="19217"/>
    <cellStyle name="20% - Accent4 6 4 5" xfId="1895"/>
    <cellStyle name="20% - Accent4 6 4 5 2" xfId="16552"/>
    <cellStyle name="20% - Accent4 6 4 5 2 2" xfId="29959"/>
    <cellStyle name="20% - Accent4 6 4 5 3" xfId="19218"/>
    <cellStyle name="20% - Accent4 6 4 6" xfId="9092"/>
    <cellStyle name="20% - Accent4 6 4 6 2" xfId="23567"/>
    <cellStyle name="20% - Accent4 6 4 7" xfId="19214"/>
    <cellStyle name="20% - Accent4 6 5" xfId="1896"/>
    <cellStyle name="20% - Accent4 6 5 2" xfId="1897"/>
    <cellStyle name="20% - Accent4 6 5 2 2" xfId="14941"/>
    <cellStyle name="20% - Accent4 6 5 2 2 2" xfId="28490"/>
    <cellStyle name="20% - Accent4 6 5 2 3" xfId="19220"/>
    <cellStyle name="20% - Accent4 6 5 3" xfId="10810"/>
    <cellStyle name="20% - Accent4 6 5 3 2" xfId="24752"/>
    <cellStyle name="20% - Accent4 6 5 4" xfId="19219"/>
    <cellStyle name="20% - Accent4 6 6" xfId="1898"/>
    <cellStyle name="20% - Accent4 6 6 2" xfId="11927"/>
    <cellStyle name="20% - Accent4 6 6 2 2" xfId="25642"/>
    <cellStyle name="20% - Accent4 6 6 3" xfId="19221"/>
    <cellStyle name="20% - Accent4 6 7" xfId="1899"/>
    <cellStyle name="20% - Accent4 6 7 2" xfId="12407"/>
    <cellStyle name="20% - Accent4 6 7 2 2" xfId="26119"/>
    <cellStyle name="20% - Accent4 6 7 3" xfId="19222"/>
    <cellStyle name="20% - Accent4 6 8" xfId="1900"/>
    <cellStyle name="20% - Accent4 6 8 2" xfId="13504"/>
    <cellStyle name="20% - Accent4 6 8 2 2" xfId="27053"/>
    <cellStyle name="20% - Accent4 6 8 3" xfId="19223"/>
    <cellStyle name="20% - Accent4 6 9" xfId="1901"/>
    <cellStyle name="20% - Accent4 6 9 2" xfId="14085"/>
    <cellStyle name="20% - Accent4 6 9 2 2" xfId="27634"/>
    <cellStyle name="20% - Accent4 6 9 3" xfId="19224"/>
    <cellStyle name="20% - Accent4 7" xfId="1902"/>
    <cellStyle name="20% - Accent4 7 10" xfId="1903"/>
    <cellStyle name="20% - Accent4 7 10 2" xfId="15994"/>
    <cellStyle name="20% - Accent4 7 10 2 2" xfId="29401"/>
    <cellStyle name="20% - Accent4 7 10 3" xfId="19226"/>
    <cellStyle name="20% - Accent4 7 11" xfId="9093"/>
    <cellStyle name="20% - Accent4 7 11 2" xfId="23568"/>
    <cellStyle name="20% - Accent4 7 12" xfId="19225"/>
    <cellStyle name="20% - Accent4 7 2" xfId="1904"/>
    <cellStyle name="20% - Accent4 7 2 10" xfId="9094"/>
    <cellStyle name="20% - Accent4 7 2 10 2" xfId="23569"/>
    <cellStyle name="20% - Accent4 7 2 11" xfId="19227"/>
    <cellStyle name="20% - Accent4 7 2 2" xfId="1905"/>
    <cellStyle name="20% - Accent4 7 2 2 2" xfId="1906"/>
    <cellStyle name="20% - Accent4 7 2 2 2 2" xfId="10820"/>
    <cellStyle name="20% - Accent4 7 2 2 2 2 2" xfId="24762"/>
    <cellStyle name="20% - Accent4 7 2 2 2 3" xfId="19229"/>
    <cellStyle name="20% - Accent4 7 2 2 3" xfId="1907"/>
    <cellStyle name="20% - Accent4 7 2 2 3 2" xfId="12411"/>
    <cellStyle name="20% - Accent4 7 2 2 3 2 2" xfId="26123"/>
    <cellStyle name="20% - Accent4 7 2 2 3 3" xfId="19230"/>
    <cellStyle name="20% - Accent4 7 2 2 4" xfId="1908"/>
    <cellStyle name="20% - Accent4 7 2 2 4 2" xfId="14944"/>
    <cellStyle name="20% - Accent4 7 2 2 4 2 2" xfId="28493"/>
    <cellStyle name="20% - Accent4 7 2 2 4 3" xfId="19231"/>
    <cellStyle name="20% - Accent4 7 2 2 5" xfId="1909"/>
    <cellStyle name="20% - Accent4 7 2 2 5 2" xfId="16864"/>
    <cellStyle name="20% - Accent4 7 2 2 5 2 2" xfId="30271"/>
    <cellStyle name="20% - Accent4 7 2 2 5 3" xfId="19232"/>
    <cellStyle name="20% - Accent4 7 2 2 6" xfId="9095"/>
    <cellStyle name="20% - Accent4 7 2 2 6 2" xfId="23570"/>
    <cellStyle name="20% - Accent4 7 2 2 7" xfId="19228"/>
    <cellStyle name="20% - Accent4 7 2 3" xfId="1910"/>
    <cellStyle name="20% - Accent4 7 2 3 2" xfId="1911"/>
    <cellStyle name="20% - Accent4 7 2 3 2 2" xfId="14945"/>
    <cellStyle name="20% - Accent4 7 2 3 2 2 2" xfId="28494"/>
    <cellStyle name="20% - Accent4 7 2 3 2 3" xfId="19234"/>
    <cellStyle name="20% - Accent4 7 2 3 3" xfId="10819"/>
    <cellStyle name="20% - Accent4 7 2 3 3 2" xfId="24761"/>
    <cellStyle name="20% - Accent4 7 2 3 4" xfId="19233"/>
    <cellStyle name="20% - Accent4 7 2 4" xfId="1912"/>
    <cellStyle name="20% - Accent4 7 2 4 2" xfId="12252"/>
    <cellStyle name="20% - Accent4 7 2 4 2 2" xfId="25964"/>
    <cellStyle name="20% - Accent4 7 2 4 3" xfId="19235"/>
    <cellStyle name="20% - Accent4 7 2 5" xfId="1913"/>
    <cellStyle name="20% - Accent4 7 2 5 2" xfId="12733"/>
    <cellStyle name="20% - Accent4 7 2 5 2 2" xfId="26445"/>
    <cellStyle name="20% - Accent4 7 2 5 3" xfId="19236"/>
    <cellStyle name="20% - Accent4 7 2 6" xfId="1914"/>
    <cellStyle name="20% - Accent4 7 2 6 2" xfId="13816"/>
    <cellStyle name="20% - Accent4 7 2 6 2 2" xfId="27365"/>
    <cellStyle name="20% - Accent4 7 2 6 3" xfId="19237"/>
    <cellStyle name="20% - Accent4 7 2 7" xfId="1915"/>
    <cellStyle name="20% - Accent4 7 2 7 2" xfId="14397"/>
    <cellStyle name="20% - Accent4 7 2 7 2 2" xfId="27946"/>
    <cellStyle name="20% - Accent4 7 2 7 3" xfId="19238"/>
    <cellStyle name="20% - Accent4 7 2 8" xfId="1916"/>
    <cellStyle name="20% - Accent4 7 2 8 2" xfId="14943"/>
    <cellStyle name="20% - Accent4 7 2 8 2 2" xfId="28492"/>
    <cellStyle name="20% - Accent4 7 2 8 3" xfId="19239"/>
    <cellStyle name="20% - Accent4 7 2 9" xfId="1917"/>
    <cellStyle name="20% - Accent4 7 2 9 2" xfId="16283"/>
    <cellStyle name="20% - Accent4 7 2 9 2 2" xfId="29690"/>
    <cellStyle name="20% - Accent4 7 2 9 3" xfId="19240"/>
    <cellStyle name="20% - Accent4 7 3" xfId="1918"/>
    <cellStyle name="20% - Accent4 7 3 2" xfId="1919"/>
    <cellStyle name="20% - Accent4 7 3 2 2" xfId="10821"/>
    <cellStyle name="20% - Accent4 7 3 2 2 2" xfId="24763"/>
    <cellStyle name="20% - Accent4 7 3 2 3" xfId="19242"/>
    <cellStyle name="20% - Accent4 7 3 3" xfId="1920"/>
    <cellStyle name="20% - Accent4 7 3 3 2" xfId="12600"/>
    <cellStyle name="20% - Accent4 7 3 3 2 2" xfId="26312"/>
    <cellStyle name="20% - Accent4 7 3 3 3" xfId="19243"/>
    <cellStyle name="20% - Accent4 7 3 4" xfId="1921"/>
    <cellStyle name="20% - Accent4 7 3 4 2" xfId="14946"/>
    <cellStyle name="20% - Accent4 7 3 4 2 2" xfId="28495"/>
    <cellStyle name="20% - Accent4 7 3 4 3" xfId="19244"/>
    <cellStyle name="20% - Accent4 7 3 5" xfId="1922"/>
    <cellStyle name="20% - Accent4 7 3 5 2" xfId="16575"/>
    <cellStyle name="20% - Accent4 7 3 5 2 2" xfId="29982"/>
    <cellStyle name="20% - Accent4 7 3 5 3" xfId="19245"/>
    <cellStyle name="20% - Accent4 7 3 6" xfId="9096"/>
    <cellStyle name="20% - Accent4 7 3 6 2" xfId="23571"/>
    <cellStyle name="20% - Accent4 7 3 7" xfId="19241"/>
    <cellStyle name="20% - Accent4 7 4" xfId="1923"/>
    <cellStyle name="20% - Accent4 7 4 2" xfId="1924"/>
    <cellStyle name="20% - Accent4 7 4 2 2" xfId="14947"/>
    <cellStyle name="20% - Accent4 7 4 2 2 2" xfId="28496"/>
    <cellStyle name="20% - Accent4 7 4 2 3" xfId="19247"/>
    <cellStyle name="20% - Accent4 7 4 3" xfId="10818"/>
    <cellStyle name="20% - Accent4 7 4 3 2" xfId="24760"/>
    <cellStyle name="20% - Accent4 7 4 4" xfId="19246"/>
    <cellStyle name="20% - Accent4 7 5" xfId="1925"/>
    <cellStyle name="20% - Accent4 7 5 2" xfId="11950"/>
    <cellStyle name="20% - Accent4 7 5 2 2" xfId="25665"/>
    <cellStyle name="20% - Accent4 7 5 3" xfId="19248"/>
    <cellStyle name="20% - Accent4 7 6" xfId="1926"/>
    <cellStyle name="20% - Accent4 7 6 2" xfId="12761"/>
    <cellStyle name="20% - Accent4 7 6 2 2" xfId="26473"/>
    <cellStyle name="20% - Accent4 7 6 3" xfId="19249"/>
    <cellStyle name="20% - Accent4 7 7" xfId="1927"/>
    <cellStyle name="20% - Accent4 7 7 2" xfId="13527"/>
    <cellStyle name="20% - Accent4 7 7 2 2" xfId="27076"/>
    <cellStyle name="20% - Accent4 7 7 3" xfId="19250"/>
    <cellStyle name="20% - Accent4 7 8" xfId="1928"/>
    <cellStyle name="20% - Accent4 7 8 2" xfId="14108"/>
    <cellStyle name="20% - Accent4 7 8 2 2" xfId="27657"/>
    <cellStyle name="20% - Accent4 7 8 3" xfId="19251"/>
    <cellStyle name="20% - Accent4 7 9" xfId="1929"/>
    <cellStyle name="20% - Accent4 7 9 2" xfId="14942"/>
    <cellStyle name="20% - Accent4 7 9 2 2" xfId="28491"/>
    <cellStyle name="20% - Accent4 7 9 3" xfId="19252"/>
    <cellStyle name="20% - Accent4 8" xfId="1930"/>
    <cellStyle name="20% - Accent4 8 10" xfId="9097"/>
    <cellStyle name="20% - Accent4 8 10 2" xfId="23572"/>
    <cellStyle name="20% - Accent4 8 11" xfId="19253"/>
    <cellStyle name="20% - Accent4 8 2" xfId="1931"/>
    <cellStyle name="20% - Accent4 8 2 2" xfId="1932"/>
    <cellStyle name="20% - Accent4 8 2 2 2" xfId="10823"/>
    <cellStyle name="20% - Accent4 8 2 2 2 2" xfId="24765"/>
    <cellStyle name="20% - Accent4 8 2 2 3" xfId="19255"/>
    <cellStyle name="20% - Accent4 8 2 3" xfId="1933"/>
    <cellStyle name="20% - Accent4 8 2 3 2" xfId="12724"/>
    <cellStyle name="20% - Accent4 8 2 3 2 2" xfId="26436"/>
    <cellStyle name="20% - Accent4 8 2 3 3" xfId="19256"/>
    <cellStyle name="20% - Accent4 8 2 4" xfId="1934"/>
    <cellStyle name="20% - Accent4 8 2 4 2" xfId="14949"/>
    <cellStyle name="20% - Accent4 8 2 4 2 2" xfId="28498"/>
    <cellStyle name="20% - Accent4 8 2 4 3" xfId="19257"/>
    <cellStyle name="20% - Accent4 8 2 5" xfId="1935"/>
    <cellStyle name="20% - Accent4 8 2 5 2" xfId="16715"/>
    <cellStyle name="20% - Accent4 8 2 5 2 2" xfId="30122"/>
    <cellStyle name="20% - Accent4 8 2 5 3" xfId="19258"/>
    <cellStyle name="20% - Accent4 8 2 6" xfId="9098"/>
    <cellStyle name="20% - Accent4 8 2 6 2" xfId="23573"/>
    <cellStyle name="20% - Accent4 8 2 7" xfId="19254"/>
    <cellStyle name="20% - Accent4 8 3" xfId="1936"/>
    <cellStyle name="20% - Accent4 8 3 2" xfId="1937"/>
    <cellStyle name="20% - Accent4 8 3 2 2" xfId="14950"/>
    <cellStyle name="20% - Accent4 8 3 2 2 2" xfId="28499"/>
    <cellStyle name="20% - Accent4 8 3 2 3" xfId="19260"/>
    <cellStyle name="20% - Accent4 8 3 3" xfId="10822"/>
    <cellStyle name="20% - Accent4 8 3 3 2" xfId="24764"/>
    <cellStyle name="20% - Accent4 8 3 4" xfId="19259"/>
    <cellStyle name="20% - Accent4 8 4" xfId="1938"/>
    <cellStyle name="20% - Accent4 8 4 2" xfId="12093"/>
    <cellStyle name="20% - Accent4 8 4 2 2" xfId="25807"/>
    <cellStyle name="20% - Accent4 8 4 3" xfId="19261"/>
    <cellStyle name="20% - Accent4 8 5" xfId="1939"/>
    <cellStyle name="20% - Accent4 8 5 2" xfId="12500"/>
    <cellStyle name="20% - Accent4 8 5 2 2" xfId="26212"/>
    <cellStyle name="20% - Accent4 8 5 3" xfId="19262"/>
    <cellStyle name="20% - Accent4 8 6" xfId="1940"/>
    <cellStyle name="20% - Accent4 8 6 2" xfId="13667"/>
    <cellStyle name="20% - Accent4 8 6 2 2" xfId="27216"/>
    <cellStyle name="20% - Accent4 8 6 3" xfId="19263"/>
    <cellStyle name="20% - Accent4 8 7" xfId="1941"/>
    <cellStyle name="20% - Accent4 8 7 2" xfId="14248"/>
    <cellStyle name="20% - Accent4 8 7 2 2" xfId="27797"/>
    <cellStyle name="20% - Accent4 8 7 3" xfId="19264"/>
    <cellStyle name="20% - Accent4 8 8" xfId="1942"/>
    <cellStyle name="20% - Accent4 8 8 2" xfId="14948"/>
    <cellStyle name="20% - Accent4 8 8 2 2" xfId="28497"/>
    <cellStyle name="20% - Accent4 8 8 3" xfId="19265"/>
    <cellStyle name="20% - Accent4 8 9" xfId="1943"/>
    <cellStyle name="20% - Accent4 8 9 2" xfId="16134"/>
    <cellStyle name="20% - Accent4 8 9 2 2" xfId="29541"/>
    <cellStyle name="20% - Accent4 8 9 3" xfId="19266"/>
    <cellStyle name="20% - Accent4 9" xfId="1944"/>
    <cellStyle name="20% - Accent4 9 2" xfId="1945"/>
    <cellStyle name="20% - Accent4 9 2 2" xfId="10824"/>
    <cellStyle name="20% - Accent4 9 2 2 2" xfId="24766"/>
    <cellStyle name="20% - Accent4 9 2 3" xfId="19268"/>
    <cellStyle name="20% - Accent4 9 3" xfId="1946"/>
    <cellStyle name="20% - Accent4 9 3 2" xfId="12638"/>
    <cellStyle name="20% - Accent4 9 3 2 2" xfId="26350"/>
    <cellStyle name="20% - Accent4 9 3 3" xfId="19269"/>
    <cellStyle name="20% - Accent4 9 4" xfId="1947"/>
    <cellStyle name="20% - Accent4 9 4 2" xfId="14951"/>
    <cellStyle name="20% - Accent4 9 4 2 2" xfId="28500"/>
    <cellStyle name="20% - Accent4 9 4 3" xfId="19270"/>
    <cellStyle name="20% - Accent4 9 5" xfId="1948"/>
    <cellStyle name="20% - Accent4 9 5 2" xfId="17099"/>
    <cellStyle name="20% - Accent4 9 5 2 2" xfId="30458"/>
    <cellStyle name="20% - Accent4 9 5 3" xfId="19271"/>
    <cellStyle name="20% - Accent4 9 6" xfId="9099"/>
    <cellStyle name="20% - Accent4 9 6 2" xfId="23574"/>
    <cellStyle name="20% - Accent4 9 7" xfId="19267"/>
    <cellStyle name="20% - Accent5" xfId="43" builtinId="46" customBuiltin="1"/>
    <cellStyle name="20% - Accent5 10" xfId="1949"/>
    <cellStyle name="20% - Accent5 10 2" xfId="1950"/>
    <cellStyle name="20% - Accent5 10 2 2" xfId="12439"/>
    <cellStyle name="20% - Accent5 10 2 2 2" xfId="26151"/>
    <cellStyle name="20% - Accent5 10 2 3" xfId="19274"/>
    <cellStyle name="20% - Accent5 10 3" xfId="1951"/>
    <cellStyle name="20% - Accent5 10 3 2" xfId="14952"/>
    <cellStyle name="20% - Accent5 10 3 2 2" xfId="28501"/>
    <cellStyle name="20% - Accent5 10 3 3" xfId="19275"/>
    <cellStyle name="20% - Accent5 10 4" xfId="1952"/>
    <cellStyle name="20% - Accent5 10 4 2" xfId="17189"/>
    <cellStyle name="20% - Accent5 10 4 2 2" xfId="30548"/>
    <cellStyle name="20% - Accent5 10 4 3" xfId="19276"/>
    <cellStyle name="20% - Accent5 10 5" xfId="10507"/>
    <cellStyle name="20% - Accent5 10 5 2" xfId="24455"/>
    <cellStyle name="20% - Accent5 10 6" xfId="19273"/>
    <cellStyle name="20% - Accent5 11" xfId="1953"/>
    <cellStyle name="20% - Accent5 11 2" xfId="1954"/>
    <cellStyle name="20% - Accent5 11 2 2" xfId="12440"/>
    <cellStyle name="20% - Accent5 11 2 2 2" xfId="26152"/>
    <cellStyle name="20% - Accent5 11 2 3" xfId="19278"/>
    <cellStyle name="20% - Accent5 11 3" xfId="1955"/>
    <cellStyle name="20% - Accent5 11 3 2" xfId="14953"/>
    <cellStyle name="20% - Accent5 11 3 2 2" xfId="28502"/>
    <cellStyle name="20% - Accent5 11 3 3" xfId="19279"/>
    <cellStyle name="20% - Accent5 11 4" xfId="1956"/>
    <cellStyle name="20% - Accent5 11 4 2" xfId="17278"/>
    <cellStyle name="20% - Accent5 11 4 2 2" xfId="30637"/>
    <cellStyle name="20% - Accent5 11 4 3" xfId="19280"/>
    <cellStyle name="20% - Accent5 11 5" xfId="10825"/>
    <cellStyle name="20% - Accent5 11 5 2" xfId="24767"/>
    <cellStyle name="20% - Accent5 11 6" xfId="19277"/>
    <cellStyle name="20% - Accent5 12" xfId="1957"/>
    <cellStyle name="20% - Accent5 12 2" xfId="1958"/>
    <cellStyle name="20% - Accent5 12 2 2" xfId="16430"/>
    <cellStyle name="20% - Accent5 12 2 2 2" xfId="29837"/>
    <cellStyle name="20% - Accent5 12 2 3" xfId="19282"/>
    <cellStyle name="20% - Accent5 12 3" xfId="11743"/>
    <cellStyle name="20% - Accent5 12 3 2" xfId="25458"/>
    <cellStyle name="20% - Accent5 12 4" xfId="19281"/>
    <cellStyle name="20% - Accent5 13" xfId="1959"/>
    <cellStyle name="20% - Accent5 13 2" xfId="13382"/>
    <cellStyle name="20% - Accent5 13 2 2" xfId="26931"/>
    <cellStyle name="20% - Accent5 13 3" xfId="19283"/>
    <cellStyle name="20% - Accent5 14" xfId="1960"/>
    <cellStyle name="20% - Accent5 14 2" xfId="13963"/>
    <cellStyle name="20% - Accent5 14 2 2" xfId="27512"/>
    <cellStyle name="20% - Accent5 14 3" xfId="19284"/>
    <cellStyle name="20% - Accent5 15" xfId="1961"/>
    <cellStyle name="20% - Accent5 15 2" xfId="15836"/>
    <cellStyle name="20% - Accent5 15 2 2" xfId="29243"/>
    <cellStyle name="20% - Accent5 15 3" xfId="19285"/>
    <cellStyle name="20% - Accent5 16" xfId="1962"/>
    <cellStyle name="20% - Accent5 16 2" xfId="15849"/>
    <cellStyle name="20% - Accent5 16 2 2" xfId="29256"/>
    <cellStyle name="20% - Accent5 16 3" xfId="19286"/>
    <cellStyle name="20% - Accent5 17" xfId="8818"/>
    <cellStyle name="20% - Accent5 17 2" xfId="23294"/>
    <cellStyle name="20% - Accent5 18" xfId="19272"/>
    <cellStyle name="20% - Accent5 2" xfId="1963"/>
    <cellStyle name="20% - Accent5 2 10" xfId="1964"/>
    <cellStyle name="20% - Accent5 2 10 2" xfId="15910"/>
    <cellStyle name="20% - Accent5 2 10 2 2" xfId="29317"/>
    <cellStyle name="20% - Accent5 2 10 3" xfId="19288"/>
    <cellStyle name="20% - Accent5 2 11" xfId="9100"/>
    <cellStyle name="20% - Accent5 2 11 2" xfId="23575"/>
    <cellStyle name="20% - Accent5 2 12" xfId="19287"/>
    <cellStyle name="20% - Accent5 2 13" xfId="33078"/>
    <cellStyle name="20% - Accent5 2 2" xfId="1965"/>
    <cellStyle name="20% - Accent5 2 2 10" xfId="19289"/>
    <cellStyle name="20% - Accent5 2 2 2" xfId="1966"/>
    <cellStyle name="20% - Accent5 2 2 2 2" xfId="1967"/>
    <cellStyle name="20% - Accent5 2 2 2 2 2" xfId="1968"/>
    <cellStyle name="20% - Accent5 2 2 2 2 2 2" xfId="1969"/>
    <cellStyle name="20% - Accent5 2 2 2 2 2 2 2" xfId="16969"/>
    <cellStyle name="20% - Accent5 2 2 2 2 2 2 2 2" xfId="30376"/>
    <cellStyle name="20% - Accent5 2 2 2 2 2 2 3" xfId="19293"/>
    <cellStyle name="20% - Accent5 2 2 2 2 2 3" xfId="10829"/>
    <cellStyle name="20% - Accent5 2 2 2 2 2 3 2" xfId="24771"/>
    <cellStyle name="20% - Accent5 2 2 2 2 2 4" xfId="19292"/>
    <cellStyle name="20% - Accent5 2 2 2 2 3" xfId="1970"/>
    <cellStyle name="20% - Accent5 2 2 2 2 3 2" xfId="12357"/>
    <cellStyle name="20% - Accent5 2 2 2 2 3 2 2" xfId="26069"/>
    <cellStyle name="20% - Accent5 2 2 2 2 3 3" xfId="19294"/>
    <cellStyle name="20% - Accent5 2 2 2 2 4" xfId="1971"/>
    <cellStyle name="20% - Accent5 2 2 2 2 4 2" xfId="13921"/>
    <cellStyle name="20% - Accent5 2 2 2 2 4 2 2" xfId="27470"/>
    <cellStyle name="20% - Accent5 2 2 2 2 4 3" xfId="19295"/>
    <cellStyle name="20% - Accent5 2 2 2 2 5" xfId="1972"/>
    <cellStyle name="20% - Accent5 2 2 2 2 5 2" xfId="14502"/>
    <cellStyle name="20% - Accent5 2 2 2 2 5 2 2" xfId="28051"/>
    <cellStyle name="20% - Accent5 2 2 2 2 5 3" xfId="19296"/>
    <cellStyle name="20% - Accent5 2 2 2 2 6" xfId="1973"/>
    <cellStyle name="20% - Accent5 2 2 2 2 6 2" xfId="16388"/>
    <cellStyle name="20% - Accent5 2 2 2 2 6 2 2" xfId="29795"/>
    <cellStyle name="20% - Accent5 2 2 2 2 6 3" xfId="19297"/>
    <cellStyle name="20% - Accent5 2 2 2 2 7" xfId="9103"/>
    <cellStyle name="20% - Accent5 2 2 2 2 7 2" xfId="23578"/>
    <cellStyle name="20% - Accent5 2 2 2 2 8" xfId="19291"/>
    <cellStyle name="20% - Accent5 2 2 2 3" xfId="1974"/>
    <cellStyle name="20% - Accent5 2 2 2 3 2" xfId="1975"/>
    <cellStyle name="20% - Accent5 2 2 2 3 2 2" xfId="16680"/>
    <cellStyle name="20% - Accent5 2 2 2 3 2 2 2" xfId="30087"/>
    <cellStyle name="20% - Accent5 2 2 2 3 2 3" xfId="19299"/>
    <cellStyle name="20% - Accent5 2 2 2 3 3" xfId="10828"/>
    <cellStyle name="20% - Accent5 2 2 2 3 3 2" xfId="24770"/>
    <cellStyle name="20% - Accent5 2 2 2 3 4" xfId="19298"/>
    <cellStyle name="20% - Accent5 2 2 2 4" xfId="1976"/>
    <cellStyle name="20% - Accent5 2 2 2 4 2" xfId="12057"/>
    <cellStyle name="20% - Accent5 2 2 2 4 2 2" xfId="25772"/>
    <cellStyle name="20% - Accent5 2 2 2 4 3" xfId="19300"/>
    <cellStyle name="20% - Accent5 2 2 2 5" xfId="1977"/>
    <cellStyle name="20% - Accent5 2 2 2 5 2" xfId="13632"/>
    <cellStyle name="20% - Accent5 2 2 2 5 2 2" xfId="27181"/>
    <cellStyle name="20% - Accent5 2 2 2 5 3" xfId="19301"/>
    <cellStyle name="20% - Accent5 2 2 2 6" xfId="1978"/>
    <cellStyle name="20% - Accent5 2 2 2 6 2" xfId="14213"/>
    <cellStyle name="20% - Accent5 2 2 2 6 2 2" xfId="27762"/>
    <cellStyle name="20% - Accent5 2 2 2 6 3" xfId="19302"/>
    <cellStyle name="20% - Accent5 2 2 2 7" xfId="1979"/>
    <cellStyle name="20% - Accent5 2 2 2 7 2" xfId="16099"/>
    <cellStyle name="20% - Accent5 2 2 2 7 2 2" xfId="29506"/>
    <cellStyle name="20% - Accent5 2 2 2 7 3" xfId="19303"/>
    <cellStyle name="20% - Accent5 2 2 2 8" xfId="9102"/>
    <cellStyle name="20% - Accent5 2 2 2 8 2" xfId="23577"/>
    <cellStyle name="20% - Accent5 2 2 2 9" xfId="19290"/>
    <cellStyle name="20% - Accent5 2 2 3" xfId="1980"/>
    <cellStyle name="20% - Accent5 2 2 3 2" xfId="1981"/>
    <cellStyle name="20% - Accent5 2 2 3 2 2" xfId="1982"/>
    <cellStyle name="20% - Accent5 2 2 3 2 2 2" xfId="16826"/>
    <cellStyle name="20% - Accent5 2 2 3 2 2 2 2" xfId="30233"/>
    <cellStyle name="20% - Accent5 2 2 3 2 2 3" xfId="19306"/>
    <cellStyle name="20% - Accent5 2 2 3 2 3" xfId="10830"/>
    <cellStyle name="20% - Accent5 2 2 3 2 3 2" xfId="24772"/>
    <cellStyle name="20% - Accent5 2 2 3 2 4" xfId="19305"/>
    <cellStyle name="20% - Accent5 2 2 3 3" xfId="1983"/>
    <cellStyle name="20% - Accent5 2 2 3 3 2" xfId="12214"/>
    <cellStyle name="20% - Accent5 2 2 3 3 2 2" xfId="25926"/>
    <cellStyle name="20% - Accent5 2 2 3 3 3" xfId="19307"/>
    <cellStyle name="20% - Accent5 2 2 3 4" xfId="1984"/>
    <cellStyle name="20% - Accent5 2 2 3 4 2" xfId="13778"/>
    <cellStyle name="20% - Accent5 2 2 3 4 2 2" xfId="27327"/>
    <cellStyle name="20% - Accent5 2 2 3 4 3" xfId="19308"/>
    <cellStyle name="20% - Accent5 2 2 3 5" xfId="1985"/>
    <cellStyle name="20% - Accent5 2 2 3 5 2" xfId="14359"/>
    <cellStyle name="20% - Accent5 2 2 3 5 2 2" xfId="27908"/>
    <cellStyle name="20% - Accent5 2 2 3 5 3" xfId="19309"/>
    <cellStyle name="20% - Accent5 2 2 3 6" xfId="1986"/>
    <cellStyle name="20% - Accent5 2 2 3 6 2" xfId="16245"/>
    <cellStyle name="20% - Accent5 2 2 3 6 2 2" xfId="29652"/>
    <cellStyle name="20% - Accent5 2 2 3 6 3" xfId="19310"/>
    <cellStyle name="20% - Accent5 2 2 3 7" xfId="9104"/>
    <cellStyle name="20% - Accent5 2 2 3 7 2" xfId="23579"/>
    <cellStyle name="20% - Accent5 2 2 3 8" xfId="19304"/>
    <cellStyle name="20% - Accent5 2 2 4" xfId="1987"/>
    <cellStyle name="20% - Accent5 2 2 4 2" xfId="1988"/>
    <cellStyle name="20% - Accent5 2 2 4 2 2" xfId="17173"/>
    <cellStyle name="20% - Accent5 2 2 4 2 2 2" xfId="30532"/>
    <cellStyle name="20% - Accent5 2 2 4 2 3" xfId="19312"/>
    <cellStyle name="20% - Accent5 2 2 4 3" xfId="10827"/>
    <cellStyle name="20% - Accent5 2 2 4 3 2" xfId="24769"/>
    <cellStyle name="20% - Accent5 2 2 4 4" xfId="19311"/>
    <cellStyle name="20% - Accent5 2 2 5" xfId="1989"/>
    <cellStyle name="20% - Accent5 2 2 5 2" xfId="1990"/>
    <cellStyle name="20% - Accent5 2 2 5 2 2" xfId="17262"/>
    <cellStyle name="20% - Accent5 2 2 5 2 2 2" xfId="30621"/>
    <cellStyle name="20% - Accent5 2 2 5 2 3" xfId="19314"/>
    <cellStyle name="20% - Accent5 2 2 5 3" xfId="11912"/>
    <cellStyle name="20% - Accent5 2 2 5 3 2" xfId="25627"/>
    <cellStyle name="20% - Accent5 2 2 5 4" xfId="19313"/>
    <cellStyle name="20% - Accent5 2 2 6" xfId="1991"/>
    <cellStyle name="20% - Accent5 2 2 6 2" xfId="1992"/>
    <cellStyle name="20% - Accent5 2 2 6 2 2" xfId="16537"/>
    <cellStyle name="20% - Accent5 2 2 6 2 2 2" xfId="29944"/>
    <cellStyle name="20% - Accent5 2 2 6 2 3" xfId="19316"/>
    <cellStyle name="20% - Accent5 2 2 6 3" xfId="13489"/>
    <cellStyle name="20% - Accent5 2 2 6 3 2" xfId="27038"/>
    <cellStyle name="20% - Accent5 2 2 6 4" xfId="19315"/>
    <cellStyle name="20% - Accent5 2 2 7" xfId="1993"/>
    <cellStyle name="20% - Accent5 2 2 7 2" xfId="14070"/>
    <cellStyle name="20% - Accent5 2 2 7 2 2" xfId="27619"/>
    <cellStyle name="20% - Accent5 2 2 7 3" xfId="19317"/>
    <cellStyle name="20% - Accent5 2 2 8" xfId="1994"/>
    <cellStyle name="20% - Accent5 2 2 8 2" xfId="15956"/>
    <cellStyle name="20% - Accent5 2 2 8 2 2" xfId="29363"/>
    <cellStyle name="20% - Accent5 2 2 8 3" xfId="19318"/>
    <cellStyle name="20% - Accent5 2 2 9" xfId="9101"/>
    <cellStyle name="20% - Accent5 2 2 9 2" xfId="23576"/>
    <cellStyle name="20% - Accent5 2 3" xfId="1995"/>
    <cellStyle name="20% - Accent5 2 3 2" xfId="1996"/>
    <cellStyle name="20% - Accent5 2 3 2 2" xfId="1997"/>
    <cellStyle name="20% - Accent5 2 3 2 2 2" xfId="1998"/>
    <cellStyle name="20% - Accent5 2 3 2 2 2 2" xfId="16923"/>
    <cellStyle name="20% - Accent5 2 3 2 2 2 2 2" xfId="30330"/>
    <cellStyle name="20% - Accent5 2 3 2 2 2 3" xfId="19322"/>
    <cellStyle name="20% - Accent5 2 3 2 2 3" xfId="10832"/>
    <cellStyle name="20% - Accent5 2 3 2 2 3 2" xfId="24774"/>
    <cellStyle name="20% - Accent5 2 3 2 2 4" xfId="19321"/>
    <cellStyle name="20% - Accent5 2 3 2 3" xfId="1999"/>
    <cellStyle name="20% - Accent5 2 3 2 3 2" xfId="12311"/>
    <cellStyle name="20% - Accent5 2 3 2 3 2 2" xfId="26023"/>
    <cellStyle name="20% - Accent5 2 3 2 3 3" xfId="19323"/>
    <cellStyle name="20% - Accent5 2 3 2 4" xfId="2000"/>
    <cellStyle name="20% - Accent5 2 3 2 4 2" xfId="13875"/>
    <cellStyle name="20% - Accent5 2 3 2 4 2 2" xfId="27424"/>
    <cellStyle name="20% - Accent5 2 3 2 4 3" xfId="19324"/>
    <cellStyle name="20% - Accent5 2 3 2 5" xfId="2001"/>
    <cellStyle name="20% - Accent5 2 3 2 5 2" xfId="14456"/>
    <cellStyle name="20% - Accent5 2 3 2 5 2 2" xfId="28005"/>
    <cellStyle name="20% - Accent5 2 3 2 5 3" xfId="19325"/>
    <cellStyle name="20% - Accent5 2 3 2 6" xfId="2002"/>
    <cellStyle name="20% - Accent5 2 3 2 6 2" xfId="16342"/>
    <cellStyle name="20% - Accent5 2 3 2 6 2 2" xfId="29749"/>
    <cellStyle name="20% - Accent5 2 3 2 6 3" xfId="19326"/>
    <cellStyle name="20% - Accent5 2 3 2 7" xfId="9106"/>
    <cellStyle name="20% - Accent5 2 3 2 7 2" xfId="23581"/>
    <cellStyle name="20% - Accent5 2 3 2 8" xfId="19320"/>
    <cellStyle name="20% - Accent5 2 3 3" xfId="2003"/>
    <cellStyle name="20% - Accent5 2 3 3 2" xfId="2004"/>
    <cellStyle name="20% - Accent5 2 3 3 2 2" xfId="16634"/>
    <cellStyle name="20% - Accent5 2 3 3 2 2 2" xfId="30041"/>
    <cellStyle name="20% - Accent5 2 3 3 2 3" xfId="19328"/>
    <cellStyle name="20% - Accent5 2 3 3 3" xfId="10831"/>
    <cellStyle name="20% - Accent5 2 3 3 3 2" xfId="24773"/>
    <cellStyle name="20% - Accent5 2 3 3 4" xfId="19327"/>
    <cellStyle name="20% - Accent5 2 3 4" xfId="2005"/>
    <cellStyle name="20% - Accent5 2 3 4 2" xfId="12011"/>
    <cellStyle name="20% - Accent5 2 3 4 2 2" xfId="25726"/>
    <cellStyle name="20% - Accent5 2 3 4 3" xfId="19329"/>
    <cellStyle name="20% - Accent5 2 3 5" xfId="2006"/>
    <cellStyle name="20% - Accent5 2 3 5 2" xfId="13586"/>
    <cellStyle name="20% - Accent5 2 3 5 2 2" xfId="27135"/>
    <cellStyle name="20% - Accent5 2 3 5 3" xfId="19330"/>
    <cellStyle name="20% - Accent5 2 3 6" xfId="2007"/>
    <cellStyle name="20% - Accent5 2 3 6 2" xfId="14167"/>
    <cellStyle name="20% - Accent5 2 3 6 2 2" xfId="27716"/>
    <cellStyle name="20% - Accent5 2 3 6 3" xfId="19331"/>
    <cellStyle name="20% - Accent5 2 3 7" xfId="2008"/>
    <cellStyle name="20% - Accent5 2 3 7 2" xfId="16053"/>
    <cellStyle name="20% - Accent5 2 3 7 2 2" xfId="29460"/>
    <cellStyle name="20% - Accent5 2 3 7 3" xfId="19332"/>
    <cellStyle name="20% - Accent5 2 3 8" xfId="9105"/>
    <cellStyle name="20% - Accent5 2 3 8 2" xfId="23580"/>
    <cellStyle name="20% - Accent5 2 3 9" xfId="19319"/>
    <cellStyle name="20% - Accent5 2 4" xfId="2009"/>
    <cellStyle name="20% - Accent5 2 4 2" xfId="2010"/>
    <cellStyle name="20% - Accent5 2 4 2 2" xfId="2011"/>
    <cellStyle name="20% - Accent5 2 4 2 2 2" xfId="16780"/>
    <cellStyle name="20% - Accent5 2 4 2 2 2 2" xfId="30187"/>
    <cellStyle name="20% - Accent5 2 4 2 2 3" xfId="19335"/>
    <cellStyle name="20% - Accent5 2 4 2 3" xfId="10833"/>
    <cellStyle name="20% - Accent5 2 4 2 3 2" xfId="24775"/>
    <cellStyle name="20% - Accent5 2 4 2 4" xfId="19334"/>
    <cellStyle name="20% - Accent5 2 4 3" xfId="2012"/>
    <cellStyle name="20% - Accent5 2 4 3 2" xfId="12168"/>
    <cellStyle name="20% - Accent5 2 4 3 2 2" xfId="25880"/>
    <cellStyle name="20% - Accent5 2 4 3 3" xfId="19336"/>
    <cellStyle name="20% - Accent5 2 4 4" xfId="2013"/>
    <cellStyle name="20% - Accent5 2 4 4 2" xfId="13732"/>
    <cellStyle name="20% - Accent5 2 4 4 2 2" xfId="27281"/>
    <cellStyle name="20% - Accent5 2 4 4 3" xfId="19337"/>
    <cellStyle name="20% - Accent5 2 4 5" xfId="2014"/>
    <cellStyle name="20% - Accent5 2 4 5 2" xfId="14313"/>
    <cellStyle name="20% - Accent5 2 4 5 2 2" xfId="27862"/>
    <cellStyle name="20% - Accent5 2 4 5 3" xfId="19338"/>
    <cellStyle name="20% - Accent5 2 4 6" xfId="2015"/>
    <cellStyle name="20% - Accent5 2 4 6 2" xfId="16199"/>
    <cellStyle name="20% - Accent5 2 4 6 2 2" xfId="29606"/>
    <cellStyle name="20% - Accent5 2 4 6 3" xfId="19339"/>
    <cellStyle name="20% - Accent5 2 4 7" xfId="9107"/>
    <cellStyle name="20% - Accent5 2 4 7 2" xfId="23582"/>
    <cellStyle name="20% - Accent5 2 4 8" xfId="19333"/>
    <cellStyle name="20% - Accent5 2 5" xfId="2016"/>
    <cellStyle name="20% - Accent5 2 5 2" xfId="2017"/>
    <cellStyle name="20% - Accent5 2 5 2 2" xfId="12639"/>
    <cellStyle name="20% - Accent5 2 5 2 2 2" xfId="26351"/>
    <cellStyle name="20% - Accent5 2 5 2 3" xfId="19341"/>
    <cellStyle name="20% - Accent5 2 5 3" xfId="2018"/>
    <cellStyle name="20% - Accent5 2 5 3 2" xfId="14954"/>
    <cellStyle name="20% - Accent5 2 5 3 2 2" xfId="28503"/>
    <cellStyle name="20% - Accent5 2 5 3 3" xfId="19342"/>
    <cellStyle name="20% - Accent5 2 5 4" xfId="2019"/>
    <cellStyle name="20% - Accent5 2 5 4 2" xfId="17011"/>
    <cellStyle name="20% - Accent5 2 5 4 2 2" xfId="30418"/>
    <cellStyle name="20% - Accent5 2 5 4 3" xfId="19343"/>
    <cellStyle name="20% - Accent5 2 5 5" xfId="10532"/>
    <cellStyle name="20% - Accent5 2 5 5 2" xfId="24474"/>
    <cellStyle name="20% - Accent5 2 5 6" xfId="19340"/>
    <cellStyle name="20% - Accent5 2 6" xfId="2020"/>
    <cellStyle name="20% - Accent5 2 6 2" xfId="2021"/>
    <cellStyle name="20% - Accent5 2 6 2 2" xfId="12521"/>
    <cellStyle name="20% - Accent5 2 6 2 2 2" xfId="26233"/>
    <cellStyle name="20% - Accent5 2 6 2 3" xfId="19345"/>
    <cellStyle name="20% - Accent5 2 6 3" xfId="2022"/>
    <cellStyle name="20% - Accent5 2 6 3 2" xfId="14955"/>
    <cellStyle name="20% - Accent5 2 6 3 2 2" xfId="28504"/>
    <cellStyle name="20% - Accent5 2 6 3 3" xfId="19346"/>
    <cellStyle name="20% - Accent5 2 6 4" xfId="2023"/>
    <cellStyle name="20% - Accent5 2 6 4 2" xfId="17127"/>
    <cellStyle name="20% - Accent5 2 6 4 2 2" xfId="30486"/>
    <cellStyle name="20% - Accent5 2 6 4 3" xfId="19347"/>
    <cellStyle name="20% - Accent5 2 6 5" xfId="10826"/>
    <cellStyle name="20% - Accent5 2 6 5 2" xfId="24768"/>
    <cellStyle name="20% - Accent5 2 6 6" xfId="19344"/>
    <cellStyle name="20% - Accent5 2 7" xfId="2024"/>
    <cellStyle name="20% - Accent5 2 7 2" xfId="2025"/>
    <cellStyle name="20% - Accent5 2 7 2 2" xfId="17216"/>
    <cellStyle name="20% - Accent5 2 7 2 2 2" xfId="30575"/>
    <cellStyle name="20% - Accent5 2 7 2 3" xfId="19349"/>
    <cellStyle name="20% - Accent5 2 7 3" xfId="11845"/>
    <cellStyle name="20% - Accent5 2 7 3 2" xfId="25560"/>
    <cellStyle name="20% - Accent5 2 7 4" xfId="19348"/>
    <cellStyle name="20% - Accent5 2 8" xfId="2026"/>
    <cellStyle name="20% - Accent5 2 8 2" xfId="2027"/>
    <cellStyle name="20% - Accent5 2 8 2 2" xfId="16491"/>
    <cellStyle name="20% - Accent5 2 8 2 2 2" xfId="29898"/>
    <cellStyle name="20% - Accent5 2 8 2 3" xfId="19351"/>
    <cellStyle name="20% - Accent5 2 8 3" xfId="13443"/>
    <cellStyle name="20% - Accent5 2 8 3 2" xfId="26992"/>
    <cellStyle name="20% - Accent5 2 8 4" xfId="19350"/>
    <cellStyle name="20% - Accent5 2 9" xfId="2028"/>
    <cellStyle name="20% - Accent5 2 9 2" xfId="14024"/>
    <cellStyle name="20% - Accent5 2 9 2 2" xfId="27573"/>
    <cellStyle name="20% - Accent5 2 9 3" xfId="19352"/>
    <cellStyle name="20% - Accent5 3" xfId="2029"/>
    <cellStyle name="20% - Accent5 3 10" xfId="19353"/>
    <cellStyle name="20% - Accent5 3 2" xfId="2030"/>
    <cellStyle name="20% - Accent5 3 2 2" xfId="2031"/>
    <cellStyle name="20% - Accent5 3 2 2 2" xfId="2032"/>
    <cellStyle name="20% - Accent5 3 2 2 2 2" xfId="2033"/>
    <cellStyle name="20% - Accent5 3 2 2 2 2 2" xfId="16946"/>
    <cellStyle name="20% - Accent5 3 2 2 2 2 2 2" xfId="30353"/>
    <cellStyle name="20% - Accent5 3 2 2 2 2 3" xfId="19357"/>
    <cellStyle name="20% - Accent5 3 2 2 2 3" xfId="10836"/>
    <cellStyle name="20% - Accent5 3 2 2 2 3 2" xfId="24778"/>
    <cellStyle name="20% - Accent5 3 2 2 2 4" xfId="19356"/>
    <cellStyle name="20% - Accent5 3 2 2 3" xfId="2034"/>
    <cellStyle name="20% - Accent5 3 2 2 3 2" xfId="12334"/>
    <cellStyle name="20% - Accent5 3 2 2 3 2 2" xfId="26046"/>
    <cellStyle name="20% - Accent5 3 2 2 3 3" xfId="19358"/>
    <cellStyle name="20% - Accent5 3 2 2 4" xfId="2035"/>
    <cellStyle name="20% - Accent5 3 2 2 4 2" xfId="13898"/>
    <cellStyle name="20% - Accent5 3 2 2 4 2 2" xfId="27447"/>
    <cellStyle name="20% - Accent5 3 2 2 4 3" xfId="19359"/>
    <cellStyle name="20% - Accent5 3 2 2 5" xfId="2036"/>
    <cellStyle name="20% - Accent5 3 2 2 5 2" xfId="14479"/>
    <cellStyle name="20% - Accent5 3 2 2 5 2 2" xfId="28028"/>
    <cellStyle name="20% - Accent5 3 2 2 5 3" xfId="19360"/>
    <cellStyle name="20% - Accent5 3 2 2 6" xfId="2037"/>
    <cellStyle name="20% - Accent5 3 2 2 6 2" xfId="16365"/>
    <cellStyle name="20% - Accent5 3 2 2 6 2 2" xfId="29772"/>
    <cellStyle name="20% - Accent5 3 2 2 6 3" xfId="19361"/>
    <cellStyle name="20% - Accent5 3 2 2 7" xfId="9110"/>
    <cellStyle name="20% - Accent5 3 2 2 7 2" xfId="23585"/>
    <cellStyle name="20% - Accent5 3 2 2 8" xfId="19355"/>
    <cellStyle name="20% - Accent5 3 2 3" xfId="2038"/>
    <cellStyle name="20% - Accent5 3 2 3 2" xfId="2039"/>
    <cellStyle name="20% - Accent5 3 2 3 2 2" xfId="16657"/>
    <cellStyle name="20% - Accent5 3 2 3 2 2 2" xfId="30064"/>
    <cellStyle name="20% - Accent5 3 2 3 2 3" xfId="19363"/>
    <cellStyle name="20% - Accent5 3 2 3 3" xfId="10835"/>
    <cellStyle name="20% - Accent5 3 2 3 3 2" xfId="24777"/>
    <cellStyle name="20% - Accent5 3 2 3 4" xfId="19362"/>
    <cellStyle name="20% - Accent5 3 2 4" xfId="2040"/>
    <cellStyle name="20% - Accent5 3 2 4 2" xfId="12034"/>
    <cellStyle name="20% - Accent5 3 2 4 2 2" xfId="25749"/>
    <cellStyle name="20% - Accent5 3 2 4 3" xfId="19364"/>
    <cellStyle name="20% - Accent5 3 2 5" xfId="2041"/>
    <cellStyle name="20% - Accent5 3 2 5 2" xfId="13609"/>
    <cellStyle name="20% - Accent5 3 2 5 2 2" xfId="27158"/>
    <cellStyle name="20% - Accent5 3 2 5 3" xfId="19365"/>
    <cellStyle name="20% - Accent5 3 2 6" xfId="2042"/>
    <cellStyle name="20% - Accent5 3 2 6 2" xfId="14190"/>
    <cellStyle name="20% - Accent5 3 2 6 2 2" xfId="27739"/>
    <cellStyle name="20% - Accent5 3 2 6 3" xfId="19366"/>
    <cellStyle name="20% - Accent5 3 2 7" xfId="2043"/>
    <cellStyle name="20% - Accent5 3 2 7 2" xfId="16076"/>
    <cellStyle name="20% - Accent5 3 2 7 2 2" xfId="29483"/>
    <cellStyle name="20% - Accent5 3 2 7 3" xfId="19367"/>
    <cellStyle name="20% - Accent5 3 2 8" xfId="9109"/>
    <cellStyle name="20% - Accent5 3 2 8 2" xfId="23584"/>
    <cellStyle name="20% - Accent5 3 2 9" xfId="19354"/>
    <cellStyle name="20% - Accent5 3 3" xfId="2044"/>
    <cellStyle name="20% - Accent5 3 3 2" xfId="2045"/>
    <cellStyle name="20% - Accent5 3 3 2 2" xfId="2046"/>
    <cellStyle name="20% - Accent5 3 3 2 2 2" xfId="16803"/>
    <cellStyle name="20% - Accent5 3 3 2 2 2 2" xfId="30210"/>
    <cellStyle name="20% - Accent5 3 3 2 2 3" xfId="19370"/>
    <cellStyle name="20% - Accent5 3 3 2 3" xfId="10837"/>
    <cellStyle name="20% - Accent5 3 3 2 3 2" xfId="24779"/>
    <cellStyle name="20% - Accent5 3 3 2 4" xfId="19369"/>
    <cellStyle name="20% - Accent5 3 3 3" xfId="2047"/>
    <cellStyle name="20% - Accent5 3 3 3 2" xfId="12191"/>
    <cellStyle name="20% - Accent5 3 3 3 2 2" xfId="25903"/>
    <cellStyle name="20% - Accent5 3 3 3 3" xfId="19371"/>
    <cellStyle name="20% - Accent5 3 3 4" xfId="2048"/>
    <cellStyle name="20% - Accent5 3 3 4 2" xfId="13755"/>
    <cellStyle name="20% - Accent5 3 3 4 2 2" xfId="27304"/>
    <cellStyle name="20% - Accent5 3 3 4 3" xfId="19372"/>
    <cellStyle name="20% - Accent5 3 3 5" xfId="2049"/>
    <cellStyle name="20% - Accent5 3 3 5 2" xfId="14336"/>
    <cellStyle name="20% - Accent5 3 3 5 2 2" xfId="27885"/>
    <cellStyle name="20% - Accent5 3 3 5 3" xfId="19373"/>
    <cellStyle name="20% - Accent5 3 3 6" xfId="2050"/>
    <cellStyle name="20% - Accent5 3 3 6 2" xfId="16222"/>
    <cellStyle name="20% - Accent5 3 3 6 2 2" xfId="29629"/>
    <cellStyle name="20% - Accent5 3 3 6 3" xfId="19374"/>
    <cellStyle name="20% - Accent5 3 3 7" xfId="9111"/>
    <cellStyle name="20% - Accent5 3 3 7 2" xfId="23586"/>
    <cellStyle name="20% - Accent5 3 3 8" xfId="19368"/>
    <cellStyle name="20% - Accent5 3 4" xfId="2051"/>
    <cellStyle name="20% - Accent5 3 4 2" xfId="2052"/>
    <cellStyle name="20% - Accent5 3 4 2 2" xfId="17150"/>
    <cellStyle name="20% - Accent5 3 4 2 2 2" xfId="30509"/>
    <cellStyle name="20% - Accent5 3 4 2 3" xfId="19376"/>
    <cellStyle name="20% - Accent5 3 4 3" xfId="10834"/>
    <cellStyle name="20% - Accent5 3 4 3 2" xfId="24776"/>
    <cellStyle name="20% - Accent5 3 4 4" xfId="19375"/>
    <cellStyle name="20% - Accent5 3 5" xfId="2053"/>
    <cellStyle name="20% - Accent5 3 5 2" xfId="2054"/>
    <cellStyle name="20% - Accent5 3 5 2 2" xfId="17239"/>
    <cellStyle name="20% - Accent5 3 5 2 2 2" xfId="30598"/>
    <cellStyle name="20% - Accent5 3 5 2 3" xfId="19378"/>
    <cellStyle name="20% - Accent5 3 5 3" xfId="11886"/>
    <cellStyle name="20% - Accent5 3 5 3 2" xfId="25601"/>
    <cellStyle name="20% - Accent5 3 5 4" xfId="19377"/>
    <cellStyle name="20% - Accent5 3 6" xfId="2055"/>
    <cellStyle name="20% - Accent5 3 6 2" xfId="2056"/>
    <cellStyle name="20% - Accent5 3 6 2 2" xfId="16514"/>
    <cellStyle name="20% - Accent5 3 6 2 2 2" xfId="29921"/>
    <cellStyle name="20% - Accent5 3 6 2 3" xfId="19380"/>
    <cellStyle name="20% - Accent5 3 6 3" xfId="13466"/>
    <cellStyle name="20% - Accent5 3 6 3 2" xfId="27015"/>
    <cellStyle name="20% - Accent5 3 6 4" xfId="19379"/>
    <cellStyle name="20% - Accent5 3 7" xfId="2057"/>
    <cellStyle name="20% - Accent5 3 7 2" xfId="14047"/>
    <cellStyle name="20% - Accent5 3 7 2 2" xfId="27596"/>
    <cellStyle name="20% - Accent5 3 7 3" xfId="19381"/>
    <cellStyle name="20% - Accent5 3 8" xfId="2058"/>
    <cellStyle name="20% - Accent5 3 8 2" xfId="15933"/>
    <cellStyle name="20% - Accent5 3 8 2 2" xfId="29340"/>
    <cellStyle name="20% - Accent5 3 8 3" xfId="19382"/>
    <cellStyle name="20% - Accent5 3 9" xfId="9108"/>
    <cellStyle name="20% - Accent5 3 9 2" xfId="23583"/>
    <cellStyle name="20% - Accent5 4" xfId="2059"/>
    <cellStyle name="20% - Accent5 4 10" xfId="19383"/>
    <cellStyle name="20% - Accent5 4 2" xfId="2060"/>
    <cellStyle name="20% - Accent5 4 2 2" xfId="2061"/>
    <cellStyle name="20% - Accent5 4 2 2 2" xfId="2062"/>
    <cellStyle name="20% - Accent5 4 2 2 2 2" xfId="2063"/>
    <cellStyle name="20% - Accent5 4 2 2 2 2 2" xfId="16896"/>
    <cellStyle name="20% - Accent5 4 2 2 2 2 2 2" xfId="30303"/>
    <cellStyle name="20% - Accent5 4 2 2 2 2 3" xfId="19387"/>
    <cellStyle name="20% - Accent5 4 2 2 2 3" xfId="10840"/>
    <cellStyle name="20% - Accent5 4 2 2 2 3 2" xfId="24782"/>
    <cellStyle name="20% - Accent5 4 2 2 2 4" xfId="19386"/>
    <cellStyle name="20% - Accent5 4 2 2 3" xfId="2064"/>
    <cellStyle name="20% - Accent5 4 2 2 3 2" xfId="12284"/>
    <cellStyle name="20% - Accent5 4 2 2 3 2 2" xfId="25996"/>
    <cellStyle name="20% - Accent5 4 2 2 3 3" xfId="19388"/>
    <cellStyle name="20% - Accent5 4 2 2 4" xfId="2065"/>
    <cellStyle name="20% - Accent5 4 2 2 4 2" xfId="13848"/>
    <cellStyle name="20% - Accent5 4 2 2 4 2 2" xfId="27397"/>
    <cellStyle name="20% - Accent5 4 2 2 4 3" xfId="19389"/>
    <cellStyle name="20% - Accent5 4 2 2 5" xfId="2066"/>
    <cellStyle name="20% - Accent5 4 2 2 5 2" xfId="14429"/>
    <cellStyle name="20% - Accent5 4 2 2 5 2 2" xfId="27978"/>
    <cellStyle name="20% - Accent5 4 2 2 5 3" xfId="19390"/>
    <cellStyle name="20% - Accent5 4 2 2 6" xfId="2067"/>
    <cellStyle name="20% - Accent5 4 2 2 6 2" xfId="16315"/>
    <cellStyle name="20% - Accent5 4 2 2 6 2 2" xfId="29722"/>
    <cellStyle name="20% - Accent5 4 2 2 6 3" xfId="19391"/>
    <cellStyle name="20% - Accent5 4 2 2 7" xfId="9114"/>
    <cellStyle name="20% - Accent5 4 2 2 7 2" xfId="23589"/>
    <cellStyle name="20% - Accent5 4 2 2 8" xfId="19385"/>
    <cellStyle name="20% - Accent5 4 2 3" xfId="2068"/>
    <cellStyle name="20% - Accent5 4 2 3 2" xfId="2069"/>
    <cellStyle name="20% - Accent5 4 2 3 2 2" xfId="16607"/>
    <cellStyle name="20% - Accent5 4 2 3 2 2 2" xfId="30014"/>
    <cellStyle name="20% - Accent5 4 2 3 2 3" xfId="19393"/>
    <cellStyle name="20% - Accent5 4 2 3 3" xfId="10839"/>
    <cellStyle name="20% - Accent5 4 2 3 3 2" xfId="24781"/>
    <cellStyle name="20% - Accent5 4 2 3 4" xfId="19392"/>
    <cellStyle name="20% - Accent5 4 2 4" xfId="2070"/>
    <cellStyle name="20% - Accent5 4 2 4 2" xfId="11984"/>
    <cellStyle name="20% - Accent5 4 2 4 2 2" xfId="25699"/>
    <cellStyle name="20% - Accent5 4 2 4 3" xfId="19394"/>
    <cellStyle name="20% - Accent5 4 2 5" xfId="2071"/>
    <cellStyle name="20% - Accent5 4 2 5 2" xfId="13559"/>
    <cellStyle name="20% - Accent5 4 2 5 2 2" xfId="27108"/>
    <cellStyle name="20% - Accent5 4 2 5 3" xfId="19395"/>
    <cellStyle name="20% - Accent5 4 2 6" xfId="2072"/>
    <cellStyle name="20% - Accent5 4 2 6 2" xfId="14140"/>
    <cellStyle name="20% - Accent5 4 2 6 2 2" xfId="27689"/>
    <cellStyle name="20% - Accent5 4 2 6 3" xfId="19396"/>
    <cellStyle name="20% - Accent5 4 2 7" xfId="2073"/>
    <cellStyle name="20% - Accent5 4 2 7 2" xfId="16026"/>
    <cellStyle name="20% - Accent5 4 2 7 2 2" xfId="29433"/>
    <cellStyle name="20% - Accent5 4 2 7 3" xfId="19397"/>
    <cellStyle name="20% - Accent5 4 2 8" xfId="9113"/>
    <cellStyle name="20% - Accent5 4 2 8 2" xfId="23588"/>
    <cellStyle name="20% - Accent5 4 2 9" xfId="19384"/>
    <cellStyle name="20% - Accent5 4 3" xfId="2074"/>
    <cellStyle name="20% - Accent5 4 3 2" xfId="2075"/>
    <cellStyle name="20% - Accent5 4 3 2 2" xfId="2076"/>
    <cellStyle name="20% - Accent5 4 3 2 2 2" xfId="16756"/>
    <cellStyle name="20% - Accent5 4 3 2 2 2 2" xfId="30163"/>
    <cellStyle name="20% - Accent5 4 3 2 2 3" xfId="19400"/>
    <cellStyle name="20% - Accent5 4 3 2 3" xfId="10841"/>
    <cellStyle name="20% - Accent5 4 3 2 3 2" xfId="24783"/>
    <cellStyle name="20% - Accent5 4 3 2 4" xfId="19399"/>
    <cellStyle name="20% - Accent5 4 3 3" xfId="2077"/>
    <cellStyle name="20% - Accent5 4 3 3 2" xfId="12144"/>
    <cellStyle name="20% - Accent5 4 3 3 2 2" xfId="25856"/>
    <cellStyle name="20% - Accent5 4 3 3 3" xfId="19401"/>
    <cellStyle name="20% - Accent5 4 3 4" xfId="2078"/>
    <cellStyle name="20% - Accent5 4 3 4 2" xfId="13708"/>
    <cellStyle name="20% - Accent5 4 3 4 2 2" xfId="27257"/>
    <cellStyle name="20% - Accent5 4 3 4 3" xfId="19402"/>
    <cellStyle name="20% - Accent5 4 3 5" xfId="2079"/>
    <cellStyle name="20% - Accent5 4 3 5 2" xfId="14289"/>
    <cellStyle name="20% - Accent5 4 3 5 2 2" xfId="27838"/>
    <cellStyle name="20% - Accent5 4 3 5 3" xfId="19403"/>
    <cellStyle name="20% - Accent5 4 3 6" xfId="2080"/>
    <cellStyle name="20% - Accent5 4 3 6 2" xfId="16175"/>
    <cellStyle name="20% - Accent5 4 3 6 2 2" xfId="29582"/>
    <cellStyle name="20% - Accent5 4 3 6 3" xfId="19404"/>
    <cellStyle name="20% - Accent5 4 3 7" xfId="9115"/>
    <cellStyle name="20% - Accent5 4 3 7 2" xfId="23590"/>
    <cellStyle name="20% - Accent5 4 3 8" xfId="19398"/>
    <cellStyle name="20% - Accent5 4 4" xfId="2081"/>
    <cellStyle name="20% - Accent5 4 4 2" xfId="2082"/>
    <cellStyle name="20% - Accent5 4 4 2 2" xfId="16464"/>
    <cellStyle name="20% - Accent5 4 4 2 2 2" xfId="29871"/>
    <cellStyle name="20% - Accent5 4 4 2 3" xfId="19406"/>
    <cellStyle name="20% - Accent5 4 4 3" xfId="10838"/>
    <cellStyle name="20% - Accent5 4 4 3 2" xfId="24780"/>
    <cellStyle name="20% - Accent5 4 4 4" xfId="19405"/>
    <cellStyle name="20% - Accent5 4 5" xfId="2083"/>
    <cellStyle name="20% - Accent5 4 5 2" xfId="11815"/>
    <cellStyle name="20% - Accent5 4 5 2 2" xfId="25530"/>
    <cellStyle name="20% - Accent5 4 5 3" xfId="19407"/>
    <cellStyle name="20% - Accent5 4 6" xfId="2084"/>
    <cellStyle name="20% - Accent5 4 6 2" xfId="13416"/>
    <cellStyle name="20% - Accent5 4 6 2 2" xfId="26965"/>
    <cellStyle name="20% - Accent5 4 6 3" xfId="19408"/>
    <cellStyle name="20% - Accent5 4 7" xfId="2085"/>
    <cellStyle name="20% - Accent5 4 7 2" xfId="13997"/>
    <cellStyle name="20% - Accent5 4 7 2 2" xfId="27546"/>
    <cellStyle name="20% - Accent5 4 7 3" xfId="19409"/>
    <cellStyle name="20% - Accent5 4 8" xfId="2086"/>
    <cellStyle name="20% - Accent5 4 8 2" xfId="15883"/>
    <cellStyle name="20% - Accent5 4 8 2 2" xfId="29290"/>
    <cellStyle name="20% - Accent5 4 8 3" xfId="19410"/>
    <cellStyle name="20% - Accent5 4 9" xfId="9112"/>
    <cellStyle name="20% - Accent5 4 9 2" xfId="23587"/>
    <cellStyle name="20% - Accent5 5" xfId="2087"/>
    <cellStyle name="20% - Accent5 5 10" xfId="19411"/>
    <cellStyle name="20% - Accent5 5 2" xfId="2088"/>
    <cellStyle name="20% - Accent5 5 2 2" xfId="2089"/>
    <cellStyle name="20% - Accent5 5 2 2 2" xfId="2090"/>
    <cellStyle name="20% - Accent5 5 2 2 2 2" xfId="2091"/>
    <cellStyle name="20% - Accent5 5 2 2 2 2 2" xfId="16879"/>
    <cellStyle name="20% - Accent5 5 2 2 2 2 2 2" xfId="30286"/>
    <cellStyle name="20% - Accent5 5 2 2 2 2 3" xfId="19415"/>
    <cellStyle name="20% - Accent5 5 2 2 2 3" xfId="10844"/>
    <cellStyle name="20% - Accent5 5 2 2 2 3 2" xfId="24786"/>
    <cellStyle name="20% - Accent5 5 2 2 2 4" xfId="19414"/>
    <cellStyle name="20% - Accent5 5 2 2 3" xfId="2092"/>
    <cellStyle name="20% - Accent5 5 2 2 3 2" xfId="12267"/>
    <cellStyle name="20% - Accent5 5 2 2 3 2 2" xfId="25979"/>
    <cellStyle name="20% - Accent5 5 2 2 3 3" xfId="19416"/>
    <cellStyle name="20% - Accent5 5 2 2 4" xfId="2093"/>
    <cellStyle name="20% - Accent5 5 2 2 4 2" xfId="13831"/>
    <cellStyle name="20% - Accent5 5 2 2 4 2 2" xfId="27380"/>
    <cellStyle name="20% - Accent5 5 2 2 4 3" xfId="19417"/>
    <cellStyle name="20% - Accent5 5 2 2 5" xfId="2094"/>
    <cellStyle name="20% - Accent5 5 2 2 5 2" xfId="14412"/>
    <cellStyle name="20% - Accent5 5 2 2 5 2 2" xfId="27961"/>
    <cellStyle name="20% - Accent5 5 2 2 5 3" xfId="19418"/>
    <cellStyle name="20% - Accent5 5 2 2 6" xfId="2095"/>
    <cellStyle name="20% - Accent5 5 2 2 6 2" xfId="16298"/>
    <cellStyle name="20% - Accent5 5 2 2 6 2 2" xfId="29705"/>
    <cellStyle name="20% - Accent5 5 2 2 6 3" xfId="19419"/>
    <cellStyle name="20% - Accent5 5 2 2 7" xfId="9118"/>
    <cellStyle name="20% - Accent5 5 2 2 7 2" xfId="23593"/>
    <cellStyle name="20% - Accent5 5 2 2 8" xfId="19413"/>
    <cellStyle name="20% - Accent5 5 2 3" xfId="2096"/>
    <cellStyle name="20% - Accent5 5 2 3 2" xfId="2097"/>
    <cellStyle name="20% - Accent5 5 2 3 2 2" xfId="16590"/>
    <cellStyle name="20% - Accent5 5 2 3 2 2 2" xfId="29997"/>
    <cellStyle name="20% - Accent5 5 2 3 2 3" xfId="19421"/>
    <cellStyle name="20% - Accent5 5 2 3 3" xfId="10843"/>
    <cellStyle name="20% - Accent5 5 2 3 3 2" xfId="24785"/>
    <cellStyle name="20% - Accent5 5 2 3 4" xfId="19420"/>
    <cellStyle name="20% - Accent5 5 2 4" xfId="2098"/>
    <cellStyle name="20% - Accent5 5 2 4 2" xfId="11967"/>
    <cellStyle name="20% - Accent5 5 2 4 2 2" xfId="25682"/>
    <cellStyle name="20% - Accent5 5 2 4 3" xfId="19422"/>
    <cellStyle name="20% - Accent5 5 2 5" xfId="2099"/>
    <cellStyle name="20% - Accent5 5 2 5 2" xfId="13542"/>
    <cellStyle name="20% - Accent5 5 2 5 2 2" xfId="27091"/>
    <cellStyle name="20% - Accent5 5 2 5 3" xfId="19423"/>
    <cellStyle name="20% - Accent5 5 2 6" xfId="2100"/>
    <cellStyle name="20% - Accent5 5 2 6 2" xfId="14123"/>
    <cellStyle name="20% - Accent5 5 2 6 2 2" xfId="27672"/>
    <cellStyle name="20% - Accent5 5 2 6 3" xfId="19424"/>
    <cellStyle name="20% - Accent5 5 2 7" xfId="2101"/>
    <cellStyle name="20% - Accent5 5 2 7 2" xfId="16009"/>
    <cellStyle name="20% - Accent5 5 2 7 2 2" xfId="29416"/>
    <cellStyle name="20% - Accent5 5 2 7 3" xfId="19425"/>
    <cellStyle name="20% - Accent5 5 2 8" xfId="9117"/>
    <cellStyle name="20% - Accent5 5 2 8 2" xfId="23592"/>
    <cellStyle name="20% - Accent5 5 2 9" xfId="19412"/>
    <cellStyle name="20% - Accent5 5 3" xfId="2102"/>
    <cellStyle name="20% - Accent5 5 3 2" xfId="2103"/>
    <cellStyle name="20% - Accent5 5 3 2 2" xfId="2104"/>
    <cellStyle name="20% - Accent5 5 3 2 2 2" xfId="16739"/>
    <cellStyle name="20% - Accent5 5 3 2 2 2 2" xfId="30146"/>
    <cellStyle name="20% - Accent5 5 3 2 2 3" xfId="19428"/>
    <cellStyle name="20% - Accent5 5 3 2 3" xfId="10845"/>
    <cellStyle name="20% - Accent5 5 3 2 3 2" xfId="24787"/>
    <cellStyle name="20% - Accent5 5 3 2 4" xfId="19427"/>
    <cellStyle name="20% - Accent5 5 3 3" xfId="2105"/>
    <cellStyle name="20% - Accent5 5 3 3 2" xfId="12127"/>
    <cellStyle name="20% - Accent5 5 3 3 2 2" xfId="25839"/>
    <cellStyle name="20% - Accent5 5 3 3 3" xfId="19429"/>
    <cellStyle name="20% - Accent5 5 3 4" xfId="2106"/>
    <cellStyle name="20% - Accent5 5 3 4 2" xfId="13691"/>
    <cellStyle name="20% - Accent5 5 3 4 2 2" xfId="27240"/>
    <cellStyle name="20% - Accent5 5 3 4 3" xfId="19430"/>
    <cellStyle name="20% - Accent5 5 3 5" xfId="2107"/>
    <cellStyle name="20% - Accent5 5 3 5 2" xfId="14272"/>
    <cellStyle name="20% - Accent5 5 3 5 2 2" xfId="27821"/>
    <cellStyle name="20% - Accent5 5 3 5 3" xfId="19431"/>
    <cellStyle name="20% - Accent5 5 3 6" xfId="2108"/>
    <cellStyle name="20% - Accent5 5 3 6 2" xfId="16158"/>
    <cellStyle name="20% - Accent5 5 3 6 2 2" xfId="29565"/>
    <cellStyle name="20% - Accent5 5 3 6 3" xfId="19432"/>
    <cellStyle name="20% - Accent5 5 3 7" xfId="9119"/>
    <cellStyle name="20% - Accent5 5 3 7 2" xfId="23594"/>
    <cellStyle name="20% - Accent5 5 3 8" xfId="19426"/>
    <cellStyle name="20% - Accent5 5 4" xfId="2109"/>
    <cellStyle name="20% - Accent5 5 4 2" xfId="2110"/>
    <cellStyle name="20% - Accent5 5 4 2 2" xfId="16447"/>
    <cellStyle name="20% - Accent5 5 4 2 2 2" xfId="29854"/>
    <cellStyle name="20% - Accent5 5 4 2 3" xfId="19434"/>
    <cellStyle name="20% - Accent5 5 4 3" xfId="10842"/>
    <cellStyle name="20% - Accent5 5 4 3 2" xfId="24784"/>
    <cellStyle name="20% - Accent5 5 4 4" xfId="19433"/>
    <cellStyle name="20% - Accent5 5 5" xfId="2111"/>
    <cellStyle name="20% - Accent5 5 5 2" xfId="11798"/>
    <cellStyle name="20% - Accent5 5 5 2 2" xfId="25513"/>
    <cellStyle name="20% - Accent5 5 5 3" xfId="19435"/>
    <cellStyle name="20% - Accent5 5 6" xfId="2112"/>
    <cellStyle name="20% - Accent5 5 6 2" xfId="13399"/>
    <cellStyle name="20% - Accent5 5 6 2 2" xfId="26948"/>
    <cellStyle name="20% - Accent5 5 6 3" xfId="19436"/>
    <cellStyle name="20% - Accent5 5 7" xfId="2113"/>
    <cellStyle name="20% - Accent5 5 7 2" xfId="13980"/>
    <cellStyle name="20% - Accent5 5 7 2 2" xfId="27529"/>
    <cellStyle name="20% - Accent5 5 7 3" xfId="19437"/>
    <cellStyle name="20% - Accent5 5 8" xfId="2114"/>
    <cellStyle name="20% - Accent5 5 8 2" xfId="15866"/>
    <cellStyle name="20% - Accent5 5 8 2 2" xfId="29273"/>
    <cellStyle name="20% - Accent5 5 8 3" xfId="19438"/>
    <cellStyle name="20% - Accent5 5 9" xfId="9116"/>
    <cellStyle name="20% - Accent5 5 9 2" xfId="23591"/>
    <cellStyle name="20% - Accent5 6" xfId="2115"/>
    <cellStyle name="20% - Accent5 6 10" xfId="19439"/>
    <cellStyle name="20% - Accent5 6 2" xfId="2116"/>
    <cellStyle name="20% - Accent5 6 2 2" xfId="2117"/>
    <cellStyle name="20% - Accent5 6 2 2 2" xfId="2118"/>
    <cellStyle name="20% - Accent5 6 2 2 2 2" xfId="2119"/>
    <cellStyle name="20% - Accent5 6 2 2 2 2 2" xfId="16985"/>
    <cellStyle name="20% - Accent5 6 2 2 2 2 2 2" xfId="30392"/>
    <cellStyle name="20% - Accent5 6 2 2 2 2 3" xfId="19443"/>
    <cellStyle name="20% - Accent5 6 2 2 2 3" xfId="10848"/>
    <cellStyle name="20% - Accent5 6 2 2 2 3 2" xfId="24790"/>
    <cellStyle name="20% - Accent5 6 2 2 2 4" xfId="19442"/>
    <cellStyle name="20% - Accent5 6 2 2 3" xfId="2120"/>
    <cellStyle name="20% - Accent5 6 2 2 3 2" xfId="12373"/>
    <cellStyle name="20% - Accent5 6 2 2 3 2 2" xfId="26085"/>
    <cellStyle name="20% - Accent5 6 2 2 3 3" xfId="19444"/>
    <cellStyle name="20% - Accent5 6 2 2 4" xfId="2121"/>
    <cellStyle name="20% - Accent5 6 2 2 4 2" xfId="13937"/>
    <cellStyle name="20% - Accent5 6 2 2 4 2 2" xfId="27486"/>
    <cellStyle name="20% - Accent5 6 2 2 4 3" xfId="19445"/>
    <cellStyle name="20% - Accent5 6 2 2 5" xfId="2122"/>
    <cellStyle name="20% - Accent5 6 2 2 5 2" xfId="14518"/>
    <cellStyle name="20% - Accent5 6 2 2 5 2 2" xfId="28067"/>
    <cellStyle name="20% - Accent5 6 2 2 5 3" xfId="19446"/>
    <cellStyle name="20% - Accent5 6 2 2 6" xfId="2123"/>
    <cellStyle name="20% - Accent5 6 2 2 6 2" xfId="16404"/>
    <cellStyle name="20% - Accent5 6 2 2 6 2 2" xfId="29811"/>
    <cellStyle name="20% - Accent5 6 2 2 6 3" xfId="19447"/>
    <cellStyle name="20% - Accent5 6 2 2 7" xfId="9122"/>
    <cellStyle name="20% - Accent5 6 2 2 7 2" xfId="23597"/>
    <cellStyle name="20% - Accent5 6 2 2 8" xfId="19441"/>
    <cellStyle name="20% - Accent5 6 2 3" xfId="2124"/>
    <cellStyle name="20% - Accent5 6 2 3 2" xfId="2125"/>
    <cellStyle name="20% - Accent5 6 2 3 2 2" xfId="16696"/>
    <cellStyle name="20% - Accent5 6 2 3 2 2 2" xfId="30103"/>
    <cellStyle name="20% - Accent5 6 2 3 2 3" xfId="19449"/>
    <cellStyle name="20% - Accent5 6 2 3 3" xfId="10847"/>
    <cellStyle name="20% - Accent5 6 2 3 3 2" xfId="24789"/>
    <cellStyle name="20% - Accent5 6 2 3 4" xfId="19448"/>
    <cellStyle name="20% - Accent5 6 2 4" xfId="2126"/>
    <cellStyle name="20% - Accent5 6 2 4 2" xfId="12073"/>
    <cellStyle name="20% - Accent5 6 2 4 2 2" xfId="25788"/>
    <cellStyle name="20% - Accent5 6 2 4 3" xfId="19450"/>
    <cellStyle name="20% - Accent5 6 2 5" xfId="2127"/>
    <cellStyle name="20% - Accent5 6 2 5 2" xfId="13648"/>
    <cellStyle name="20% - Accent5 6 2 5 2 2" xfId="27197"/>
    <cellStyle name="20% - Accent5 6 2 5 3" xfId="19451"/>
    <cellStyle name="20% - Accent5 6 2 6" xfId="2128"/>
    <cellStyle name="20% - Accent5 6 2 6 2" xfId="14229"/>
    <cellStyle name="20% - Accent5 6 2 6 2 2" xfId="27778"/>
    <cellStyle name="20% - Accent5 6 2 6 3" xfId="19452"/>
    <cellStyle name="20% - Accent5 6 2 7" xfId="2129"/>
    <cellStyle name="20% - Accent5 6 2 7 2" xfId="16115"/>
    <cellStyle name="20% - Accent5 6 2 7 2 2" xfId="29522"/>
    <cellStyle name="20% - Accent5 6 2 7 3" xfId="19453"/>
    <cellStyle name="20% - Accent5 6 2 8" xfId="9121"/>
    <cellStyle name="20% - Accent5 6 2 8 2" xfId="23596"/>
    <cellStyle name="20% - Accent5 6 2 9" xfId="19440"/>
    <cellStyle name="20% - Accent5 6 3" xfId="2130"/>
    <cellStyle name="20% - Accent5 6 3 2" xfId="2131"/>
    <cellStyle name="20% - Accent5 6 3 2 2" xfId="2132"/>
    <cellStyle name="20% - Accent5 6 3 2 2 2" xfId="16842"/>
    <cellStyle name="20% - Accent5 6 3 2 2 2 2" xfId="30249"/>
    <cellStyle name="20% - Accent5 6 3 2 2 3" xfId="19456"/>
    <cellStyle name="20% - Accent5 6 3 2 3" xfId="10849"/>
    <cellStyle name="20% - Accent5 6 3 2 3 2" xfId="24791"/>
    <cellStyle name="20% - Accent5 6 3 2 4" xfId="19455"/>
    <cellStyle name="20% - Accent5 6 3 3" xfId="2133"/>
    <cellStyle name="20% - Accent5 6 3 3 2" xfId="12230"/>
    <cellStyle name="20% - Accent5 6 3 3 2 2" xfId="25942"/>
    <cellStyle name="20% - Accent5 6 3 3 3" xfId="19457"/>
    <cellStyle name="20% - Accent5 6 3 4" xfId="2134"/>
    <cellStyle name="20% - Accent5 6 3 4 2" xfId="13794"/>
    <cellStyle name="20% - Accent5 6 3 4 2 2" xfId="27343"/>
    <cellStyle name="20% - Accent5 6 3 4 3" xfId="19458"/>
    <cellStyle name="20% - Accent5 6 3 5" xfId="2135"/>
    <cellStyle name="20% - Accent5 6 3 5 2" xfId="14375"/>
    <cellStyle name="20% - Accent5 6 3 5 2 2" xfId="27924"/>
    <cellStyle name="20% - Accent5 6 3 5 3" xfId="19459"/>
    <cellStyle name="20% - Accent5 6 3 6" xfId="2136"/>
    <cellStyle name="20% - Accent5 6 3 6 2" xfId="16261"/>
    <cellStyle name="20% - Accent5 6 3 6 2 2" xfId="29668"/>
    <cellStyle name="20% - Accent5 6 3 6 3" xfId="19460"/>
    <cellStyle name="20% - Accent5 6 3 7" xfId="9123"/>
    <cellStyle name="20% - Accent5 6 3 7 2" xfId="23598"/>
    <cellStyle name="20% - Accent5 6 3 8" xfId="19454"/>
    <cellStyle name="20% - Accent5 6 4" xfId="2137"/>
    <cellStyle name="20% - Accent5 6 4 2" xfId="2138"/>
    <cellStyle name="20% - Accent5 6 4 2 2" xfId="16553"/>
    <cellStyle name="20% - Accent5 6 4 2 2 2" xfId="29960"/>
    <cellStyle name="20% - Accent5 6 4 2 3" xfId="19462"/>
    <cellStyle name="20% - Accent5 6 4 3" xfId="10846"/>
    <cellStyle name="20% - Accent5 6 4 3 2" xfId="24788"/>
    <cellStyle name="20% - Accent5 6 4 4" xfId="19461"/>
    <cellStyle name="20% - Accent5 6 5" xfId="2139"/>
    <cellStyle name="20% - Accent5 6 5 2" xfId="11928"/>
    <cellStyle name="20% - Accent5 6 5 2 2" xfId="25643"/>
    <cellStyle name="20% - Accent5 6 5 3" xfId="19463"/>
    <cellStyle name="20% - Accent5 6 6" xfId="2140"/>
    <cellStyle name="20% - Accent5 6 6 2" xfId="13505"/>
    <cellStyle name="20% - Accent5 6 6 2 2" xfId="27054"/>
    <cellStyle name="20% - Accent5 6 6 3" xfId="19464"/>
    <cellStyle name="20% - Accent5 6 7" xfId="2141"/>
    <cellStyle name="20% - Accent5 6 7 2" xfId="14086"/>
    <cellStyle name="20% - Accent5 6 7 2 2" xfId="27635"/>
    <cellStyle name="20% - Accent5 6 7 3" xfId="19465"/>
    <cellStyle name="20% - Accent5 6 8" xfId="2142"/>
    <cellStyle name="20% - Accent5 6 8 2" xfId="15972"/>
    <cellStyle name="20% - Accent5 6 8 2 2" xfId="29379"/>
    <cellStyle name="20% - Accent5 6 8 3" xfId="19466"/>
    <cellStyle name="20% - Accent5 6 9" xfId="9120"/>
    <cellStyle name="20% - Accent5 6 9 2" xfId="23595"/>
    <cellStyle name="20% - Accent5 7" xfId="2143"/>
    <cellStyle name="20% - Accent5 7 2" xfId="2144"/>
    <cellStyle name="20% - Accent5 7 2 2" xfId="2145"/>
    <cellStyle name="20% - Accent5 7 2 2 2" xfId="2146"/>
    <cellStyle name="20% - Accent5 7 2 2 2 2" xfId="16866"/>
    <cellStyle name="20% - Accent5 7 2 2 2 2 2" xfId="30273"/>
    <cellStyle name="20% - Accent5 7 2 2 2 3" xfId="19470"/>
    <cellStyle name="20% - Accent5 7 2 2 3" xfId="10851"/>
    <cellStyle name="20% - Accent5 7 2 2 3 2" xfId="24793"/>
    <cellStyle name="20% - Accent5 7 2 2 4" xfId="19469"/>
    <cellStyle name="20% - Accent5 7 2 3" xfId="2147"/>
    <cellStyle name="20% - Accent5 7 2 3 2" xfId="12254"/>
    <cellStyle name="20% - Accent5 7 2 3 2 2" xfId="25966"/>
    <cellStyle name="20% - Accent5 7 2 3 3" xfId="19471"/>
    <cellStyle name="20% - Accent5 7 2 4" xfId="2148"/>
    <cellStyle name="20% - Accent5 7 2 4 2" xfId="13818"/>
    <cellStyle name="20% - Accent5 7 2 4 2 2" xfId="27367"/>
    <cellStyle name="20% - Accent5 7 2 4 3" xfId="19472"/>
    <cellStyle name="20% - Accent5 7 2 5" xfId="2149"/>
    <cellStyle name="20% - Accent5 7 2 5 2" xfId="14399"/>
    <cellStyle name="20% - Accent5 7 2 5 2 2" xfId="27948"/>
    <cellStyle name="20% - Accent5 7 2 5 3" xfId="19473"/>
    <cellStyle name="20% - Accent5 7 2 6" xfId="2150"/>
    <cellStyle name="20% - Accent5 7 2 6 2" xfId="16285"/>
    <cellStyle name="20% - Accent5 7 2 6 2 2" xfId="29692"/>
    <cellStyle name="20% - Accent5 7 2 6 3" xfId="19474"/>
    <cellStyle name="20% - Accent5 7 2 7" xfId="9125"/>
    <cellStyle name="20% - Accent5 7 2 7 2" xfId="23600"/>
    <cellStyle name="20% - Accent5 7 2 8" xfId="19468"/>
    <cellStyle name="20% - Accent5 7 3" xfId="2151"/>
    <cellStyle name="20% - Accent5 7 3 2" xfId="2152"/>
    <cellStyle name="20% - Accent5 7 3 2 2" xfId="16577"/>
    <cellStyle name="20% - Accent5 7 3 2 2 2" xfId="29984"/>
    <cellStyle name="20% - Accent5 7 3 2 3" xfId="19476"/>
    <cellStyle name="20% - Accent5 7 3 3" xfId="10850"/>
    <cellStyle name="20% - Accent5 7 3 3 2" xfId="24792"/>
    <cellStyle name="20% - Accent5 7 3 4" xfId="19475"/>
    <cellStyle name="20% - Accent5 7 4" xfId="2153"/>
    <cellStyle name="20% - Accent5 7 4 2" xfId="11952"/>
    <cellStyle name="20% - Accent5 7 4 2 2" xfId="25667"/>
    <cellStyle name="20% - Accent5 7 4 3" xfId="19477"/>
    <cellStyle name="20% - Accent5 7 5" xfId="2154"/>
    <cellStyle name="20% - Accent5 7 5 2" xfId="13529"/>
    <cellStyle name="20% - Accent5 7 5 2 2" xfId="27078"/>
    <cellStyle name="20% - Accent5 7 5 3" xfId="19478"/>
    <cellStyle name="20% - Accent5 7 6" xfId="2155"/>
    <cellStyle name="20% - Accent5 7 6 2" xfId="14110"/>
    <cellStyle name="20% - Accent5 7 6 2 2" xfId="27659"/>
    <cellStyle name="20% - Accent5 7 6 3" xfId="19479"/>
    <cellStyle name="20% - Accent5 7 7" xfId="2156"/>
    <cellStyle name="20% - Accent5 7 7 2" xfId="15996"/>
    <cellStyle name="20% - Accent5 7 7 2 2" xfId="29403"/>
    <cellStyle name="20% - Accent5 7 7 3" xfId="19480"/>
    <cellStyle name="20% - Accent5 7 8" xfId="9124"/>
    <cellStyle name="20% - Accent5 7 8 2" xfId="23599"/>
    <cellStyle name="20% - Accent5 7 9" xfId="19467"/>
    <cellStyle name="20% - Accent5 8" xfId="2157"/>
    <cellStyle name="20% - Accent5 8 2" xfId="2158"/>
    <cellStyle name="20% - Accent5 8 2 2" xfId="2159"/>
    <cellStyle name="20% - Accent5 8 2 2 2" xfId="16716"/>
    <cellStyle name="20% - Accent5 8 2 2 2 2" xfId="30123"/>
    <cellStyle name="20% - Accent5 8 2 2 3" xfId="19483"/>
    <cellStyle name="20% - Accent5 8 2 3" xfId="10852"/>
    <cellStyle name="20% - Accent5 8 2 3 2" xfId="24794"/>
    <cellStyle name="20% - Accent5 8 2 4" xfId="19482"/>
    <cellStyle name="20% - Accent5 8 3" xfId="2160"/>
    <cellStyle name="20% - Accent5 8 3 2" xfId="12094"/>
    <cellStyle name="20% - Accent5 8 3 2 2" xfId="25808"/>
    <cellStyle name="20% - Accent5 8 3 3" xfId="19484"/>
    <cellStyle name="20% - Accent5 8 4" xfId="2161"/>
    <cellStyle name="20% - Accent5 8 4 2" xfId="13668"/>
    <cellStyle name="20% - Accent5 8 4 2 2" xfId="27217"/>
    <cellStyle name="20% - Accent5 8 4 3" xfId="19485"/>
    <cellStyle name="20% - Accent5 8 5" xfId="2162"/>
    <cellStyle name="20% - Accent5 8 5 2" xfId="14249"/>
    <cellStyle name="20% - Accent5 8 5 2 2" xfId="27798"/>
    <cellStyle name="20% - Accent5 8 5 3" xfId="19486"/>
    <cellStyle name="20% - Accent5 8 6" xfId="2163"/>
    <cellStyle name="20% - Accent5 8 6 2" xfId="16135"/>
    <cellStyle name="20% - Accent5 8 6 2 2" xfId="29542"/>
    <cellStyle name="20% - Accent5 8 6 3" xfId="19487"/>
    <cellStyle name="20% - Accent5 8 7" xfId="9126"/>
    <cellStyle name="20% - Accent5 8 7 2" xfId="23601"/>
    <cellStyle name="20% - Accent5 8 8" xfId="19481"/>
    <cellStyle name="20% - Accent5 9" xfId="2164"/>
    <cellStyle name="20% - Accent5 9 2" xfId="2165"/>
    <cellStyle name="20% - Accent5 9 2 2" xfId="11714"/>
    <cellStyle name="20% - Accent5 9 2 2 2" xfId="25434"/>
    <cellStyle name="20% - Accent5 9 2 3" xfId="19489"/>
    <cellStyle name="20% - Accent5 9 3" xfId="2166"/>
    <cellStyle name="20% - Accent5 9 3 2" xfId="12809"/>
    <cellStyle name="20% - Accent5 9 3 2 2" xfId="26521"/>
    <cellStyle name="20% - Accent5 9 3 3" xfId="19490"/>
    <cellStyle name="20% - Accent5 9 4" xfId="2167"/>
    <cellStyle name="20% - Accent5 9 4 2" xfId="14956"/>
    <cellStyle name="20% - Accent5 9 4 2 2" xfId="28505"/>
    <cellStyle name="20% - Accent5 9 4 3" xfId="19491"/>
    <cellStyle name="20% - Accent5 9 5" xfId="2168"/>
    <cellStyle name="20% - Accent5 9 5 2" xfId="17100"/>
    <cellStyle name="20% - Accent5 9 5 2 2" xfId="30459"/>
    <cellStyle name="20% - Accent5 9 5 3" xfId="19492"/>
    <cellStyle name="20% - Accent5 9 6" xfId="10466"/>
    <cellStyle name="20% - Accent5 9 6 2" xfId="24425"/>
    <cellStyle name="20% - Accent5 9 7" xfId="19488"/>
    <cellStyle name="20% - Accent6" xfId="47" builtinId="50" customBuiltin="1"/>
    <cellStyle name="20% - Accent6 10" xfId="2169"/>
    <cellStyle name="20% - Accent6 10 2" xfId="2170"/>
    <cellStyle name="20% - Accent6 10 2 2" xfId="2171"/>
    <cellStyle name="20% - Accent6 10 2 2 2" xfId="12400"/>
    <cellStyle name="20% - Accent6 10 2 2 2 2" xfId="26112"/>
    <cellStyle name="20% - Accent6 10 2 2 3" xfId="19495"/>
    <cellStyle name="20% - Accent6 10 2 3" xfId="2172"/>
    <cellStyle name="20% - Accent6 10 2 3 2" xfId="14959"/>
    <cellStyle name="20% - Accent6 10 2 3 2 2" xfId="28508"/>
    <cellStyle name="20% - Accent6 10 2 3 3" xfId="19496"/>
    <cellStyle name="20% - Accent6 10 2 4" xfId="10854"/>
    <cellStyle name="20% - Accent6 10 2 4 2" xfId="24796"/>
    <cellStyle name="20% - Accent6 10 2 5" xfId="19494"/>
    <cellStyle name="20% - Accent6 10 3" xfId="2173"/>
    <cellStyle name="20% - Accent6 10 3 2" xfId="12472"/>
    <cellStyle name="20% - Accent6 10 3 2 2" xfId="26184"/>
    <cellStyle name="20% - Accent6 10 3 3" xfId="19497"/>
    <cellStyle name="20% - Accent6 10 4" xfId="2174"/>
    <cellStyle name="20% - Accent6 10 4 2" xfId="14958"/>
    <cellStyle name="20% - Accent6 10 4 2 2" xfId="28507"/>
    <cellStyle name="20% - Accent6 10 4 3" xfId="19498"/>
    <cellStyle name="20% - Accent6 10 5" xfId="2175"/>
    <cellStyle name="20% - Accent6 10 5 2" xfId="17190"/>
    <cellStyle name="20% - Accent6 10 5 2 2" xfId="30549"/>
    <cellStyle name="20% - Accent6 10 5 3" xfId="19499"/>
    <cellStyle name="20% - Accent6 10 6" xfId="9128"/>
    <cellStyle name="20% - Accent6 10 6 2" xfId="23603"/>
    <cellStyle name="20% - Accent6 10 7" xfId="19493"/>
    <cellStyle name="20% - Accent6 11" xfId="2176"/>
    <cellStyle name="20% - Accent6 11 2" xfId="2177"/>
    <cellStyle name="20% - Accent6 11 2 2" xfId="10855"/>
    <cellStyle name="20% - Accent6 11 2 2 2" xfId="24797"/>
    <cellStyle name="20% - Accent6 11 2 3" xfId="19501"/>
    <cellStyle name="20% - Accent6 11 3" xfId="2178"/>
    <cellStyle name="20% - Accent6 11 3 2" xfId="12812"/>
    <cellStyle name="20% - Accent6 11 3 2 2" xfId="26524"/>
    <cellStyle name="20% - Accent6 11 3 3" xfId="19502"/>
    <cellStyle name="20% - Accent6 11 4" xfId="2179"/>
    <cellStyle name="20% - Accent6 11 4 2" xfId="14960"/>
    <cellStyle name="20% - Accent6 11 4 2 2" xfId="28509"/>
    <cellStyle name="20% - Accent6 11 4 3" xfId="19503"/>
    <cellStyle name="20% - Accent6 11 5" xfId="2180"/>
    <cellStyle name="20% - Accent6 11 5 2" xfId="17279"/>
    <cellStyle name="20% - Accent6 11 5 2 2" xfId="30638"/>
    <cellStyle name="20% - Accent6 11 5 3" xfId="19504"/>
    <cellStyle name="20% - Accent6 11 6" xfId="9129"/>
    <cellStyle name="20% - Accent6 11 6 2" xfId="23604"/>
    <cellStyle name="20% - Accent6 11 7" xfId="19500"/>
    <cellStyle name="20% - Accent6 12" xfId="2181"/>
    <cellStyle name="20% - Accent6 12 2" xfId="2182"/>
    <cellStyle name="20% - Accent6 12 2 2" xfId="2183"/>
    <cellStyle name="20% - Accent6 12 2 2 2" xfId="10857"/>
    <cellStyle name="20% - Accent6 12 2 2 2 2" xfId="24799"/>
    <cellStyle name="20% - Accent6 12 2 2 3" xfId="19507"/>
    <cellStyle name="20% - Accent6 12 2 3" xfId="2184"/>
    <cellStyle name="20% - Accent6 12 2 3 2" xfId="12744"/>
    <cellStyle name="20% - Accent6 12 2 3 2 2" xfId="26456"/>
    <cellStyle name="20% - Accent6 12 2 3 3" xfId="19508"/>
    <cellStyle name="20% - Accent6 12 2 4" xfId="2185"/>
    <cellStyle name="20% - Accent6 12 2 4 2" xfId="14962"/>
    <cellStyle name="20% - Accent6 12 2 4 2 2" xfId="28511"/>
    <cellStyle name="20% - Accent6 12 2 4 3" xfId="19509"/>
    <cellStyle name="20% - Accent6 12 2 5" xfId="9131"/>
    <cellStyle name="20% - Accent6 12 2 5 2" xfId="23606"/>
    <cellStyle name="20% - Accent6 12 2 6" xfId="19506"/>
    <cellStyle name="20% - Accent6 12 3" xfId="2186"/>
    <cellStyle name="20% - Accent6 12 3 2" xfId="10856"/>
    <cellStyle name="20% - Accent6 12 3 2 2" xfId="24798"/>
    <cellStyle name="20% - Accent6 12 3 3" xfId="19510"/>
    <cellStyle name="20% - Accent6 12 4" xfId="2187"/>
    <cellStyle name="20% - Accent6 12 4 2" xfId="12548"/>
    <cellStyle name="20% - Accent6 12 4 2 2" xfId="26260"/>
    <cellStyle name="20% - Accent6 12 4 3" xfId="19511"/>
    <cellStyle name="20% - Accent6 12 5" xfId="2188"/>
    <cellStyle name="20% - Accent6 12 5 2" xfId="14961"/>
    <cellStyle name="20% - Accent6 12 5 2 2" xfId="28510"/>
    <cellStyle name="20% - Accent6 12 5 3" xfId="19512"/>
    <cellStyle name="20% - Accent6 12 6" xfId="2189"/>
    <cellStyle name="20% - Accent6 12 6 2" xfId="16431"/>
    <cellStyle name="20% - Accent6 12 6 2 2" xfId="29838"/>
    <cellStyle name="20% - Accent6 12 6 3" xfId="19513"/>
    <cellStyle name="20% - Accent6 12 7" xfId="9130"/>
    <cellStyle name="20% - Accent6 12 7 2" xfId="23605"/>
    <cellStyle name="20% - Accent6 12 8" xfId="19505"/>
    <cellStyle name="20% - Accent6 13" xfId="2190"/>
    <cellStyle name="20% - Accent6 13 2" xfId="2191"/>
    <cellStyle name="20% - Accent6 13 2 2" xfId="10858"/>
    <cellStyle name="20% - Accent6 13 2 2 2" xfId="24800"/>
    <cellStyle name="20% - Accent6 13 2 3" xfId="19515"/>
    <cellStyle name="20% - Accent6 13 3" xfId="2192"/>
    <cellStyle name="20% - Accent6 13 3 2" xfId="12552"/>
    <cellStyle name="20% - Accent6 13 3 2 2" xfId="26264"/>
    <cellStyle name="20% - Accent6 13 3 3" xfId="19516"/>
    <cellStyle name="20% - Accent6 13 4" xfId="2193"/>
    <cellStyle name="20% - Accent6 13 4 2" xfId="14963"/>
    <cellStyle name="20% - Accent6 13 4 2 2" xfId="28512"/>
    <cellStyle name="20% - Accent6 13 4 3" xfId="19517"/>
    <cellStyle name="20% - Accent6 13 5" xfId="9132"/>
    <cellStyle name="20% - Accent6 13 5 2" xfId="23607"/>
    <cellStyle name="20% - Accent6 13 6" xfId="19514"/>
    <cellStyle name="20% - Accent6 14" xfId="2194"/>
    <cellStyle name="20% - Accent6 14 2" xfId="2195"/>
    <cellStyle name="20% - Accent6 14 2 2" xfId="10859"/>
    <cellStyle name="20% - Accent6 14 2 2 2" xfId="24801"/>
    <cellStyle name="20% - Accent6 14 2 3" xfId="19519"/>
    <cellStyle name="20% - Accent6 14 3" xfId="2196"/>
    <cellStyle name="20% - Accent6 14 3 2" xfId="12608"/>
    <cellStyle name="20% - Accent6 14 3 2 2" xfId="26320"/>
    <cellStyle name="20% - Accent6 14 3 3" xfId="19520"/>
    <cellStyle name="20% - Accent6 14 4" xfId="2197"/>
    <cellStyle name="20% - Accent6 14 4 2" xfId="14964"/>
    <cellStyle name="20% - Accent6 14 4 2 2" xfId="28513"/>
    <cellStyle name="20% - Accent6 14 4 3" xfId="19521"/>
    <cellStyle name="20% - Accent6 14 5" xfId="9133"/>
    <cellStyle name="20% - Accent6 14 5 2" xfId="23608"/>
    <cellStyle name="20% - Accent6 14 6" xfId="19518"/>
    <cellStyle name="20% - Accent6 15" xfId="2198"/>
    <cellStyle name="20% - Accent6 15 2" xfId="2199"/>
    <cellStyle name="20% - Accent6 15 2 2" xfId="10860"/>
    <cellStyle name="20% - Accent6 15 2 2 2" xfId="24802"/>
    <cellStyle name="20% - Accent6 15 2 3" xfId="19523"/>
    <cellStyle name="20% - Accent6 15 3" xfId="2200"/>
    <cellStyle name="20% - Accent6 15 3 2" xfId="12669"/>
    <cellStyle name="20% - Accent6 15 3 2 2" xfId="26381"/>
    <cellStyle name="20% - Accent6 15 3 3" xfId="19524"/>
    <cellStyle name="20% - Accent6 15 4" xfId="2201"/>
    <cellStyle name="20% - Accent6 15 4 2" xfId="14965"/>
    <cellStyle name="20% - Accent6 15 4 2 2" xfId="28514"/>
    <cellStyle name="20% - Accent6 15 4 3" xfId="19525"/>
    <cellStyle name="20% - Accent6 15 5" xfId="9134"/>
    <cellStyle name="20% - Accent6 15 5 2" xfId="23609"/>
    <cellStyle name="20% - Accent6 15 6" xfId="19522"/>
    <cellStyle name="20% - Accent6 16" xfId="2202"/>
    <cellStyle name="20% - Accent6 16 2" xfId="2203"/>
    <cellStyle name="20% - Accent6 16 2 2" xfId="10861"/>
    <cellStyle name="20% - Accent6 16 2 2 2" xfId="24803"/>
    <cellStyle name="20% - Accent6 16 2 3" xfId="19527"/>
    <cellStyle name="20% - Accent6 16 3" xfId="2204"/>
    <cellStyle name="20% - Accent6 16 3 2" xfId="12461"/>
    <cellStyle name="20% - Accent6 16 3 2 2" xfId="26173"/>
    <cellStyle name="20% - Accent6 16 3 3" xfId="19528"/>
    <cellStyle name="20% - Accent6 16 4" xfId="2205"/>
    <cellStyle name="20% - Accent6 16 4 2" xfId="14966"/>
    <cellStyle name="20% - Accent6 16 4 2 2" xfId="28515"/>
    <cellStyle name="20% - Accent6 16 4 3" xfId="19529"/>
    <cellStyle name="20% - Accent6 16 5" xfId="9135"/>
    <cellStyle name="20% - Accent6 16 5 2" xfId="23610"/>
    <cellStyle name="20% - Accent6 16 6" xfId="19526"/>
    <cellStyle name="20% - Accent6 17" xfId="2206"/>
    <cellStyle name="20% - Accent6 17 2" xfId="2207"/>
    <cellStyle name="20% - Accent6 17 2 2" xfId="10862"/>
    <cellStyle name="20% - Accent6 17 2 2 2" xfId="24804"/>
    <cellStyle name="20% - Accent6 17 2 3" xfId="19531"/>
    <cellStyle name="20% - Accent6 17 3" xfId="2208"/>
    <cellStyle name="20% - Accent6 17 3 2" xfId="11781"/>
    <cellStyle name="20% - Accent6 17 3 2 2" xfId="25496"/>
    <cellStyle name="20% - Accent6 17 3 3" xfId="19532"/>
    <cellStyle name="20% - Accent6 17 4" xfId="2209"/>
    <cellStyle name="20% - Accent6 17 4 2" xfId="14967"/>
    <cellStyle name="20% - Accent6 17 4 2 2" xfId="28516"/>
    <cellStyle name="20% - Accent6 17 4 3" xfId="19533"/>
    <cellStyle name="20% - Accent6 17 5" xfId="9136"/>
    <cellStyle name="20% - Accent6 17 5 2" xfId="23611"/>
    <cellStyle name="20% - Accent6 17 6" xfId="19530"/>
    <cellStyle name="20% - Accent6 18" xfId="2210"/>
    <cellStyle name="20% - Accent6 18 2" xfId="2211"/>
    <cellStyle name="20% - Accent6 18 2 2" xfId="10863"/>
    <cellStyle name="20% - Accent6 18 2 2 2" xfId="24805"/>
    <cellStyle name="20% - Accent6 18 2 3" xfId="19535"/>
    <cellStyle name="20% - Accent6 18 3" xfId="2212"/>
    <cellStyle name="20% - Accent6 18 3 2" xfId="12729"/>
    <cellStyle name="20% - Accent6 18 3 2 2" xfId="26441"/>
    <cellStyle name="20% - Accent6 18 3 3" xfId="19536"/>
    <cellStyle name="20% - Accent6 18 4" xfId="2213"/>
    <cellStyle name="20% - Accent6 18 4 2" xfId="14968"/>
    <cellStyle name="20% - Accent6 18 4 2 2" xfId="28517"/>
    <cellStyle name="20% - Accent6 18 4 3" xfId="19537"/>
    <cellStyle name="20% - Accent6 18 5" xfId="9137"/>
    <cellStyle name="20% - Accent6 18 5 2" xfId="23612"/>
    <cellStyle name="20% - Accent6 18 6" xfId="19534"/>
    <cellStyle name="20% - Accent6 19" xfId="2214"/>
    <cellStyle name="20% - Accent6 19 2" xfId="2215"/>
    <cellStyle name="20% - Accent6 19 2 2" xfId="11715"/>
    <cellStyle name="20% - Accent6 19 2 2 2" xfId="25435"/>
    <cellStyle name="20% - Accent6 19 2 3" xfId="19539"/>
    <cellStyle name="20% - Accent6 19 3" xfId="2216"/>
    <cellStyle name="20% - Accent6 19 3 2" xfId="12650"/>
    <cellStyle name="20% - Accent6 19 3 2 2" xfId="26362"/>
    <cellStyle name="20% - Accent6 19 3 3" xfId="19540"/>
    <cellStyle name="20% - Accent6 19 4" xfId="2217"/>
    <cellStyle name="20% - Accent6 19 4 2" xfId="14969"/>
    <cellStyle name="20% - Accent6 19 4 2 2" xfId="28518"/>
    <cellStyle name="20% - Accent6 19 4 3" xfId="19541"/>
    <cellStyle name="20% - Accent6 19 5" xfId="10467"/>
    <cellStyle name="20% - Accent6 19 5 2" xfId="24426"/>
    <cellStyle name="20% - Accent6 19 6" xfId="19538"/>
    <cellStyle name="20% - Accent6 2" xfId="2218"/>
    <cellStyle name="20% - Accent6 2 10" xfId="2219"/>
    <cellStyle name="20% - Accent6 2 10 2" xfId="2220"/>
    <cellStyle name="20% - Accent6 2 10 2 2" xfId="14971"/>
    <cellStyle name="20% - Accent6 2 10 2 2 2" xfId="28520"/>
    <cellStyle name="20% - Accent6 2 10 2 3" xfId="19544"/>
    <cellStyle name="20% - Accent6 2 10 3" xfId="11848"/>
    <cellStyle name="20% - Accent6 2 10 3 2" xfId="25563"/>
    <cellStyle name="20% - Accent6 2 10 4" xfId="19543"/>
    <cellStyle name="20% - Accent6 2 11" xfId="2221"/>
    <cellStyle name="20% - Accent6 2 11 2" xfId="11866"/>
    <cellStyle name="20% - Accent6 2 11 2 2" xfId="25581"/>
    <cellStyle name="20% - Accent6 2 11 3" xfId="19545"/>
    <cellStyle name="20% - Accent6 2 12" xfId="2222"/>
    <cellStyle name="20% - Accent6 2 12 2" xfId="13445"/>
    <cellStyle name="20% - Accent6 2 12 2 2" xfId="26994"/>
    <cellStyle name="20% - Accent6 2 12 3" xfId="19546"/>
    <cellStyle name="20% - Accent6 2 13" xfId="2223"/>
    <cellStyle name="20% - Accent6 2 13 2" xfId="14026"/>
    <cellStyle name="20% - Accent6 2 13 2 2" xfId="27575"/>
    <cellStyle name="20% - Accent6 2 13 3" xfId="19547"/>
    <cellStyle name="20% - Accent6 2 14" xfId="2224"/>
    <cellStyle name="20% - Accent6 2 14 2" xfId="14970"/>
    <cellStyle name="20% - Accent6 2 14 2 2" xfId="28519"/>
    <cellStyle name="20% - Accent6 2 14 3" xfId="19548"/>
    <cellStyle name="20% - Accent6 2 15" xfId="2225"/>
    <cellStyle name="20% - Accent6 2 15 2" xfId="15912"/>
    <cellStyle name="20% - Accent6 2 15 2 2" xfId="29319"/>
    <cellStyle name="20% - Accent6 2 15 3" xfId="19549"/>
    <cellStyle name="20% - Accent6 2 16" xfId="9138"/>
    <cellStyle name="20% - Accent6 2 16 2" xfId="23613"/>
    <cellStyle name="20% - Accent6 2 17" xfId="19542"/>
    <cellStyle name="20% - Accent6 2 18" xfId="33082"/>
    <cellStyle name="20% - Accent6 2 2" xfId="2226"/>
    <cellStyle name="20% - Accent6 2 2 10" xfId="2227"/>
    <cellStyle name="20% - Accent6 2 2 10 2" xfId="14972"/>
    <cellStyle name="20% - Accent6 2 2 10 2 2" xfId="28521"/>
    <cellStyle name="20% - Accent6 2 2 10 3" xfId="19551"/>
    <cellStyle name="20% - Accent6 2 2 11" xfId="2228"/>
    <cellStyle name="20% - Accent6 2 2 11 2" xfId="15958"/>
    <cellStyle name="20% - Accent6 2 2 11 2 2" xfId="29365"/>
    <cellStyle name="20% - Accent6 2 2 11 3" xfId="19552"/>
    <cellStyle name="20% - Accent6 2 2 12" xfId="9139"/>
    <cellStyle name="20% - Accent6 2 2 12 2" xfId="23614"/>
    <cellStyle name="20% - Accent6 2 2 13" xfId="19550"/>
    <cellStyle name="20% - Accent6 2 2 2" xfId="2229"/>
    <cellStyle name="20% - Accent6 2 2 2 10" xfId="2230"/>
    <cellStyle name="20% - Accent6 2 2 2 10 2" xfId="16101"/>
    <cellStyle name="20% - Accent6 2 2 2 10 2 2" xfId="29508"/>
    <cellStyle name="20% - Accent6 2 2 2 10 3" xfId="19554"/>
    <cellStyle name="20% - Accent6 2 2 2 11" xfId="9140"/>
    <cellStyle name="20% - Accent6 2 2 2 11 2" xfId="23615"/>
    <cellStyle name="20% - Accent6 2 2 2 12" xfId="19553"/>
    <cellStyle name="20% - Accent6 2 2 2 2" xfId="2231"/>
    <cellStyle name="20% - Accent6 2 2 2 2 10" xfId="9141"/>
    <cellStyle name="20% - Accent6 2 2 2 2 10 2" xfId="23616"/>
    <cellStyle name="20% - Accent6 2 2 2 2 11" xfId="19555"/>
    <cellStyle name="20% - Accent6 2 2 2 2 2" xfId="2232"/>
    <cellStyle name="20% - Accent6 2 2 2 2 2 2" xfId="2233"/>
    <cellStyle name="20% - Accent6 2 2 2 2 2 2 2" xfId="10868"/>
    <cellStyle name="20% - Accent6 2 2 2 2 2 2 2 2" xfId="24810"/>
    <cellStyle name="20% - Accent6 2 2 2 2 2 2 3" xfId="19557"/>
    <cellStyle name="20% - Accent6 2 2 2 2 2 3" xfId="2234"/>
    <cellStyle name="20% - Accent6 2 2 2 2 2 3 2" xfId="12674"/>
    <cellStyle name="20% - Accent6 2 2 2 2 2 3 2 2" xfId="26386"/>
    <cellStyle name="20% - Accent6 2 2 2 2 2 3 3" xfId="19558"/>
    <cellStyle name="20% - Accent6 2 2 2 2 2 4" xfId="2235"/>
    <cellStyle name="20% - Accent6 2 2 2 2 2 4 2" xfId="14975"/>
    <cellStyle name="20% - Accent6 2 2 2 2 2 4 2 2" xfId="28524"/>
    <cellStyle name="20% - Accent6 2 2 2 2 2 4 3" xfId="19559"/>
    <cellStyle name="20% - Accent6 2 2 2 2 2 5" xfId="2236"/>
    <cellStyle name="20% - Accent6 2 2 2 2 2 5 2" xfId="16971"/>
    <cellStyle name="20% - Accent6 2 2 2 2 2 5 2 2" xfId="30378"/>
    <cellStyle name="20% - Accent6 2 2 2 2 2 5 3" xfId="19560"/>
    <cellStyle name="20% - Accent6 2 2 2 2 2 6" xfId="9142"/>
    <cellStyle name="20% - Accent6 2 2 2 2 2 6 2" xfId="23617"/>
    <cellStyle name="20% - Accent6 2 2 2 2 2 7" xfId="19556"/>
    <cellStyle name="20% - Accent6 2 2 2 2 3" xfId="2237"/>
    <cellStyle name="20% - Accent6 2 2 2 2 3 2" xfId="2238"/>
    <cellStyle name="20% - Accent6 2 2 2 2 3 2 2" xfId="14976"/>
    <cellStyle name="20% - Accent6 2 2 2 2 3 2 2 2" xfId="28525"/>
    <cellStyle name="20% - Accent6 2 2 2 2 3 2 3" xfId="19562"/>
    <cellStyle name="20% - Accent6 2 2 2 2 3 3" xfId="10867"/>
    <cellStyle name="20% - Accent6 2 2 2 2 3 3 2" xfId="24809"/>
    <cellStyle name="20% - Accent6 2 2 2 2 3 4" xfId="19561"/>
    <cellStyle name="20% - Accent6 2 2 2 2 4" xfId="2239"/>
    <cellStyle name="20% - Accent6 2 2 2 2 4 2" xfId="12359"/>
    <cellStyle name="20% - Accent6 2 2 2 2 4 2 2" xfId="26071"/>
    <cellStyle name="20% - Accent6 2 2 2 2 4 3" xfId="19563"/>
    <cellStyle name="20% - Accent6 2 2 2 2 5" xfId="2240"/>
    <cellStyle name="20% - Accent6 2 2 2 2 5 2" xfId="11759"/>
    <cellStyle name="20% - Accent6 2 2 2 2 5 2 2" xfId="25474"/>
    <cellStyle name="20% - Accent6 2 2 2 2 5 3" xfId="19564"/>
    <cellStyle name="20% - Accent6 2 2 2 2 6" xfId="2241"/>
    <cellStyle name="20% - Accent6 2 2 2 2 6 2" xfId="13923"/>
    <cellStyle name="20% - Accent6 2 2 2 2 6 2 2" xfId="27472"/>
    <cellStyle name="20% - Accent6 2 2 2 2 6 3" xfId="19565"/>
    <cellStyle name="20% - Accent6 2 2 2 2 7" xfId="2242"/>
    <cellStyle name="20% - Accent6 2 2 2 2 7 2" xfId="14504"/>
    <cellStyle name="20% - Accent6 2 2 2 2 7 2 2" xfId="28053"/>
    <cellStyle name="20% - Accent6 2 2 2 2 7 3" xfId="19566"/>
    <cellStyle name="20% - Accent6 2 2 2 2 8" xfId="2243"/>
    <cellStyle name="20% - Accent6 2 2 2 2 8 2" xfId="14974"/>
    <cellStyle name="20% - Accent6 2 2 2 2 8 2 2" xfId="28523"/>
    <cellStyle name="20% - Accent6 2 2 2 2 8 3" xfId="19567"/>
    <cellStyle name="20% - Accent6 2 2 2 2 9" xfId="2244"/>
    <cellStyle name="20% - Accent6 2 2 2 2 9 2" xfId="16390"/>
    <cellStyle name="20% - Accent6 2 2 2 2 9 2 2" xfId="29797"/>
    <cellStyle name="20% - Accent6 2 2 2 2 9 3" xfId="19568"/>
    <cellStyle name="20% - Accent6 2 2 2 3" xfId="2245"/>
    <cellStyle name="20% - Accent6 2 2 2 3 2" xfId="2246"/>
    <cellStyle name="20% - Accent6 2 2 2 3 2 2" xfId="10869"/>
    <cellStyle name="20% - Accent6 2 2 2 3 2 2 2" xfId="24811"/>
    <cellStyle name="20% - Accent6 2 2 2 3 2 3" xfId="19570"/>
    <cellStyle name="20% - Accent6 2 2 2 3 3" xfId="2247"/>
    <cellStyle name="20% - Accent6 2 2 2 3 3 2" xfId="12448"/>
    <cellStyle name="20% - Accent6 2 2 2 3 3 2 2" xfId="26160"/>
    <cellStyle name="20% - Accent6 2 2 2 3 3 3" xfId="19571"/>
    <cellStyle name="20% - Accent6 2 2 2 3 4" xfId="2248"/>
    <cellStyle name="20% - Accent6 2 2 2 3 4 2" xfId="14977"/>
    <cellStyle name="20% - Accent6 2 2 2 3 4 2 2" xfId="28526"/>
    <cellStyle name="20% - Accent6 2 2 2 3 4 3" xfId="19572"/>
    <cellStyle name="20% - Accent6 2 2 2 3 5" xfId="2249"/>
    <cellStyle name="20% - Accent6 2 2 2 3 5 2" xfId="16682"/>
    <cellStyle name="20% - Accent6 2 2 2 3 5 2 2" xfId="30089"/>
    <cellStyle name="20% - Accent6 2 2 2 3 5 3" xfId="19573"/>
    <cellStyle name="20% - Accent6 2 2 2 3 6" xfId="9143"/>
    <cellStyle name="20% - Accent6 2 2 2 3 6 2" xfId="23618"/>
    <cellStyle name="20% - Accent6 2 2 2 3 7" xfId="19569"/>
    <cellStyle name="20% - Accent6 2 2 2 4" xfId="2250"/>
    <cellStyle name="20% - Accent6 2 2 2 4 2" xfId="2251"/>
    <cellStyle name="20% - Accent6 2 2 2 4 2 2" xfId="14978"/>
    <cellStyle name="20% - Accent6 2 2 2 4 2 2 2" xfId="28527"/>
    <cellStyle name="20% - Accent6 2 2 2 4 2 3" xfId="19575"/>
    <cellStyle name="20% - Accent6 2 2 2 4 3" xfId="10866"/>
    <cellStyle name="20% - Accent6 2 2 2 4 3 2" xfId="24808"/>
    <cellStyle name="20% - Accent6 2 2 2 4 4" xfId="19574"/>
    <cellStyle name="20% - Accent6 2 2 2 5" xfId="2252"/>
    <cellStyle name="20% - Accent6 2 2 2 5 2" xfId="12059"/>
    <cellStyle name="20% - Accent6 2 2 2 5 2 2" xfId="25774"/>
    <cellStyle name="20% - Accent6 2 2 2 5 3" xfId="19576"/>
    <cellStyle name="20% - Accent6 2 2 2 6" xfId="2253"/>
    <cellStyle name="20% - Accent6 2 2 2 6 2" xfId="12451"/>
    <cellStyle name="20% - Accent6 2 2 2 6 2 2" xfId="26163"/>
    <cellStyle name="20% - Accent6 2 2 2 6 3" xfId="19577"/>
    <cellStyle name="20% - Accent6 2 2 2 7" xfId="2254"/>
    <cellStyle name="20% - Accent6 2 2 2 7 2" xfId="13634"/>
    <cellStyle name="20% - Accent6 2 2 2 7 2 2" xfId="27183"/>
    <cellStyle name="20% - Accent6 2 2 2 7 3" xfId="19578"/>
    <cellStyle name="20% - Accent6 2 2 2 8" xfId="2255"/>
    <cellStyle name="20% - Accent6 2 2 2 8 2" xfId="14215"/>
    <cellStyle name="20% - Accent6 2 2 2 8 2 2" xfId="27764"/>
    <cellStyle name="20% - Accent6 2 2 2 8 3" xfId="19579"/>
    <cellStyle name="20% - Accent6 2 2 2 9" xfId="2256"/>
    <cellStyle name="20% - Accent6 2 2 2 9 2" xfId="14973"/>
    <cellStyle name="20% - Accent6 2 2 2 9 2 2" xfId="28522"/>
    <cellStyle name="20% - Accent6 2 2 2 9 3" xfId="19580"/>
    <cellStyle name="20% - Accent6 2 2 3" xfId="2257"/>
    <cellStyle name="20% - Accent6 2 2 3 10" xfId="9144"/>
    <cellStyle name="20% - Accent6 2 2 3 10 2" xfId="23619"/>
    <cellStyle name="20% - Accent6 2 2 3 11" xfId="19581"/>
    <cellStyle name="20% - Accent6 2 2 3 2" xfId="2258"/>
    <cellStyle name="20% - Accent6 2 2 3 2 2" xfId="2259"/>
    <cellStyle name="20% - Accent6 2 2 3 2 2 2" xfId="10871"/>
    <cellStyle name="20% - Accent6 2 2 3 2 2 2 2" xfId="24813"/>
    <cellStyle name="20% - Accent6 2 2 3 2 2 3" xfId="19583"/>
    <cellStyle name="20% - Accent6 2 2 3 2 3" xfId="2260"/>
    <cellStyle name="20% - Accent6 2 2 3 2 3 2" xfId="11957"/>
    <cellStyle name="20% - Accent6 2 2 3 2 3 2 2" xfId="25672"/>
    <cellStyle name="20% - Accent6 2 2 3 2 3 3" xfId="19584"/>
    <cellStyle name="20% - Accent6 2 2 3 2 4" xfId="2261"/>
    <cellStyle name="20% - Accent6 2 2 3 2 4 2" xfId="14980"/>
    <cellStyle name="20% - Accent6 2 2 3 2 4 2 2" xfId="28529"/>
    <cellStyle name="20% - Accent6 2 2 3 2 4 3" xfId="19585"/>
    <cellStyle name="20% - Accent6 2 2 3 2 5" xfId="2262"/>
    <cellStyle name="20% - Accent6 2 2 3 2 5 2" xfId="16828"/>
    <cellStyle name="20% - Accent6 2 2 3 2 5 2 2" xfId="30235"/>
    <cellStyle name="20% - Accent6 2 2 3 2 5 3" xfId="19586"/>
    <cellStyle name="20% - Accent6 2 2 3 2 6" xfId="9145"/>
    <cellStyle name="20% - Accent6 2 2 3 2 6 2" xfId="23620"/>
    <cellStyle name="20% - Accent6 2 2 3 2 7" xfId="19582"/>
    <cellStyle name="20% - Accent6 2 2 3 3" xfId="2263"/>
    <cellStyle name="20% - Accent6 2 2 3 3 2" xfId="2264"/>
    <cellStyle name="20% - Accent6 2 2 3 3 2 2" xfId="14981"/>
    <cellStyle name="20% - Accent6 2 2 3 3 2 2 2" xfId="28530"/>
    <cellStyle name="20% - Accent6 2 2 3 3 2 3" xfId="19588"/>
    <cellStyle name="20% - Accent6 2 2 3 3 3" xfId="10870"/>
    <cellStyle name="20% - Accent6 2 2 3 3 3 2" xfId="24812"/>
    <cellStyle name="20% - Accent6 2 2 3 3 4" xfId="19587"/>
    <cellStyle name="20% - Accent6 2 2 3 4" xfId="2265"/>
    <cellStyle name="20% - Accent6 2 2 3 4 2" xfId="12216"/>
    <cellStyle name="20% - Accent6 2 2 3 4 2 2" xfId="25928"/>
    <cellStyle name="20% - Accent6 2 2 3 4 3" xfId="19589"/>
    <cellStyle name="20% - Accent6 2 2 3 5" xfId="2266"/>
    <cellStyle name="20% - Accent6 2 2 3 5 2" xfId="12614"/>
    <cellStyle name="20% - Accent6 2 2 3 5 2 2" xfId="26326"/>
    <cellStyle name="20% - Accent6 2 2 3 5 3" xfId="19590"/>
    <cellStyle name="20% - Accent6 2 2 3 6" xfId="2267"/>
    <cellStyle name="20% - Accent6 2 2 3 6 2" xfId="13780"/>
    <cellStyle name="20% - Accent6 2 2 3 6 2 2" xfId="27329"/>
    <cellStyle name="20% - Accent6 2 2 3 6 3" xfId="19591"/>
    <cellStyle name="20% - Accent6 2 2 3 7" xfId="2268"/>
    <cellStyle name="20% - Accent6 2 2 3 7 2" xfId="14361"/>
    <cellStyle name="20% - Accent6 2 2 3 7 2 2" xfId="27910"/>
    <cellStyle name="20% - Accent6 2 2 3 7 3" xfId="19592"/>
    <cellStyle name="20% - Accent6 2 2 3 8" xfId="2269"/>
    <cellStyle name="20% - Accent6 2 2 3 8 2" xfId="14979"/>
    <cellStyle name="20% - Accent6 2 2 3 8 2 2" xfId="28528"/>
    <cellStyle name="20% - Accent6 2 2 3 8 3" xfId="19593"/>
    <cellStyle name="20% - Accent6 2 2 3 9" xfId="2270"/>
    <cellStyle name="20% - Accent6 2 2 3 9 2" xfId="16247"/>
    <cellStyle name="20% - Accent6 2 2 3 9 2 2" xfId="29654"/>
    <cellStyle name="20% - Accent6 2 2 3 9 3" xfId="19594"/>
    <cellStyle name="20% - Accent6 2 2 4" xfId="2271"/>
    <cellStyle name="20% - Accent6 2 2 4 2" xfId="2272"/>
    <cellStyle name="20% - Accent6 2 2 4 2 2" xfId="10872"/>
    <cellStyle name="20% - Accent6 2 2 4 2 2 2" xfId="24814"/>
    <cellStyle name="20% - Accent6 2 2 4 2 3" xfId="19596"/>
    <cellStyle name="20% - Accent6 2 2 4 3" xfId="2273"/>
    <cellStyle name="20% - Accent6 2 2 4 3 2" xfId="12551"/>
    <cellStyle name="20% - Accent6 2 2 4 3 2 2" xfId="26263"/>
    <cellStyle name="20% - Accent6 2 2 4 3 3" xfId="19597"/>
    <cellStyle name="20% - Accent6 2 2 4 4" xfId="2274"/>
    <cellStyle name="20% - Accent6 2 2 4 4 2" xfId="14982"/>
    <cellStyle name="20% - Accent6 2 2 4 4 2 2" xfId="28531"/>
    <cellStyle name="20% - Accent6 2 2 4 4 3" xfId="19598"/>
    <cellStyle name="20% - Accent6 2 2 4 5" xfId="2275"/>
    <cellStyle name="20% - Accent6 2 2 4 5 2" xfId="17175"/>
    <cellStyle name="20% - Accent6 2 2 4 5 2 2" xfId="30534"/>
    <cellStyle name="20% - Accent6 2 2 4 5 3" xfId="19599"/>
    <cellStyle name="20% - Accent6 2 2 4 6" xfId="9146"/>
    <cellStyle name="20% - Accent6 2 2 4 6 2" xfId="23621"/>
    <cellStyle name="20% - Accent6 2 2 4 7" xfId="19595"/>
    <cellStyle name="20% - Accent6 2 2 5" xfId="2276"/>
    <cellStyle name="20% - Accent6 2 2 5 2" xfId="2277"/>
    <cellStyle name="20% - Accent6 2 2 5 2 2" xfId="14983"/>
    <cellStyle name="20% - Accent6 2 2 5 2 2 2" xfId="28532"/>
    <cellStyle name="20% - Accent6 2 2 5 2 3" xfId="19601"/>
    <cellStyle name="20% - Accent6 2 2 5 3" xfId="2278"/>
    <cellStyle name="20% - Accent6 2 2 5 3 2" xfId="17264"/>
    <cellStyle name="20% - Accent6 2 2 5 3 2 2" xfId="30623"/>
    <cellStyle name="20% - Accent6 2 2 5 3 3" xfId="19602"/>
    <cellStyle name="20% - Accent6 2 2 5 4" xfId="10865"/>
    <cellStyle name="20% - Accent6 2 2 5 4 2" xfId="24807"/>
    <cellStyle name="20% - Accent6 2 2 5 5" xfId="19600"/>
    <cellStyle name="20% - Accent6 2 2 6" xfId="2279"/>
    <cellStyle name="20% - Accent6 2 2 6 2" xfId="2280"/>
    <cellStyle name="20% - Accent6 2 2 6 2 2" xfId="16539"/>
    <cellStyle name="20% - Accent6 2 2 6 2 2 2" xfId="29946"/>
    <cellStyle name="20% - Accent6 2 2 6 2 3" xfId="19604"/>
    <cellStyle name="20% - Accent6 2 2 6 3" xfId="11914"/>
    <cellStyle name="20% - Accent6 2 2 6 3 2" xfId="25629"/>
    <cellStyle name="20% - Accent6 2 2 6 4" xfId="19603"/>
    <cellStyle name="20% - Accent6 2 2 7" xfId="2281"/>
    <cellStyle name="20% - Accent6 2 2 7 2" xfId="12810"/>
    <cellStyle name="20% - Accent6 2 2 7 2 2" xfId="26522"/>
    <cellStyle name="20% - Accent6 2 2 7 3" xfId="19605"/>
    <cellStyle name="20% - Accent6 2 2 8" xfId="2282"/>
    <cellStyle name="20% - Accent6 2 2 8 2" xfId="13491"/>
    <cellStyle name="20% - Accent6 2 2 8 2 2" xfId="27040"/>
    <cellStyle name="20% - Accent6 2 2 8 3" xfId="19606"/>
    <cellStyle name="20% - Accent6 2 2 9" xfId="2283"/>
    <cellStyle name="20% - Accent6 2 2 9 2" xfId="14072"/>
    <cellStyle name="20% - Accent6 2 2 9 2 2" xfId="27621"/>
    <cellStyle name="20% - Accent6 2 2 9 3" xfId="19607"/>
    <cellStyle name="20% - Accent6 2 3" xfId="2284"/>
    <cellStyle name="20% - Accent6 2 3 10" xfId="2285"/>
    <cellStyle name="20% - Accent6 2 3 10 2" xfId="16055"/>
    <cellStyle name="20% - Accent6 2 3 10 2 2" xfId="29462"/>
    <cellStyle name="20% - Accent6 2 3 10 3" xfId="19609"/>
    <cellStyle name="20% - Accent6 2 3 11" xfId="9147"/>
    <cellStyle name="20% - Accent6 2 3 11 2" xfId="23622"/>
    <cellStyle name="20% - Accent6 2 3 12" xfId="19608"/>
    <cellStyle name="20% - Accent6 2 3 2" xfId="2286"/>
    <cellStyle name="20% - Accent6 2 3 2 10" xfId="9148"/>
    <cellStyle name="20% - Accent6 2 3 2 10 2" xfId="23623"/>
    <cellStyle name="20% - Accent6 2 3 2 11" xfId="19610"/>
    <cellStyle name="20% - Accent6 2 3 2 2" xfId="2287"/>
    <cellStyle name="20% - Accent6 2 3 2 2 2" xfId="2288"/>
    <cellStyle name="20% - Accent6 2 3 2 2 2 2" xfId="10875"/>
    <cellStyle name="20% - Accent6 2 3 2 2 2 2 2" xfId="24817"/>
    <cellStyle name="20% - Accent6 2 3 2 2 2 3" xfId="19612"/>
    <cellStyle name="20% - Accent6 2 3 2 2 3" xfId="2289"/>
    <cellStyle name="20% - Accent6 2 3 2 2 3 2" xfId="12768"/>
    <cellStyle name="20% - Accent6 2 3 2 2 3 2 2" xfId="26480"/>
    <cellStyle name="20% - Accent6 2 3 2 2 3 3" xfId="19613"/>
    <cellStyle name="20% - Accent6 2 3 2 2 4" xfId="2290"/>
    <cellStyle name="20% - Accent6 2 3 2 2 4 2" xfId="14986"/>
    <cellStyle name="20% - Accent6 2 3 2 2 4 2 2" xfId="28535"/>
    <cellStyle name="20% - Accent6 2 3 2 2 4 3" xfId="19614"/>
    <cellStyle name="20% - Accent6 2 3 2 2 5" xfId="2291"/>
    <cellStyle name="20% - Accent6 2 3 2 2 5 2" xfId="16925"/>
    <cellStyle name="20% - Accent6 2 3 2 2 5 2 2" xfId="30332"/>
    <cellStyle name="20% - Accent6 2 3 2 2 5 3" xfId="19615"/>
    <cellStyle name="20% - Accent6 2 3 2 2 6" xfId="9149"/>
    <cellStyle name="20% - Accent6 2 3 2 2 6 2" xfId="23624"/>
    <cellStyle name="20% - Accent6 2 3 2 2 7" xfId="19611"/>
    <cellStyle name="20% - Accent6 2 3 2 3" xfId="2292"/>
    <cellStyle name="20% - Accent6 2 3 2 3 2" xfId="2293"/>
    <cellStyle name="20% - Accent6 2 3 2 3 2 2" xfId="14987"/>
    <cellStyle name="20% - Accent6 2 3 2 3 2 2 2" xfId="28536"/>
    <cellStyle name="20% - Accent6 2 3 2 3 2 3" xfId="19617"/>
    <cellStyle name="20% - Accent6 2 3 2 3 3" xfId="10874"/>
    <cellStyle name="20% - Accent6 2 3 2 3 3 2" xfId="24816"/>
    <cellStyle name="20% - Accent6 2 3 2 3 4" xfId="19616"/>
    <cellStyle name="20% - Accent6 2 3 2 4" xfId="2294"/>
    <cellStyle name="20% - Accent6 2 3 2 4 2" xfId="12313"/>
    <cellStyle name="20% - Accent6 2 3 2 4 2 2" xfId="26025"/>
    <cellStyle name="20% - Accent6 2 3 2 4 3" xfId="19618"/>
    <cellStyle name="20% - Accent6 2 3 2 5" xfId="2295"/>
    <cellStyle name="20% - Accent6 2 3 2 5 2" xfId="12767"/>
    <cellStyle name="20% - Accent6 2 3 2 5 2 2" xfId="26479"/>
    <cellStyle name="20% - Accent6 2 3 2 5 3" xfId="19619"/>
    <cellStyle name="20% - Accent6 2 3 2 6" xfId="2296"/>
    <cellStyle name="20% - Accent6 2 3 2 6 2" xfId="13877"/>
    <cellStyle name="20% - Accent6 2 3 2 6 2 2" xfId="27426"/>
    <cellStyle name="20% - Accent6 2 3 2 6 3" xfId="19620"/>
    <cellStyle name="20% - Accent6 2 3 2 7" xfId="2297"/>
    <cellStyle name="20% - Accent6 2 3 2 7 2" xfId="14458"/>
    <cellStyle name="20% - Accent6 2 3 2 7 2 2" xfId="28007"/>
    <cellStyle name="20% - Accent6 2 3 2 7 3" xfId="19621"/>
    <cellStyle name="20% - Accent6 2 3 2 8" xfId="2298"/>
    <cellStyle name="20% - Accent6 2 3 2 8 2" xfId="14985"/>
    <cellStyle name="20% - Accent6 2 3 2 8 2 2" xfId="28534"/>
    <cellStyle name="20% - Accent6 2 3 2 8 3" xfId="19622"/>
    <cellStyle name="20% - Accent6 2 3 2 9" xfId="2299"/>
    <cellStyle name="20% - Accent6 2 3 2 9 2" xfId="16344"/>
    <cellStyle name="20% - Accent6 2 3 2 9 2 2" xfId="29751"/>
    <cellStyle name="20% - Accent6 2 3 2 9 3" xfId="19623"/>
    <cellStyle name="20% - Accent6 2 3 3" xfId="2300"/>
    <cellStyle name="20% - Accent6 2 3 3 2" xfId="2301"/>
    <cellStyle name="20% - Accent6 2 3 3 2 2" xfId="10876"/>
    <cellStyle name="20% - Accent6 2 3 3 2 2 2" xfId="24818"/>
    <cellStyle name="20% - Accent6 2 3 3 2 3" xfId="19625"/>
    <cellStyle name="20% - Accent6 2 3 3 3" xfId="2302"/>
    <cellStyle name="20% - Accent6 2 3 3 3 2" xfId="12455"/>
    <cellStyle name="20% - Accent6 2 3 3 3 2 2" xfId="26167"/>
    <cellStyle name="20% - Accent6 2 3 3 3 3" xfId="19626"/>
    <cellStyle name="20% - Accent6 2 3 3 4" xfId="2303"/>
    <cellStyle name="20% - Accent6 2 3 3 4 2" xfId="14988"/>
    <cellStyle name="20% - Accent6 2 3 3 4 2 2" xfId="28537"/>
    <cellStyle name="20% - Accent6 2 3 3 4 3" xfId="19627"/>
    <cellStyle name="20% - Accent6 2 3 3 5" xfId="2304"/>
    <cellStyle name="20% - Accent6 2 3 3 5 2" xfId="16636"/>
    <cellStyle name="20% - Accent6 2 3 3 5 2 2" xfId="30043"/>
    <cellStyle name="20% - Accent6 2 3 3 5 3" xfId="19628"/>
    <cellStyle name="20% - Accent6 2 3 3 6" xfId="9150"/>
    <cellStyle name="20% - Accent6 2 3 3 6 2" xfId="23625"/>
    <cellStyle name="20% - Accent6 2 3 3 7" xfId="19624"/>
    <cellStyle name="20% - Accent6 2 3 4" xfId="2305"/>
    <cellStyle name="20% - Accent6 2 3 4 2" xfId="2306"/>
    <cellStyle name="20% - Accent6 2 3 4 2 2" xfId="14989"/>
    <cellStyle name="20% - Accent6 2 3 4 2 2 2" xfId="28538"/>
    <cellStyle name="20% - Accent6 2 3 4 2 3" xfId="19630"/>
    <cellStyle name="20% - Accent6 2 3 4 3" xfId="10873"/>
    <cellStyle name="20% - Accent6 2 3 4 3 2" xfId="24815"/>
    <cellStyle name="20% - Accent6 2 3 4 4" xfId="19629"/>
    <cellStyle name="20% - Accent6 2 3 5" xfId="2307"/>
    <cellStyle name="20% - Accent6 2 3 5 2" xfId="12013"/>
    <cellStyle name="20% - Accent6 2 3 5 2 2" xfId="25728"/>
    <cellStyle name="20% - Accent6 2 3 5 3" xfId="19631"/>
    <cellStyle name="20% - Accent6 2 3 6" xfId="2308"/>
    <cellStyle name="20% - Accent6 2 3 6 2" xfId="11774"/>
    <cellStyle name="20% - Accent6 2 3 6 2 2" xfId="25489"/>
    <cellStyle name="20% - Accent6 2 3 6 3" xfId="19632"/>
    <cellStyle name="20% - Accent6 2 3 7" xfId="2309"/>
    <cellStyle name="20% - Accent6 2 3 7 2" xfId="13588"/>
    <cellStyle name="20% - Accent6 2 3 7 2 2" xfId="27137"/>
    <cellStyle name="20% - Accent6 2 3 7 3" xfId="19633"/>
    <cellStyle name="20% - Accent6 2 3 8" xfId="2310"/>
    <cellStyle name="20% - Accent6 2 3 8 2" xfId="14169"/>
    <cellStyle name="20% - Accent6 2 3 8 2 2" xfId="27718"/>
    <cellStyle name="20% - Accent6 2 3 8 3" xfId="19634"/>
    <cellStyle name="20% - Accent6 2 3 9" xfId="2311"/>
    <cellStyle name="20% - Accent6 2 3 9 2" xfId="14984"/>
    <cellStyle name="20% - Accent6 2 3 9 2 2" xfId="28533"/>
    <cellStyle name="20% - Accent6 2 3 9 3" xfId="19635"/>
    <cellStyle name="20% - Accent6 2 4" xfId="2312"/>
    <cellStyle name="20% - Accent6 2 4 10" xfId="9151"/>
    <cellStyle name="20% - Accent6 2 4 10 2" xfId="23626"/>
    <cellStyle name="20% - Accent6 2 4 11" xfId="19636"/>
    <cellStyle name="20% - Accent6 2 4 2" xfId="2313"/>
    <cellStyle name="20% - Accent6 2 4 2 2" xfId="2314"/>
    <cellStyle name="20% - Accent6 2 4 2 2 2" xfId="10878"/>
    <cellStyle name="20% - Accent6 2 4 2 2 2 2" xfId="24820"/>
    <cellStyle name="20% - Accent6 2 4 2 2 3" xfId="19638"/>
    <cellStyle name="20% - Accent6 2 4 2 3" xfId="2315"/>
    <cellStyle name="20% - Accent6 2 4 2 3 2" xfId="12581"/>
    <cellStyle name="20% - Accent6 2 4 2 3 2 2" xfId="26293"/>
    <cellStyle name="20% - Accent6 2 4 2 3 3" xfId="19639"/>
    <cellStyle name="20% - Accent6 2 4 2 4" xfId="2316"/>
    <cellStyle name="20% - Accent6 2 4 2 4 2" xfId="14991"/>
    <cellStyle name="20% - Accent6 2 4 2 4 2 2" xfId="28540"/>
    <cellStyle name="20% - Accent6 2 4 2 4 3" xfId="19640"/>
    <cellStyle name="20% - Accent6 2 4 2 5" xfId="2317"/>
    <cellStyle name="20% - Accent6 2 4 2 5 2" xfId="16782"/>
    <cellStyle name="20% - Accent6 2 4 2 5 2 2" xfId="30189"/>
    <cellStyle name="20% - Accent6 2 4 2 5 3" xfId="19641"/>
    <cellStyle name="20% - Accent6 2 4 2 6" xfId="9152"/>
    <cellStyle name="20% - Accent6 2 4 2 6 2" xfId="23627"/>
    <cellStyle name="20% - Accent6 2 4 2 7" xfId="19637"/>
    <cellStyle name="20% - Accent6 2 4 3" xfId="2318"/>
    <cellStyle name="20% - Accent6 2 4 3 2" xfId="2319"/>
    <cellStyle name="20% - Accent6 2 4 3 2 2" xfId="14992"/>
    <cellStyle name="20% - Accent6 2 4 3 2 2 2" xfId="28541"/>
    <cellStyle name="20% - Accent6 2 4 3 2 3" xfId="19643"/>
    <cellStyle name="20% - Accent6 2 4 3 3" xfId="10877"/>
    <cellStyle name="20% - Accent6 2 4 3 3 2" xfId="24819"/>
    <cellStyle name="20% - Accent6 2 4 3 4" xfId="19642"/>
    <cellStyle name="20% - Accent6 2 4 4" xfId="2320"/>
    <cellStyle name="20% - Accent6 2 4 4 2" xfId="12170"/>
    <cellStyle name="20% - Accent6 2 4 4 2 2" xfId="25882"/>
    <cellStyle name="20% - Accent6 2 4 4 3" xfId="19644"/>
    <cellStyle name="20% - Accent6 2 4 5" xfId="2321"/>
    <cellStyle name="20% - Accent6 2 4 5 2" xfId="11768"/>
    <cellStyle name="20% - Accent6 2 4 5 2 2" xfId="25483"/>
    <cellStyle name="20% - Accent6 2 4 5 3" xfId="19645"/>
    <cellStyle name="20% - Accent6 2 4 6" xfId="2322"/>
    <cellStyle name="20% - Accent6 2 4 6 2" xfId="13734"/>
    <cellStyle name="20% - Accent6 2 4 6 2 2" xfId="27283"/>
    <cellStyle name="20% - Accent6 2 4 6 3" xfId="19646"/>
    <cellStyle name="20% - Accent6 2 4 7" xfId="2323"/>
    <cellStyle name="20% - Accent6 2 4 7 2" xfId="14315"/>
    <cellStyle name="20% - Accent6 2 4 7 2 2" xfId="27864"/>
    <cellStyle name="20% - Accent6 2 4 7 3" xfId="19647"/>
    <cellStyle name="20% - Accent6 2 4 8" xfId="2324"/>
    <cellStyle name="20% - Accent6 2 4 8 2" xfId="14990"/>
    <cellStyle name="20% - Accent6 2 4 8 2 2" xfId="28539"/>
    <cellStyle name="20% - Accent6 2 4 8 3" xfId="19648"/>
    <cellStyle name="20% - Accent6 2 4 9" xfId="2325"/>
    <cellStyle name="20% - Accent6 2 4 9 2" xfId="16201"/>
    <cellStyle name="20% - Accent6 2 4 9 2 2" xfId="29608"/>
    <cellStyle name="20% - Accent6 2 4 9 3" xfId="19649"/>
    <cellStyle name="20% - Accent6 2 5" xfId="2326"/>
    <cellStyle name="20% - Accent6 2 5 2" xfId="2327"/>
    <cellStyle name="20% - Accent6 2 5 2 2" xfId="2328"/>
    <cellStyle name="20% - Accent6 2 5 2 2 2" xfId="10880"/>
    <cellStyle name="20% - Accent6 2 5 2 2 2 2" xfId="24822"/>
    <cellStyle name="20% - Accent6 2 5 2 2 3" xfId="19652"/>
    <cellStyle name="20% - Accent6 2 5 2 3" xfId="2329"/>
    <cellStyle name="20% - Accent6 2 5 2 3 2" xfId="12518"/>
    <cellStyle name="20% - Accent6 2 5 2 3 2 2" xfId="26230"/>
    <cellStyle name="20% - Accent6 2 5 2 3 3" xfId="19653"/>
    <cellStyle name="20% - Accent6 2 5 2 4" xfId="2330"/>
    <cellStyle name="20% - Accent6 2 5 2 4 2" xfId="14994"/>
    <cellStyle name="20% - Accent6 2 5 2 4 2 2" xfId="28543"/>
    <cellStyle name="20% - Accent6 2 5 2 4 3" xfId="19654"/>
    <cellStyle name="20% - Accent6 2 5 2 5" xfId="9154"/>
    <cellStyle name="20% - Accent6 2 5 2 5 2" xfId="23629"/>
    <cellStyle name="20% - Accent6 2 5 2 6" xfId="19651"/>
    <cellStyle name="20% - Accent6 2 5 3" xfId="2331"/>
    <cellStyle name="20% - Accent6 2 5 3 2" xfId="10879"/>
    <cellStyle name="20% - Accent6 2 5 3 2 2" xfId="24821"/>
    <cellStyle name="20% - Accent6 2 5 3 3" xfId="19655"/>
    <cellStyle name="20% - Accent6 2 5 4" xfId="2332"/>
    <cellStyle name="20% - Accent6 2 5 4 2" xfId="12576"/>
    <cellStyle name="20% - Accent6 2 5 4 2 2" xfId="26288"/>
    <cellStyle name="20% - Accent6 2 5 4 3" xfId="19656"/>
    <cellStyle name="20% - Accent6 2 5 5" xfId="2333"/>
    <cellStyle name="20% - Accent6 2 5 5 2" xfId="14993"/>
    <cellStyle name="20% - Accent6 2 5 5 2 2" xfId="28542"/>
    <cellStyle name="20% - Accent6 2 5 5 3" xfId="19657"/>
    <cellStyle name="20% - Accent6 2 5 6" xfId="2334"/>
    <cellStyle name="20% - Accent6 2 5 6 2" xfId="17012"/>
    <cellStyle name="20% - Accent6 2 5 6 2 2" xfId="30419"/>
    <cellStyle name="20% - Accent6 2 5 6 3" xfId="19658"/>
    <cellStyle name="20% - Accent6 2 5 7" xfId="9153"/>
    <cellStyle name="20% - Accent6 2 5 7 2" xfId="23628"/>
    <cellStyle name="20% - Accent6 2 5 8" xfId="19650"/>
    <cellStyle name="20% - Accent6 2 6" xfId="2335"/>
    <cellStyle name="20% - Accent6 2 6 2" xfId="2336"/>
    <cellStyle name="20% - Accent6 2 6 2 2" xfId="10881"/>
    <cellStyle name="20% - Accent6 2 6 2 2 2" xfId="24823"/>
    <cellStyle name="20% - Accent6 2 6 2 3" xfId="19660"/>
    <cellStyle name="20% - Accent6 2 6 3" xfId="2337"/>
    <cellStyle name="20% - Accent6 2 6 3 2" xfId="12610"/>
    <cellStyle name="20% - Accent6 2 6 3 2 2" xfId="26322"/>
    <cellStyle name="20% - Accent6 2 6 3 3" xfId="19661"/>
    <cellStyle name="20% - Accent6 2 6 4" xfId="2338"/>
    <cellStyle name="20% - Accent6 2 6 4 2" xfId="14995"/>
    <cellStyle name="20% - Accent6 2 6 4 2 2" xfId="28544"/>
    <cellStyle name="20% - Accent6 2 6 4 3" xfId="19662"/>
    <cellStyle name="20% - Accent6 2 6 5" xfId="2339"/>
    <cellStyle name="20% - Accent6 2 6 5 2" xfId="17129"/>
    <cellStyle name="20% - Accent6 2 6 5 2 2" xfId="30488"/>
    <cellStyle name="20% - Accent6 2 6 5 3" xfId="19663"/>
    <cellStyle name="20% - Accent6 2 6 6" xfId="9155"/>
    <cellStyle name="20% - Accent6 2 6 6 2" xfId="23630"/>
    <cellStyle name="20% - Accent6 2 6 7" xfId="19659"/>
    <cellStyle name="20% - Accent6 2 7" xfId="2340"/>
    <cellStyle name="20% - Accent6 2 7 2" xfId="2341"/>
    <cellStyle name="20% - Accent6 2 7 2 2" xfId="10882"/>
    <cellStyle name="20% - Accent6 2 7 2 2 2" xfId="24824"/>
    <cellStyle name="20% - Accent6 2 7 2 3" xfId="19665"/>
    <cellStyle name="20% - Accent6 2 7 3" xfId="2342"/>
    <cellStyle name="20% - Accent6 2 7 3 2" xfId="12651"/>
    <cellStyle name="20% - Accent6 2 7 3 2 2" xfId="26363"/>
    <cellStyle name="20% - Accent6 2 7 3 3" xfId="19666"/>
    <cellStyle name="20% - Accent6 2 7 4" xfId="2343"/>
    <cellStyle name="20% - Accent6 2 7 4 2" xfId="14996"/>
    <cellStyle name="20% - Accent6 2 7 4 2 2" xfId="28545"/>
    <cellStyle name="20% - Accent6 2 7 4 3" xfId="19667"/>
    <cellStyle name="20% - Accent6 2 7 5" xfId="2344"/>
    <cellStyle name="20% - Accent6 2 7 5 2" xfId="17218"/>
    <cellStyle name="20% - Accent6 2 7 5 2 2" xfId="30577"/>
    <cellStyle name="20% - Accent6 2 7 5 3" xfId="19668"/>
    <cellStyle name="20% - Accent6 2 7 6" xfId="9156"/>
    <cellStyle name="20% - Accent6 2 7 6 2" xfId="23631"/>
    <cellStyle name="20% - Accent6 2 7 7" xfId="19664"/>
    <cellStyle name="20% - Accent6 2 8" xfId="2345"/>
    <cellStyle name="20% - Accent6 2 8 2" xfId="2346"/>
    <cellStyle name="20% - Accent6 2 8 2 2" xfId="12438"/>
    <cellStyle name="20% - Accent6 2 8 2 2 2" xfId="26150"/>
    <cellStyle name="20% - Accent6 2 8 2 3" xfId="19670"/>
    <cellStyle name="20% - Accent6 2 8 3" xfId="2347"/>
    <cellStyle name="20% - Accent6 2 8 3 2" xfId="14997"/>
    <cellStyle name="20% - Accent6 2 8 3 2 2" xfId="28546"/>
    <cellStyle name="20% - Accent6 2 8 3 3" xfId="19671"/>
    <cellStyle name="20% - Accent6 2 8 4" xfId="2348"/>
    <cellStyle name="20% - Accent6 2 8 4 2" xfId="16493"/>
    <cellStyle name="20% - Accent6 2 8 4 2 2" xfId="29900"/>
    <cellStyle name="20% - Accent6 2 8 4 3" xfId="19672"/>
    <cellStyle name="20% - Accent6 2 8 5" xfId="10533"/>
    <cellStyle name="20% - Accent6 2 8 5 2" xfId="24475"/>
    <cellStyle name="20% - Accent6 2 8 6" xfId="19669"/>
    <cellStyle name="20% - Accent6 2 9" xfId="2349"/>
    <cellStyle name="20% - Accent6 2 9 2" xfId="2350"/>
    <cellStyle name="20% - Accent6 2 9 2 2" xfId="12658"/>
    <cellStyle name="20% - Accent6 2 9 2 2 2" xfId="26370"/>
    <cellStyle name="20% - Accent6 2 9 2 3" xfId="19674"/>
    <cellStyle name="20% - Accent6 2 9 3" xfId="2351"/>
    <cellStyle name="20% - Accent6 2 9 3 2" xfId="14998"/>
    <cellStyle name="20% - Accent6 2 9 3 2 2" xfId="28547"/>
    <cellStyle name="20% - Accent6 2 9 3 3" xfId="19675"/>
    <cellStyle name="20% - Accent6 2 9 4" xfId="10864"/>
    <cellStyle name="20% - Accent6 2 9 4 2" xfId="24806"/>
    <cellStyle name="20% - Accent6 2 9 5" xfId="19673"/>
    <cellStyle name="20% - Accent6 20" xfId="2352"/>
    <cellStyle name="20% - Accent6 20 2" xfId="2353"/>
    <cellStyle name="20% - Accent6 20 2 2" xfId="12426"/>
    <cellStyle name="20% - Accent6 20 2 2 2" xfId="26138"/>
    <cellStyle name="20% - Accent6 20 2 3" xfId="19677"/>
    <cellStyle name="20% - Accent6 20 3" xfId="2354"/>
    <cellStyle name="20% - Accent6 20 3 2" xfId="14999"/>
    <cellStyle name="20% - Accent6 20 3 2 2" xfId="28548"/>
    <cellStyle name="20% - Accent6 20 3 3" xfId="19678"/>
    <cellStyle name="20% - Accent6 20 4" xfId="10508"/>
    <cellStyle name="20% - Accent6 20 4 2" xfId="24456"/>
    <cellStyle name="20% - Accent6 20 5" xfId="19676"/>
    <cellStyle name="20% - Accent6 21" xfId="2355"/>
    <cellStyle name="20% - Accent6 21 2" xfId="2356"/>
    <cellStyle name="20% - Accent6 21 2 2" xfId="12745"/>
    <cellStyle name="20% - Accent6 21 2 2 2" xfId="26457"/>
    <cellStyle name="20% - Accent6 21 2 3" xfId="19680"/>
    <cellStyle name="20% - Accent6 21 3" xfId="2357"/>
    <cellStyle name="20% - Accent6 21 3 2" xfId="15000"/>
    <cellStyle name="20% - Accent6 21 3 2 2" xfId="28549"/>
    <cellStyle name="20% - Accent6 21 3 3" xfId="19681"/>
    <cellStyle name="20% - Accent6 21 4" xfId="10853"/>
    <cellStyle name="20% - Accent6 21 4 2" xfId="24795"/>
    <cellStyle name="20% - Accent6 21 5" xfId="19679"/>
    <cellStyle name="20% - Accent6 22" xfId="2358"/>
    <cellStyle name="20% - Accent6 22 2" xfId="11744"/>
    <cellStyle name="20% - Accent6 22 2 2" xfId="25459"/>
    <cellStyle name="20% - Accent6 22 3" xfId="19682"/>
    <cellStyle name="20% - Accent6 23" xfId="2359"/>
    <cellStyle name="20% - Accent6 23 2" xfId="12476"/>
    <cellStyle name="20% - Accent6 23 2 2" xfId="26188"/>
    <cellStyle name="20% - Accent6 23 3" xfId="19683"/>
    <cellStyle name="20% - Accent6 24" xfId="2360"/>
    <cellStyle name="20% - Accent6 24 2" xfId="13383"/>
    <cellStyle name="20% - Accent6 24 2 2" xfId="26932"/>
    <cellStyle name="20% - Accent6 24 3" xfId="19684"/>
    <cellStyle name="20% - Accent6 25" xfId="2361"/>
    <cellStyle name="20% - Accent6 25 2" xfId="13964"/>
    <cellStyle name="20% - Accent6 25 2 2" xfId="27513"/>
    <cellStyle name="20% - Accent6 25 3" xfId="19685"/>
    <cellStyle name="20% - Accent6 26" xfId="2362"/>
    <cellStyle name="20% - Accent6 26 2" xfId="14957"/>
    <cellStyle name="20% - Accent6 26 2 2" xfId="28506"/>
    <cellStyle name="20% - Accent6 26 3" xfId="19686"/>
    <cellStyle name="20% - Accent6 27" xfId="2363"/>
    <cellStyle name="20% - Accent6 27 2" xfId="15841"/>
    <cellStyle name="20% - Accent6 27 2 2" xfId="29248"/>
    <cellStyle name="20% - Accent6 27 3" xfId="19687"/>
    <cellStyle name="20% - Accent6 28" xfId="2364"/>
    <cellStyle name="20% - Accent6 28 2" xfId="15850"/>
    <cellStyle name="20% - Accent6 28 2 2" xfId="29257"/>
    <cellStyle name="20% - Accent6 28 3" xfId="19688"/>
    <cellStyle name="20% - Accent6 29" xfId="2365"/>
    <cellStyle name="20% - Accent6 29 2" xfId="9127"/>
    <cellStyle name="20% - Accent6 29 2 2" xfId="23602"/>
    <cellStyle name="20% - Accent6 29 3" xfId="19689"/>
    <cellStyle name="20% - Accent6 3" xfId="2366"/>
    <cellStyle name="20% - Accent6 3 10" xfId="2367"/>
    <cellStyle name="20% - Accent6 3 10 2" xfId="14049"/>
    <cellStyle name="20% - Accent6 3 10 2 2" xfId="27598"/>
    <cellStyle name="20% - Accent6 3 10 3" xfId="19691"/>
    <cellStyle name="20% - Accent6 3 11" xfId="2368"/>
    <cellStyle name="20% - Accent6 3 11 2" xfId="15001"/>
    <cellStyle name="20% - Accent6 3 11 2 2" xfId="28550"/>
    <cellStyle name="20% - Accent6 3 11 3" xfId="19692"/>
    <cellStyle name="20% - Accent6 3 12" xfId="2369"/>
    <cellStyle name="20% - Accent6 3 12 2" xfId="15935"/>
    <cellStyle name="20% - Accent6 3 12 2 2" xfId="29342"/>
    <cellStyle name="20% - Accent6 3 12 3" xfId="19693"/>
    <cellStyle name="20% - Accent6 3 13" xfId="9157"/>
    <cellStyle name="20% - Accent6 3 13 2" xfId="23632"/>
    <cellStyle name="20% - Accent6 3 14" xfId="19690"/>
    <cellStyle name="20% - Accent6 3 2" xfId="2370"/>
    <cellStyle name="20% - Accent6 3 2 10" xfId="2371"/>
    <cellStyle name="20% - Accent6 3 2 10 2" xfId="16078"/>
    <cellStyle name="20% - Accent6 3 2 10 2 2" xfId="29485"/>
    <cellStyle name="20% - Accent6 3 2 10 3" xfId="19695"/>
    <cellStyle name="20% - Accent6 3 2 11" xfId="9158"/>
    <cellStyle name="20% - Accent6 3 2 11 2" xfId="23633"/>
    <cellStyle name="20% - Accent6 3 2 12" xfId="19694"/>
    <cellStyle name="20% - Accent6 3 2 2" xfId="2372"/>
    <cellStyle name="20% - Accent6 3 2 2 10" xfId="9159"/>
    <cellStyle name="20% - Accent6 3 2 2 10 2" xfId="23634"/>
    <cellStyle name="20% - Accent6 3 2 2 11" xfId="19696"/>
    <cellStyle name="20% - Accent6 3 2 2 2" xfId="2373"/>
    <cellStyle name="20% - Accent6 3 2 2 2 2" xfId="2374"/>
    <cellStyle name="20% - Accent6 3 2 2 2 2 2" xfId="10886"/>
    <cellStyle name="20% - Accent6 3 2 2 2 2 2 2" xfId="24828"/>
    <cellStyle name="20% - Accent6 3 2 2 2 2 3" xfId="19698"/>
    <cellStyle name="20% - Accent6 3 2 2 2 3" xfId="2375"/>
    <cellStyle name="20% - Accent6 3 2 2 2 3 2" xfId="12508"/>
    <cellStyle name="20% - Accent6 3 2 2 2 3 2 2" xfId="26220"/>
    <cellStyle name="20% - Accent6 3 2 2 2 3 3" xfId="19699"/>
    <cellStyle name="20% - Accent6 3 2 2 2 4" xfId="2376"/>
    <cellStyle name="20% - Accent6 3 2 2 2 4 2" xfId="15004"/>
    <cellStyle name="20% - Accent6 3 2 2 2 4 2 2" xfId="28553"/>
    <cellStyle name="20% - Accent6 3 2 2 2 4 3" xfId="19700"/>
    <cellStyle name="20% - Accent6 3 2 2 2 5" xfId="2377"/>
    <cellStyle name="20% - Accent6 3 2 2 2 5 2" xfId="16948"/>
    <cellStyle name="20% - Accent6 3 2 2 2 5 2 2" xfId="30355"/>
    <cellStyle name="20% - Accent6 3 2 2 2 5 3" xfId="19701"/>
    <cellStyle name="20% - Accent6 3 2 2 2 6" xfId="9160"/>
    <cellStyle name="20% - Accent6 3 2 2 2 6 2" xfId="23635"/>
    <cellStyle name="20% - Accent6 3 2 2 2 7" xfId="19697"/>
    <cellStyle name="20% - Accent6 3 2 2 3" xfId="2378"/>
    <cellStyle name="20% - Accent6 3 2 2 3 2" xfId="2379"/>
    <cellStyle name="20% - Accent6 3 2 2 3 2 2" xfId="15005"/>
    <cellStyle name="20% - Accent6 3 2 2 3 2 2 2" xfId="28554"/>
    <cellStyle name="20% - Accent6 3 2 2 3 2 3" xfId="19703"/>
    <cellStyle name="20% - Accent6 3 2 2 3 3" xfId="10885"/>
    <cellStyle name="20% - Accent6 3 2 2 3 3 2" xfId="24827"/>
    <cellStyle name="20% - Accent6 3 2 2 3 4" xfId="19702"/>
    <cellStyle name="20% - Accent6 3 2 2 4" xfId="2380"/>
    <cellStyle name="20% - Accent6 3 2 2 4 2" xfId="12336"/>
    <cellStyle name="20% - Accent6 3 2 2 4 2 2" xfId="26048"/>
    <cellStyle name="20% - Accent6 3 2 2 4 3" xfId="19704"/>
    <cellStyle name="20% - Accent6 3 2 2 5" xfId="2381"/>
    <cellStyle name="20% - Accent6 3 2 2 5 2" xfId="11847"/>
    <cellStyle name="20% - Accent6 3 2 2 5 2 2" xfId="25562"/>
    <cellStyle name="20% - Accent6 3 2 2 5 3" xfId="19705"/>
    <cellStyle name="20% - Accent6 3 2 2 6" xfId="2382"/>
    <cellStyle name="20% - Accent6 3 2 2 6 2" xfId="13900"/>
    <cellStyle name="20% - Accent6 3 2 2 6 2 2" xfId="27449"/>
    <cellStyle name="20% - Accent6 3 2 2 6 3" xfId="19706"/>
    <cellStyle name="20% - Accent6 3 2 2 7" xfId="2383"/>
    <cellStyle name="20% - Accent6 3 2 2 7 2" xfId="14481"/>
    <cellStyle name="20% - Accent6 3 2 2 7 2 2" xfId="28030"/>
    <cellStyle name="20% - Accent6 3 2 2 7 3" xfId="19707"/>
    <cellStyle name="20% - Accent6 3 2 2 8" xfId="2384"/>
    <cellStyle name="20% - Accent6 3 2 2 8 2" xfId="15003"/>
    <cellStyle name="20% - Accent6 3 2 2 8 2 2" xfId="28552"/>
    <cellStyle name="20% - Accent6 3 2 2 8 3" xfId="19708"/>
    <cellStyle name="20% - Accent6 3 2 2 9" xfId="2385"/>
    <cellStyle name="20% - Accent6 3 2 2 9 2" xfId="16367"/>
    <cellStyle name="20% - Accent6 3 2 2 9 2 2" xfId="29774"/>
    <cellStyle name="20% - Accent6 3 2 2 9 3" xfId="19709"/>
    <cellStyle name="20% - Accent6 3 2 3" xfId="2386"/>
    <cellStyle name="20% - Accent6 3 2 3 2" xfId="2387"/>
    <cellStyle name="20% - Accent6 3 2 3 2 2" xfId="10887"/>
    <cellStyle name="20% - Accent6 3 2 3 2 2 2" xfId="24829"/>
    <cellStyle name="20% - Accent6 3 2 3 2 3" xfId="19711"/>
    <cellStyle name="20% - Accent6 3 2 3 3" xfId="2388"/>
    <cellStyle name="20% - Accent6 3 2 3 3 2" xfId="11785"/>
    <cellStyle name="20% - Accent6 3 2 3 3 2 2" xfId="25500"/>
    <cellStyle name="20% - Accent6 3 2 3 3 3" xfId="19712"/>
    <cellStyle name="20% - Accent6 3 2 3 4" xfId="2389"/>
    <cellStyle name="20% - Accent6 3 2 3 4 2" xfId="15006"/>
    <cellStyle name="20% - Accent6 3 2 3 4 2 2" xfId="28555"/>
    <cellStyle name="20% - Accent6 3 2 3 4 3" xfId="19713"/>
    <cellStyle name="20% - Accent6 3 2 3 5" xfId="2390"/>
    <cellStyle name="20% - Accent6 3 2 3 5 2" xfId="16659"/>
    <cellStyle name="20% - Accent6 3 2 3 5 2 2" xfId="30066"/>
    <cellStyle name="20% - Accent6 3 2 3 5 3" xfId="19714"/>
    <cellStyle name="20% - Accent6 3 2 3 6" xfId="9161"/>
    <cellStyle name="20% - Accent6 3 2 3 6 2" xfId="23636"/>
    <cellStyle name="20% - Accent6 3 2 3 7" xfId="19710"/>
    <cellStyle name="20% - Accent6 3 2 4" xfId="2391"/>
    <cellStyle name="20% - Accent6 3 2 4 2" xfId="2392"/>
    <cellStyle name="20% - Accent6 3 2 4 2 2" xfId="15007"/>
    <cellStyle name="20% - Accent6 3 2 4 2 2 2" xfId="28556"/>
    <cellStyle name="20% - Accent6 3 2 4 2 3" xfId="19716"/>
    <cellStyle name="20% - Accent6 3 2 4 3" xfId="10884"/>
    <cellStyle name="20% - Accent6 3 2 4 3 2" xfId="24826"/>
    <cellStyle name="20% - Accent6 3 2 4 4" xfId="19715"/>
    <cellStyle name="20% - Accent6 3 2 5" xfId="2393"/>
    <cellStyle name="20% - Accent6 3 2 5 2" xfId="12036"/>
    <cellStyle name="20% - Accent6 3 2 5 2 2" xfId="25751"/>
    <cellStyle name="20% - Accent6 3 2 5 3" xfId="19717"/>
    <cellStyle name="20% - Accent6 3 2 6" xfId="2394"/>
    <cellStyle name="20% - Accent6 3 2 6 2" xfId="11780"/>
    <cellStyle name="20% - Accent6 3 2 6 2 2" xfId="25495"/>
    <cellStyle name="20% - Accent6 3 2 6 3" xfId="19718"/>
    <cellStyle name="20% - Accent6 3 2 7" xfId="2395"/>
    <cellStyle name="20% - Accent6 3 2 7 2" xfId="13611"/>
    <cellStyle name="20% - Accent6 3 2 7 2 2" xfId="27160"/>
    <cellStyle name="20% - Accent6 3 2 7 3" xfId="19719"/>
    <cellStyle name="20% - Accent6 3 2 8" xfId="2396"/>
    <cellStyle name="20% - Accent6 3 2 8 2" xfId="14192"/>
    <cellStyle name="20% - Accent6 3 2 8 2 2" xfId="27741"/>
    <cellStyle name="20% - Accent6 3 2 8 3" xfId="19720"/>
    <cellStyle name="20% - Accent6 3 2 9" xfId="2397"/>
    <cellStyle name="20% - Accent6 3 2 9 2" xfId="15002"/>
    <cellStyle name="20% - Accent6 3 2 9 2 2" xfId="28551"/>
    <cellStyle name="20% - Accent6 3 2 9 3" xfId="19721"/>
    <cellStyle name="20% - Accent6 3 3" xfId="2398"/>
    <cellStyle name="20% - Accent6 3 3 10" xfId="9162"/>
    <cellStyle name="20% - Accent6 3 3 10 2" xfId="23637"/>
    <cellStyle name="20% - Accent6 3 3 11" xfId="19722"/>
    <cellStyle name="20% - Accent6 3 3 2" xfId="2399"/>
    <cellStyle name="20% - Accent6 3 3 2 2" xfId="2400"/>
    <cellStyle name="20% - Accent6 3 3 2 2 2" xfId="10889"/>
    <cellStyle name="20% - Accent6 3 3 2 2 2 2" xfId="24831"/>
    <cellStyle name="20% - Accent6 3 3 2 2 3" xfId="19724"/>
    <cellStyle name="20% - Accent6 3 3 2 3" xfId="2401"/>
    <cellStyle name="20% - Accent6 3 3 2 3 2" xfId="12467"/>
    <cellStyle name="20% - Accent6 3 3 2 3 2 2" xfId="26179"/>
    <cellStyle name="20% - Accent6 3 3 2 3 3" xfId="19725"/>
    <cellStyle name="20% - Accent6 3 3 2 4" xfId="2402"/>
    <cellStyle name="20% - Accent6 3 3 2 4 2" xfId="15009"/>
    <cellStyle name="20% - Accent6 3 3 2 4 2 2" xfId="28558"/>
    <cellStyle name="20% - Accent6 3 3 2 4 3" xfId="19726"/>
    <cellStyle name="20% - Accent6 3 3 2 5" xfId="2403"/>
    <cellStyle name="20% - Accent6 3 3 2 5 2" xfId="16805"/>
    <cellStyle name="20% - Accent6 3 3 2 5 2 2" xfId="30212"/>
    <cellStyle name="20% - Accent6 3 3 2 5 3" xfId="19727"/>
    <cellStyle name="20% - Accent6 3 3 2 6" xfId="9163"/>
    <cellStyle name="20% - Accent6 3 3 2 6 2" xfId="23638"/>
    <cellStyle name="20% - Accent6 3 3 2 7" xfId="19723"/>
    <cellStyle name="20% - Accent6 3 3 3" xfId="2404"/>
    <cellStyle name="20% - Accent6 3 3 3 2" xfId="2405"/>
    <cellStyle name="20% - Accent6 3 3 3 2 2" xfId="15010"/>
    <cellStyle name="20% - Accent6 3 3 3 2 2 2" xfId="28559"/>
    <cellStyle name="20% - Accent6 3 3 3 2 3" xfId="19729"/>
    <cellStyle name="20% - Accent6 3 3 3 3" xfId="10888"/>
    <cellStyle name="20% - Accent6 3 3 3 3 2" xfId="24830"/>
    <cellStyle name="20% - Accent6 3 3 3 4" xfId="19728"/>
    <cellStyle name="20% - Accent6 3 3 4" xfId="2406"/>
    <cellStyle name="20% - Accent6 3 3 4 2" xfId="12193"/>
    <cellStyle name="20% - Accent6 3 3 4 2 2" xfId="25905"/>
    <cellStyle name="20% - Accent6 3 3 4 3" xfId="19730"/>
    <cellStyle name="20% - Accent6 3 3 5" xfId="2407"/>
    <cellStyle name="20% - Accent6 3 3 5 2" xfId="12722"/>
    <cellStyle name="20% - Accent6 3 3 5 2 2" xfId="26434"/>
    <cellStyle name="20% - Accent6 3 3 5 3" xfId="19731"/>
    <cellStyle name="20% - Accent6 3 3 6" xfId="2408"/>
    <cellStyle name="20% - Accent6 3 3 6 2" xfId="13757"/>
    <cellStyle name="20% - Accent6 3 3 6 2 2" xfId="27306"/>
    <cellStyle name="20% - Accent6 3 3 6 3" xfId="19732"/>
    <cellStyle name="20% - Accent6 3 3 7" xfId="2409"/>
    <cellStyle name="20% - Accent6 3 3 7 2" xfId="14338"/>
    <cellStyle name="20% - Accent6 3 3 7 2 2" xfId="27887"/>
    <cellStyle name="20% - Accent6 3 3 7 3" xfId="19733"/>
    <cellStyle name="20% - Accent6 3 3 8" xfId="2410"/>
    <cellStyle name="20% - Accent6 3 3 8 2" xfId="15008"/>
    <cellStyle name="20% - Accent6 3 3 8 2 2" xfId="28557"/>
    <cellStyle name="20% - Accent6 3 3 8 3" xfId="19734"/>
    <cellStyle name="20% - Accent6 3 3 9" xfId="2411"/>
    <cellStyle name="20% - Accent6 3 3 9 2" xfId="16224"/>
    <cellStyle name="20% - Accent6 3 3 9 2 2" xfId="29631"/>
    <cellStyle name="20% - Accent6 3 3 9 3" xfId="19735"/>
    <cellStyle name="20% - Accent6 3 4" xfId="2412"/>
    <cellStyle name="20% - Accent6 3 4 2" xfId="2413"/>
    <cellStyle name="20% - Accent6 3 4 2 2" xfId="10890"/>
    <cellStyle name="20% - Accent6 3 4 2 2 2" xfId="24832"/>
    <cellStyle name="20% - Accent6 3 4 2 3" xfId="19737"/>
    <cellStyle name="20% - Accent6 3 4 3" xfId="2414"/>
    <cellStyle name="20% - Accent6 3 4 3 2" xfId="11837"/>
    <cellStyle name="20% - Accent6 3 4 3 2 2" xfId="25552"/>
    <cellStyle name="20% - Accent6 3 4 3 3" xfId="19738"/>
    <cellStyle name="20% - Accent6 3 4 4" xfId="2415"/>
    <cellStyle name="20% - Accent6 3 4 4 2" xfId="15011"/>
    <cellStyle name="20% - Accent6 3 4 4 2 2" xfId="28560"/>
    <cellStyle name="20% - Accent6 3 4 4 3" xfId="19739"/>
    <cellStyle name="20% - Accent6 3 4 5" xfId="2416"/>
    <cellStyle name="20% - Accent6 3 4 5 2" xfId="17152"/>
    <cellStyle name="20% - Accent6 3 4 5 2 2" xfId="30511"/>
    <cellStyle name="20% - Accent6 3 4 5 3" xfId="19740"/>
    <cellStyle name="20% - Accent6 3 4 6" xfId="9164"/>
    <cellStyle name="20% - Accent6 3 4 6 2" xfId="23639"/>
    <cellStyle name="20% - Accent6 3 4 7" xfId="19736"/>
    <cellStyle name="20% - Accent6 3 5" xfId="2417"/>
    <cellStyle name="20% - Accent6 3 5 2" xfId="2418"/>
    <cellStyle name="20% - Accent6 3 5 2 2" xfId="10891"/>
    <cellStyle name="20% - Accent6 3 5 2 2 2" xfId="24833"/>
    <cellStyle name="20% - Accent6 3 5 2 3" xfId="19742"/>
    <cellStyle name="20% - Accent6 3 5 3" xfId="2419"/>
    <cellStyle name="20% - Accent6 3 5 3 2" xfId="12504"/>
    <cellStyle name="20% - Accent6 3 5 3 2 2" xfId="26216"/>
    <cellStyle name="20% - Accent6 3 5 3 3" xfId="19743"/>
    <cellStyle name="20% - Accent6 3 5 4" xfId="2420"/>
    <cellStyle name="20% - Accent6 3 5 4 2" xfId="15012"/>
    <cellStyle name="20% - Accent6 3 5 4 2 2" xfId="28561"/>
    <cellStyle name="20% - Accent6 3 5 4 3" xfId="19744"/>
    <cellStyle name="20% - Accent6 3 5 5" xfId="2421"/>
    <cellStyle name="20% - Accent6 3 5 5 2" xfId="17241"/>
    <cellStyle name="20% - Accent6 3 5 5 2 2" xfId="30600"/>
    <cellStyle name="20% - Accent6 3 5 5 3" xfId="19745"/>
    <cellStyle name="20% - Accent6 3 5 6" xfId="9165"/>
    <cellStyle name="20% - Accent6 3 5 6 2" xfId="23640"/>
    <cellStyle name="20% - Accent6 3 5 7" xfId="19741"/>
    <cellStyle name="20% - Accent6 3 6" xfId="2422"/>
    <cellStyle name="20% - Accent6 3 6 2" xfId="2423"/>
    <cellStyle name="20% - Accent6 3 6 2 2" xfId="15013"/>
    <cellStyle name="20% - Accent6 3 6 2 2 2" xfId="28562"/>
    <cellStyle name="20% - Accent6 3 6 2 3" xfId="19747"/>
    <cellStyle name="20% - Accent6 3 6 3" xfId="2424"/>
    <cellStyle name="20% - Accent6 3 6 3 2" xfId="16516"/>
    <cellStyle name="20% - Accent6 3 6 3 2 2" xfId="29923"/>
    <cellStyle name="20% - Accent6 3 6 3 3" xfId="19748"/>
    <cellStyle name="20% - Accent6 3 6 4" xfId="10883"/>
    <cellStyle name="20% - Accent6 3 6 4 2" xfId="24825"/>
    <cellStyle name="20% - Accent6 3 6 5" xfId="19746"/>
    <cellStyle name="20% - Accent6 3 7" xfId="2425"/>
    <cellStyle name="20% - Accent6 3 7 2" xfId="11888"/>
    <cellStyle name="20% - Accent6 3 7 2 2" xfId="25603"/>
    <cellStyle name="20% - Accent6 3 7 3" xfId="19749"/>
    <cellStyle name="20% - Accent6 3 8" xfId="2426"/>
    <cellStyle name="20% - Accent6 3 8 2" xfId="12783"/>
    <cellStyle name="20% - Accent6 3 8 2 2" xfId="26495"/>
    <cellStyle name="20% - Accent6 3 8 3" xfId="19750"/>
    <cellStyle name="20% - Accent6 3 9" xfId="2427"/>
    <cellStyle name="20% - Accent6 3 9 2" xfId="13468"/>
    <cellStyle name="20% - Accent6 3 9 2 2" xfId="27017"/>
    <cellStyle name="20% - Accent6 3 9 3" xfId="19751"/>
    <cellStyle name="20% - Accent6 30" xfId="23263"/>
    <cellStyle name="20% - Accent6 4" xfId="2428"/>
    <cellStyle name="20% - Accent6 4 10" xfId="2429"/>
    <cellStyle name="20% - Accent6 4 10 2" xfId="15014"/>
    <cellStyle name="20% - Accent6 4 10 2 2" xfId="28563"/>
    <cellStyle name="20% - Accent6 4 10 3" xfId="19753"/>
    <cellStyle name="20% - Accent6 4 11" xfId="2430"/>
    <cellStyle name="20% - Accent6 4 11 2" xfId="15884"/>
    <cellStyle name="20% - Accent6 4 11 2 2" xfId="29291"/>
    <cellStyle name="20% - Accent6 4 11 3" xfId="19754"/>
    <cellStyle name="20% - Accent6 4 12" xfId="9166"/>
    <cellStyle name="20% - Accent6 4 12 2" xfId="23641"/>
    <cellStyle name="20% - Accent6 4 13" xfId="19752"/>
    <cellStyle name="20% - Accent6 4 2" xfId="2431"/>
    <cellStyle name="20% - Accent6 4 2 10" xfId="2432"/>
    <cellStyle name="20% - Accent6 4 2 10 2" xfId="16027"/>
    <cellStyle name="20% - Accent6 4 2 10 2 2" xfId="29434"/>
    <cellStyle name="20% - Accent6 4 2 10 3" xfId="19756"/>
    <cellStyle name="20% - Accent6 4 2 11" xfId="9167"/>
    <cellStyle name="20% - Accent6 4 2 11 2" xfId="23642"/>
    <cellStyle name="20% - Accent6 4 2 12" xfId="19755"/>
    <cellStyle name="20% - Accent6 4 2 2" xfId="2433"/>
    <cellStyle name="20% - Accent6 4 2 2 10" xfId="9168"/>
    <cellStyle name="20% - Accent6 4 2 2 10 2" xfId="23643"/>
    <cellStyle name="20% - Accent6 4 2 2 11" xfId="19757"/>
    <cellStyle name="20% - Accent6 4 2 2 2" xfId="2434"/>
    <cellStyle name="20% - Accent6 4 2 2 2 2" xfId="2435"/>
    <cellStyle name="20% - Accent6 4 2 2 2 2 2" xfId="10895"/>
    <cellStyle name="20% - Accent6 4 2 2 2 2 2 2" xfId="24837"/>
    <cellStyle name="20% - Accent6 4 2 2 2 2 3" xfId="19759"/>
    <cellStyle name="20% - Accent6 4 2 2 2 3" xfId="2436"/>
    <cellStyle name="20% - Accent6 4 2 2 2 3 2" xfId="12497"/>
    <cellStyle name="20% - Accent6 4 2 2 2 3 2 2" xfId="26209"/>
    <cellStyle name="20% - Accent6 4 2 2 2 3 3" xfId="19760"/>
    <cellStyle name="20% - Accent6 4 2 2 2 4" xfId="2437"/>
    <cellStyle name="20% - Accent6 4 2 2 2 4 2" xfId="15017"/>
    <cellStyle name="20% - Accent6 4 2 2 2 4 2 2" xfId="28566"/>
    <cellStyle name="20% - Accent6 4 2 2 2 4 3" xfId="19761"/>
    <cellStyle name="20% - Accent6 4 2 2 2 5" xfId="2438"/>
    <cellStyle name="20% - Accent6 4 2 2 2 5 2" xfId="16897"/>
    <cellStyle name="20% - Accent6 4 2 2 2 5 2 2" xfId="30304"/>
    <cellStyle name="20% - Accent6 4 2 2 2 5 3" xfId="19762"/>
    <cellStyle name="20% - Accent6 4 2 2 2 6" xfId="9169"/>
    <cellStyle name="20% - Accent6 4 2 2 2 6 2" xfId="23644"/>
    <cellStyle name="20% - Accent6 4 2 2 2 7" xfId="19758"/>
    <cellStyle name="20% - Accent6 4 2 2 3" xfId="2439"/>
    <cellStyle name="20% - Accent6 4 2 2 3 2" xfId="2440"/>
    <cellStyle name="20% - Accent6 4 2 2 3 2 2" xfId="15018"/>
    <cellStyle name="20% - Accent6 4 2 2 3 2 2 2" xfId="28567"/>
    <cellStyle name="20% - Accent6 4 2 2 3 2 3" xfId="19764"/>
    <cellStyle name="20% - Accent6 4 2 2 3 3" xfId="10894"/>
    <cellStyle name="20% - Accent6 4 2 2 3 3 2" xfId="24836"/>
    <cellStyle name="20% - Accent6 4 2 2 3 4" xfId="19763"/>
    <cellStyle name="20% - Accent6 4 2 2 4" xfId="2441"/>
    <cellStyle name="20% - Accent6 4 2 2 4 2" xfId="12285"/>
    <cellStyle name="20% - Accent6 4 2 2 4 2 2" xfId="25997"/>
    <cellStyle name="20% - Accent6 4 2 2 4 3" xfId="19765"/>
    <cellStyle name="20% - Accent6 4 2 2 5" xfId="2442"/>
    <cellStyle name="20% - Accent6 4 2 2 5 2" xfId="12474"/>
    <cellStyle name="20% - Accent6 4 2 2 5 2 2" xfId="26186"/>
    <cellStyle name="20% - Accent6 4 2 2 5 3" xfId="19766"/>
    <cellStyle name="20% - Accent6 4 2 2 6" xfId="2443"/>
    <cellStyle name="20% - Accent6 4 2 2 6 2" xfId="13849"/>
    <cellStyle name="20% - Accent6 4 2 2 6 2 2" xfId="27398"/>
    <cellStyle name="20% - Accent6 4 2 2 6 3" xfId="19767"/>
    <cellStyle name="20% - Accent6 4 2 2 7" xfId="2444"/>
    <cellStyle name="20% - Accent6 4 2 2 7 2" xfId="14430"/>
    <cellStyle name="20% - Accent6 4 2 2 7 2 2" xfId="27979"/>
    <cellStyle name="20% - Accent6 4 2 2 7 3" xfId="19768"/>
    <cellStyle name="20% - Accent6 4 2 2 8" xfId="2445"/>
    <cellStyle name="20% - Accent6 4 2 2 8 2" xfId="15016"/>
    <cellStyle name="20% - Accent6 4 2 2 8 2 2" xfId="28565"/>
    <cellStyle name="20% - Accent6 4 2 2 8 3" xfId="19769"/>
    <cellStyle name="20% - Accent6 4 2 2 9" xfId="2446"/>
    <cellStyle name="20% - Accent6 4 2 2 9 2" xfId="16316"/>
    <cellStyle name="20% - Accent6 4 2 2 9 2 2" xfId="29723"/>
    <cellStyle name="20% - Accent6 4 2 2 9 3" xfId="19770"/>
    <cellStyle name="20% - Accent6 4 2 3" xfId="2447"/>
    <cellStyle name="20% - Accent6 4 2 3 2" xfId="2448"/>
    <cellStyle name="20% - Accent6 4 2 3 2 2" xfId="10896"/>
    <cellStyle name="20% - Accent6 4 2 3 2 2 2" xfId="24838"/>
    <cellStyle name="20% - Accent6 4 2 3 2 3" xfId="19772"/>
    <cellStyle name="20% - Accent6 4 2 3 3" xfId="2449"/>
    <cellStyle name="20% - Accent6 4 2 3 3 2" xfId="12769"/>
    <cellStyle name="20% - Accent6 4 2 3 3 2 2" xfId="26481"/>
    <cellStyle name="20% - Accent6 4 2 3 3 3" xfId="19773"/>
    <cellStyle name="20% - Accent6 4 2 3 4" xfId="2450"/>
    <cellStyle name="20% - Accent6 4 2 3 4 2" xfId="15019"/>
    <cellStyle name="20% - Accent6 4 2 3 4 2 2" xfId="28568"/>
    <cellStyle name="20% - Accent6 4 2 3 4 3" xfId="19774"/>
    <cellStyle name="20% - Accent6 4 2 3 5" xfId="2451"/>
    <cellStyle name="20% - Accent6 4 2 3 5 2" xfId="16608"/>
    <cellStyle name="20% - Accent6 4 2 3 5 2 2" xfId="30015"/>
    <cellStyle name="20% - Accent6 4 2 3 5 3" xfId="19775"/>
    <cellStyle name="20% - Accent6 4 2 3 6" xfId="9170"/>
    <cellStyle name="20% - Accent6 4 2 3 6 2" xfId="23645"/>
    <cellStyle name="20% - Accent6 4 2 3 7" xfId="19771"/>
    <cellStyle name="20% - Accent6 4 2 4" xfId="2452"/>
    <cellStyle name="20% - Accent6 4 2 4 2" xfId="2453"/>
    <cellStyle name="20% - Accent6 4 2 4 2 2" xfId="15020"/>
    <cellStyle name="20% - Accent6 4 2 4 2 2 2" xfId="28569"/>
    <cellStyle name="20% - Accent6 4 2 4 2 3" xfId="19777"/>
    <cellStyle name="20% - Accent6 4 2 4 3" xfId="10893"/>
    <cellStyle name="20% - Accent6 4 2 4 3 2" xfId="24835"/>
    <cellStyle name="20% - Accent6 4 2 4 4" xfId="19776"/>
    <cellStyle name="20% - Accent6 4 2 5" xfId="2454"/>
    <cellStyle name="20% - Accent6 4 2 5 2" xfId="11985"/>
    <cellStyle name="20% - Accent6 4 2 5 2 2" xfId="25700"/>
    <cellStyle name="20% - Accent6 4 2 5 3" xfId="19778"/>
    <cellStyle name="20% - Accent6 4 2 6" xfId="2455"/>
    <cellStyle name="20% - Accent6 4 2 6 2" xfId="11872"/>
    <cellStyle name="20% - Accent6 4 2 6 2 2" xfId="25587"/>
    <cellStyle name="20% - Accent6 4 2 6 3" xfId="19779"/>
    <cellStyle name="20% - Accent6 4 2 7" xfId="2456"/>
    <cellStyle name="20% - Accent6 4 2 7 2" xfId="13560"/>
    <cellStyle name="20% - Accent6 4 2 7 2 2" xfId="27109"/>
    <cellStyle name="20% - Accent6 4 2 7 3" xfId="19780"/>
    <cellStyle name="20% - Accent6 4 2 8" xfId="2457"/>
    <cellStyle name="20% - Accent6 4 2 8 2" xfId="14141"/>
    <cellStyle name="20% - Accent6 4 2 8 2 2" xfId="27690"/>
    <cellStyle name="20% - Accent6 4 2 8 3" xfId="19781"/>
    <cellStyle name="20% - Accent6 4 2 9" xfId="2458"/>
    <cellStyle name="20% - Accent6 4 2 9 2" xfId="15015"/>
    <cellStyle name="20% - Accent6 4 2 9 2 2" xfId="28564"/>
    <cellStyle name="20% - Accent6 4 2 9 3" xfId="19782"/>
    <cellStyle name="20% - Accent6 4 3" xfId="2459"/>
    <cellStyle name="20% - Accent6 4 3 10" xfId="9171"/>
    <cellStyle name="20% - Accent6 4 3 10 2" xfId="23646"/>
    <cellStyle name="20% - Accent6 4 3 11" xfId="19783"/>
    <cellStyle name="20% - Accent6 4 3 2" xfId="2460"/>
    <cellStyle name="20% - Accent6 4 3 2 2" xfId="2461"/>
    <cellStyle name="20% - Accent6 4 3 2 2 2" xfId="10898"/>
    <cellStyle name="20% - Accent6 4 3 2 2 2 2" xfId="24840"/>
    <cellStyle name="20% - Accent6 4 3 2 2 3" xfId="19785"/>
    <cellStyle name="20% - Accent6 4 3 2 3" xfId="2462"/>
    <cellStyle name="20% - Accent6 4 3 2 3 2" xfId="12653"/>
    <cellStyle name="20% - Accent6 4 3 2 3 2 2" xfId="26365"/>
    <cellStyle name="20% - Accent6 4 3 2 3 3" xfId="19786"/>
    <cellStyle name="20% - Accent6 4 3 2 4" xfId="2463"/>
    <cellStyle name="20% - Accent6 4 3 2 4 2" xfId="15022"/>
    <cellStyle name="20% - Accent6 4 3 2 4 2 2" xfId="28571"/>
    <cellStyle name="20% - Accent6 4 3 2 4 3" xfId="19787"/>
    <cellStyle name="20% - Accent6 4 3 2 5" xfId="2464"/>
    <cellStyle name="20% - Accent6 4 3 2 5 2" xfId="16757"/>
    <cellStyle name="20% - Accent6 4 3 2 5 2 2" xfId="30164"/>
    <cellStyle name="20% - Accent6 4 3 2 5 3" xfId="19788"/>
    <cellStyle name="20% - Accent6 4 3 2 6" xfId="9172"/>
    <cellStyle name="20% - Accent6 4 3 2 6 2" xfId="23647"/>
    <cellStyle name="20% - Accent6 4 3 2 7" xfId="19784"/>
    <cellStyle name="20% - Accent6 4 3 3" xfId="2465"/>
    <cellStyle name="20% - Accent6 4 3 3 2" xfId="2466"/>
    <cellStyle name="20% - Accent6 4 3 3 2 2" xfId="15023"/>
    <cellStyle name="20% - Accent6 4 3 3 2 2 2" xfId="28572"/>
    <cellStyle name="20% - Accent6 4 3 3 2 3" xfId="19790"/>
    <cellStyle name="20% - Accent6 4 3 3 3" xfId="10897"/>
    <cellStyle name="20% - Accent6 4 3 3 3 2" xfId="24839"/>
    <cellStyle name="20% - Accent6 4 3 3 4" xfId="19789"/>
    <cellStyle name="20% - Accent6 4 3 4" xfId="2467"/>
    <cellStyle name="20% - Accent6 4 3 4 2" xfId="12145"/>
    <cellStyle name="20% - Accent6 4 3 4 2 2" xfId="25857"/>
    <cellStyle name="20% - Accent6 4 3 4 3" xfId="19791"/>
    <cellStyle name="20% - Accent6 4 3 5" xfId="2468"/>
    <cellStyle name="20% - Accent6 4 3 5 2" xfId="11773"/>
    <cellStyle name="20% - Accent6 4 3 5 2 2" xfId="25488"/>
    <cellStyle name="20% - Accent6 4 3 5 3" xfId="19792"/>
    <cellStyle name="20% - Accent6 4 3 6" xfId="2469"/>
    <cellStyle name="20% - Accent6 4 3 6 2" xfId="13709"/>
    <cellStyle name="20% - Accent6 4 3 6 2 2" xfId="27258"/>
    <cellStyle name="20% - Accent6 4 3 6 3" xfId="19793"/>
    <cellStyle name="20% - Accent6 4 3 7" xfId="2470"/>
    <cellStyle name="20% - Accent6 4 3 7 2" xfId="14290"/>
    <cellStyle name="20% - Accent6 4 3 7 2 2" xfId="27839"/>
    <cellStyle name="20% - Accent6 4 3 7 3" xfId="19794"/>
    <cellStyle name="20% - Accent6 4 3 8" xfId="2471"/>
    <cellStyle name="20% - Accent6 4 3 8 2" xfId="15021"/>
    <cellStyle name="20% - Accent6 4 3 8 2 2" xfId="28570"/>
    <cellStyle name="20% - Accent6 4 3 8 3" xfId="19795"/>
    <cellStyle name="20% - Accent6 4 3 9" xfId="2472"/>
    <cellStyle name="20% - Accent6 4 3 9 2" xfId="16176"/>
    <cellStyle name="20% - Accent6 4 3 9 2 2" xfId="29583"/>
    <cellStyle name="20% - Accent6 4 3 9 3" xfId="19796"/>
    <cellStyle name="20% - Accent6 4 4" xfId="2473"/>
    <cellStyle name="20% - Accent6 4 4 2" xfId="2474"/>
    <cellStyle name="20% - Accent6 4 4 2 2" xfId="10899"/>
    <cellStyle name="20% - Accent6 4 4 2 2 2" xfId="24841"/>
    <cellStyle name="20% - Accent6 4 4 2 3" xfId="19798"/>
    <cellStyle name="20% - Accent6 4 4 3" xfId="2475"/>
    <cellStyle name="20% - Accent6 4 4 3 2" xfId="12654"/>
    <cellStyle name="20% - Accent6 4 4 3 2 2" xfId="26366"/>
    <cellStyle name="20% - Accent6 4 4 3 3" xfId="19799"/>
    <cellStyle name="20% - Accent6 4 4 4" xfId="2476"/>
    <cellStyle name="20% - Accent6 4 4 4 2" xfId="15024"/>
    <cellStyle name="20% - Accent6 4 4 4 2 2" xfId="28573"/>
    <cellStyle name="20% - Accent6 4 4 4 3" xfId="19800"/>
    <cellStyle name="20% - Accent6 4 4 5" xfId="2477"/>
    <cellStyle name="20% - Accent6 4 4 5 2" xfId="16465"/>
    <cellStyle name="20% - Accent6 4 4 5 2 2" xfId="29872"/>
    <cellStyle name="20% - Accent6 4 4 5 3" xfId="19801"/>
    <cellStyle name="20% - Accent6 4 4 6" xfId="9173"/>
    <cellStyle name="20% - Accent6 4 4 6 2" xfId="23648"/>
    <cellStyle name="20% - Accent6 4 4 7" xfId="19797"/>
    <cellStyle name="20% - Accent6 4 5" xfId="2478"/>
    <cellStyle name="20% - Accent6 4 5 2" xfId="2479"/>
    <cellStyle name="20% - Accent6 4 5 2 2" xfId="15025"/>
    <cellStyle name="20% - Accent6 4 5 2 2 2" xfId="28574"/>
    <cellStyle name="20% - Accent6 4 5 2 3" xfId="19803"/>
    <cellStyle name="20% - Accent6 4 5 3" xfId="10892"/>
    <cellStyle name="20% - Accent6 4 5 3 2" xfId="24834"/>
    <cellStyle name="20% - Accent6 4 5 4" xfId="19802"/>
    <cellStyle name="20% - Accent6 4 6" xfId="2480"/>
    <cellStyle name="20% - Accent6 4 6 2" xfId="11816"/>
    <cellStyle name="20% - Accent6 4 6 2 2" xfId="25531"/>
    <cellStyle name="20% - Accent6 4 6 3" xfId="19804"/>
    <cellStyle name="20% - Accent6 4 7" xfId="2481"/>
    <cellStyle name="20% - Accent6 4 7 2" xfId="12685"/>
    <cellStyle name="20% - Accent6 4 7 2 2" xfId="26397"/>
    <cellStyle name="20% - Accent6 4 7 3" xfId="19805"/>
    <cellStyle name="20% - Accent6 4 8" xfId="2482"/>
    <cellStyle name="20% - Accent6 4 8 2" xfId="13417"/>
    <cellStyle name="20% - Accent6 4 8 2 2" xfId="26966"/>
    <cellStyle name="20% - Accent6 4 8 3" xfId="19806"/>
    <cellStyle name="20% - Accent6 4 9" xfId="2483"/>
    <cellStyle name="20% - Accent6 4 9 2" xfId="13998"/>
    <cellStyle name="20% - Accent6 4 9 2 2" xfId="27547"/>
    <cellStyle name="20% - Accent6 4 9 3" xfId="19807"/>
    <cellStyle name="20% - Accent6 5" xfId="2484"/>
    <cellStyle name="20% - Accent6 5 10" xfId="2485"/>
    <cellStyle name="20% - Accent6 5 10 2" xfId="15026"/>
    <cellStyle name="20% - Accent6 5 10 2 2" xfId="28575"/>
    <cellStyle name="20% - Accent6 5 10 3" xfId="19809"/>
    <cellStyle name="20% - Accent6 5 11" xfId="2486"/>
    <cellStyle name="20% - Accent6 5 11 2" xfId="15867"/>
    <cellStyle name="20% - Accent6 5 11 2 2" xfId="29274"/>
    <cellStyle name="20% - Accent6 5 11 3" xfId="19810"/>
    <cellStyle name="20% - Accent6 5 12" xfId="9174"/>
    <cellStyle name="20% - Accent6 5 12 2" xfId="23649"/>
    <cellStyle name="20% - Accent6 5 13" xfId="19808"/>
    <cellStyle name="20% - Accent6 5 2" xfId="2487"/>
    <cellStyle name="20% - Accent6 5 2 10" xfId="2488"/>
    <cellStyle name="20% - Accent6 5 2 10 2" xfId="16010"/>
    <cellStyle name="20% - Accent6 5 2 10 2 2" xfId="29417"/>
    <cellStyle name="20% - Accent6 5 2 10 3" xfId="19812"/>
    <cellStyle name="20% - Accent6 5 2 11" xfId="9175"/>
    <cellStyle name="20% - Accent6 5 2 11 2" xfId="23650"/>
    <cellStyle name="20% - Accent6 5 2 12" xfId="19811"/>
    <cellStyle name="20% - Accent6 5 2 2" xfId="2489"/>
    <cellStyle name="20% - Accent6 5 2 2 10" xfId="9176"/>
    <cellStyle name="20% - Accent6 5 2 2 10 2" xfId="23651"/>
    <cellStyle name="20% - Accent6 5 2 2 11" xfId="19813"/>
    <cellStyle name="20% - Accent6 5 2 2 2" xfId="2490"/>
    <cellStyle name="20% - Accent6 5 2 2 2 2" xfId="2491"/>
    <cellStyle name="20% - Accent6 5 2 2 2 2 2" xfId="10903"/>
    <cellStyle name="20% - Accent6 5 2 2 2 2 2 2" xfId="24845"/>
    <cellStyle name="20% - Accent6 5 2 2 2 2 3" xfId="19815"/>
    <cellStyle name="20% - Accent6 5 2 2 2 3" xfId="2492"/>
    <cellStyle name="20% - Accent6 5 2 2 2 3 2" xfId="12794"/>
    <cellStyle name="20% - Accent6 5 2 2 2 3 2 2" xfId="26506"/>
    <cellStyle name="20% - Accent6 5 2 2 2 3 3" xfId="19816"/>
    <cellStyle name="20% - Accent6 5 2 2 2 4" xfId="2493"/>
    <cellStyle name="20% - Accent6 5 2 2 2 4 2" xfId="15029"/>
    <cellStyle name="20% - Accent6 5 2 2 2 4 2 2" xfId="28578"/>
    <cellStyle name="20% - Accent6 5 2 2 2 4 3" xfId="19817"/>
    <cellStyle name="20% - Accent6 5 2 2 2 5" xfId="2494"/>
    <cellStyle name="20% - Accent6 5 2 2 2 5 2" xfId="16880"/>
    <cellStyle name="20% - Accent6 5 2 2 2 5 2 2" xfId="30287"/>
    <cellStyle name="20% - Accent6 5 2 2 2 5 3" xfId="19818"/>
    <cellStyle name="20% - Accent6 5 2 2 2 6" xfId="9177"/>
    <cellStyle name="20% - Accent6 5 2 2 2 6 2" xfId="23652"/>
    <cellStyle name="20% - Accent6 5 2 2 2 7" xfId="19814"/>
    <cellStyle name="20% - Accent6 5 2 2 3" xfId="2495"/>
    <cellStyle name="20% - Accent6 5 2 2 3 2" xfId="2496"/>
    <cellStyle name="20% - Accent6 5 2 2 3 2 2" xfId="15030"/>
    <cellStyle name="20% - Accent6 5 2 2 3 2 2 2" xfId="28579"/>
    <cellStyle name="20% - Accent6 5 2 2 3 2 3" xfId="19820"/>
    <cellStyle name="20% - Accent6 5 2 2 3 3" xfId="10902"/>
    <cellStyle name="20% - Accent6 5 2 2 3 3 2" xfId="24844"/>
    <cellStyle name="20% - Accent6 5 2 2 3 4" xfId="19819"/>
    <cellStyle name="20% - Accent6 5 2 2 4" xfId="2497"/>
    <cellStyle name="20% - Accent6 5 2 2 4 2" xfId="12268"/>
    <cellStyle name="20% - Accent6 5 2 2 4 2 2" xfId="25980"/>
    <cellStyle name="20% - Accent6 5 2 2 4 3" xfId="19821"/>
    <cellStyle name="20% - Accent6 5 2 2 5" xfId="2498"/>
    <cellStyle name="20% - Accent6 5 2 2 5 2" xfId="12798"/>
    <cellStyle name="20% - Accent6 5 2 2 5 2 2" xfId="26510"/>
    <cellStyle name="20% - Accent6 5 2 2 5 3" xfId="19822"/>
    <cellStyle name="20% - Accent6 5 2 2 6" xfId="2499"/>
    <cellStyle name="20% - Accent6 5 2 2 6 2" xfId="13832"/>
    <cellStyle name="20% - Accent6 5 2 2 6 2 2" xfId="27381"/>
    <cellStyle name="20% - Accent6 5 2 2 6 3" xfId="19823"/>
    <cellStyle name="20% - Accent6 5 2 2 7" xfId="2500"/>
    <cellStyle name="20% - Accent6 5 2 2 7 2" xfId="14413"/>
    <cellStyle name="20% - Accent6 5 2 2 7 2 2" xfId="27962"/>
    <cellStyle name="20% - Accent6 5 2 2 7 3" xfId="19824"/>
    <cellStyle name="20% - Accent6 5 2 2 8" xfId="2501"/>
    <cellStyle name="20% - Accent6 5 2 2 8 2" xfId="15028"/>
    <cellStyle name="20% - Accent6 5 2 2 8 2 2" xfId="28577"/>
    <cellStyle name="20% - Accent6 5 2 2 8 3" xfId="19825"/>
    <cellStyle name="20% - Accent6 5 2 2 9" xfId="2502"/>
    <cellStyle name="20% - Accent6 5 2 2 9 2" xfId="16299"/>
    <cellStyle name="20% - Accent6 5 2 2 9 2 2" xfId="29706"/>
    <cellStyle name="20% - Accent6 5 2 2 9 3" xfId="19826"/>
    <cellStyle name="20% - Accent6 5 2 3" xfId="2503"/>
    <cellStyle name="20% - Accent6 5 2 3 2" xfId="2504"/>
    <cellStyle name="20% - Accent6 5 2 3 2 2" xfId="10904"/>
    <cellStyle name="20% - Accent6 5 2 3 2 2 2" xfId="24846"/>
    <cellStyle name="20% - Accent6 5 2 3 2 3" xfId="19828"/>
    <cellStyle name="20% - Accent6 5 2 3 3" xfId="2505"/>
    <cellStyle name="20% - Accent6 5 2 3 3 2" xfId="12735"/>
    <cellStyle name="20% - Accent6 5 2 3 3 2 2" xfId="26447"/>
    <cellStyle name="20% - Accent6 5 2 3 3 3" xfId="19829"/>
    <cellStyle name="20% - Accent6 5 2 3 4" xfId="2506"/>
    <cellStyle name="20% - Accent6 5 2 3 4 2" xfId="15031"/>
    <cellStyle name="20% - Accent6 5 2 3 4 2 2" xfId="28580"/>
    <cellStyle name="20% - Accent6 5 2 3 4 3" xfId="19830"/>
    <cellStyle name="20% - Accent6 5 2 3 5" xfId="2507"/>
    <cellStyle name="20% - Accent6 5 2 3 5 2" xfId="16591"/>
    <cellStyle name="20% - Accent6 5 2 3 5 2 2" xfId="29998"/>
    <cellStyle name="20% - Accent6 5 2 3 5 3" xfId="19831"/>
    <cellStyle name="20% - Accent6 5 2 3 6" xfId="9178"/>
    <cellStyle name="20% - Accent6 5 2 3 6 2" xfId="23653"/>
    <cellStyle name="20% - Accent6 5 2 3 7" xfId="19827"/>
    <cellStyle name="20% - Accent6 5 2 4" xfId="2508"/>
    <cellStyle name="20% - Accent6 5 2 4 2" xfId="2509"/>
    <cellStyle name="20% - Accent6 5 2 4 2 2" xfId="15032"/>
    <cellStyle name="20% - Accent6 5 2 4 2 2 2" xfId="28581"/>
    <cellStyle name="20% - Accent6 5 2 4 2 3" xfId="19833"/>
    <cellStyle name="20% - Accent6 5 2 4 3" xfId="10901"/>
    <cellStyle name="20% - Accent6 5 2 4 3 2" xfId="24843"/>
    <cellStyle name="20% - Accent6 5 2 4 4" xfId="19832"/>
    <cellStyle name="20% - Accent6 5 2 5" xfId="2510"/>
    <cellStyle name="20% - Accent6 5 2 5 2" xfId="11968"/>
    <cellStyle name="20% - Accent6 5 2 5 2 2" xfId="25683"/>
    <cellStyle name="20% - Accent6 5 2 5 3" xfId="19834"/>
    <cellStyle name="20% - Accent6 5 2 6" xfId="2511"/>
    <cellStyle name="20% - Accent6 5 2 6 2" xfId="11767"/>
    <cellStyle name="20% - Accent6 5 2 6 2 2" xfId="25482"/>
    <cellStyle name="20% - Accent6 5 2 6 3" xfId="19835"/>
    <cellStyle name="20% - Accent6 5 2 7" xfId="2512"/>
    <cellStyle name="20% - Accent6 5 2 7 2" xfId="13543"/>
    <cellStyle name="20% - Accent6 5 2 7 2 2" xfId="27092"/>
    <cellStyle name="20% - Accent6 5 2 7 3" xfId="19836"/>
    <cellStyle name="20% - Accent6 5 2 8" xfId="2513"/>
    <cellStyle name="20% - Accent6 5 2 8 2" xfId="14124"/>
    <cellStyle name="20% - Accent6 5 2 8 2 2" xfId="27673"/>
    <cellStyle name="20% - Accent6 5 2 8 3" xfId="19837"/>
    <cellStyle name="20% - Accent6 5 2 9" xfId="2514"/>
    <cellStyle name="20% - Accent6 5 2 9 2" xfId="15027"/>
    <cellStyle name="20% - Accent6 5 2 9 2 2" xfId="28576"/>
    <cellStyle name="20% - Accent6 5 2 9 3" xfId="19838"/>
    <cellStyle name="20% - Accent6 5 3" xfId="2515"/>
    <cellStyle name="20% - Accent6 5 3 10" xfId="9179"/>
    <cellStyle name="20% - Accent6 5 3 10 2" xfId="23654"/>
    <cellStyle name="20% - Accent6 5 3 11" xfId="19839"/>
    <cellStyle name="20% - Accent6 5 3 2" xfId="2516"/>
    <cellStyle name="20% - Accent6 5 3 2 2" xfId="2517"/>
    <cellStyle name="20% - Accent6 5 3 2 2 2" xfId="10906"/>
    <cellStyle name="20% - Accent6 5 3 2 2 2 2" xfId="24848"/>
    <cellStyle name="20% - Accent6 5 3 2 2 3" xfId="19841"/>
    <cellStyle name="20% - Accent6 5 3 2 3" xfId="2518"/>
    <cellStyle name="20% - Accent6 5 3 2 3 2" xfId="12562"/>
    <cellStyle name="20% - Accent6 5 3 2 3 2 2" xfId="26274"/>
    <cellStyle name="20% - Accent6 5 3 2 3 3" xfId="19842"/>
    <cellStyle name="20% - Accent6 5 3 2 4" xfId="2519"/>
    <cellStyle name="20% - Accent6 5 3 2 4 2" xfId="15034"/>
    <cellStyle name="20% - Accent6 5 3 2 4 2 2" xfId="28583"/>
    <cellStyle name="20% - Accent6 5 3 2 4 3" xfId="19843"/>
    <cellStyle name="20% - Accent6 5 3 2 5" xfId="2520"/>
    <cellStyle name="20% - Accent6 5 3 2 5 2" xfId="16740"/>
    <cellStyle name="20% - Accent6 5 3 2 5 2 2" xfId="30147"/>
    <cellStyle name="20% - Accent6 5 3 2 5 3" xfId="19844"/>
    <cellStyle name="20% - Accent6 5 3 2 6" xfId="9180"/>
    <cellStyle name="20% - Accent6 5 3 2 6 2" xfId="23655"/>
    <cellStyle name="20% - Accent6 5 3 2 7" xfId="19840"/>
    <cellStyle name="20% - Accent6 5 3 3" xfId="2521"/>
    <cellStyle name="20% - Accent6 5 3 3 2" xfId="2522"/>
    <cellStyle name="20% - Accent6 5 3 3 2 2" xfId="15035"/>
    <cellStyle name="20% - Accent6 5 3 3 2 2 2" xfId="28584"/>
    <cellStyle name="20% - Accent6 5 3 3 2 3" xfId="19846"/>
    <cellStyle name="20% - Accent6 5 3 3 3" xfId="10905"/>
    <cellStyle name="20% - Accent6 5 3 3 3 2" xfId="24847"/>
    <cellStyle name="20% - Accent6 5 3 3 4" xfId="19845"/>
    <cellStyle name="20% - Accent6 5 3 4" xfId="2523"/>
    <cellStyle name="20% - Accent6 5 3 4 2" xfId="12128"/>
    <cellStyle name="20% - Accent6 5 3 4 2 2" xfId="25840"/>
    <cellStyle name="20% - Accent6 5 3 4 3" xfId="19847"/>
    <cellStyle name="20% - Accent6 5 3 5" xfId="2524"/>
    <cellStyle name="20% - Accent6 5 3 5 2" xfId="12806"/>
    <cellStyle name="20% - Accent6 5 3 5 2 2" xfId="26518"/>
    <cellStyle name="20% - Accent6 5 3 5 3" xfId="19848"/>
    <cellStyle name="20% - Accent6 5 3 6" xfId="2525"/>
    <cellStyle name="20% - Accent6 5 3 6 2" xfId="13692"/>
    <cellStyle name="20% - Accent6 5 3 6 2 2" xfId="27241"/>
    <cellStyle name="20% - Accent6 5 3 6 3" xfId="19849"/>
    <cellStyle name="20% - Accent6 5 3 7" xfId="2526"/>
    <cellStyle name="20% - Accent6 5 3 7 2" xfId="14273"/>
    <cellStyle name="20% - Accent6 5 3 7 2 2" xfId="27822"/>
    <cellStyle name="20% - Accent6 5 3 7 3" xfId="19850"/>
    <cellStyle name="20% - Accent6 5 3 8" xfId="2527"/>
    <cellStyle name="20% - Accent6 5 3 8 2" xfId="15033"/>
    <cellStyle name="20% - Accent6 5 3 8 2 2" xfId="28582"/>
    <cellStyle name="20% - Accent6 5 3 8 3" xfId="19851"/>
    <cellStyle name="20% - Accent6 5 3 9" xfId="2528"/>
    <cellStyle name="20% - Accent6 5 3 9 2" xfId="16159"/>
    <cellStyle name="20% - Accent6 5 3 9 2 2" xfId="29566"/>
    <cellStyle name="20% - Accent6 5 3 9 3" xfId="19852"/>
    <cellStyle name="20% - Accent6 5 4" xfId="2529"/>
    <cellStyle name="20% - Accent6 5 4 2" xfId="2530"/>
    <cellStyle name="20% - Accent6 5 4 2 2" xfId="10907"/>
    <cellStyle name="20% - Accent6 5 4 2 2 2" xfId="24849"/>
    <cellStyle name="20% - Accent6 5 4 2 3" xfId="19854"/>
    <cellStyle name="20% - Accent6 5 4 3" xfId="2531"/>
    <cellStyle name="20% - Accent6 5 4 3 2" xfId="12116"/>
    <cellStyle name="20% - Accent6 5 4 3 2 2" xfId="25828"/>
    <cellStyle name="20% - Accent6 5 4 3 3" xfId="19855"/>
    <cellStyle name="20% - Accent6 5 4 4" xfId="2532"/>
    <cellStyle name="20% - Accent6 5 4 4 2" xfId="15036"/>
    <cellStyle name="20% - Accent6 5 4 4 2 2" xfId="28585"/>
    <cellStyle name="20% - Accent6 5 4 4 3" xfId="19856"/>
    <cellStyle name="20% - Accent6 5 4 5" xfId="2533"/>
    <cellStyle name="20% - Accent6 5 4 5 2" xfId="16448"/>
    <cellStyle name="20% - Accent6 5 4 5 2 2" xfId="29855"/>
    <cellStyle name="20% - Accent6 5 4 5 3" xfId="19857"/>
    <cellStyle name="20% - Accent6 5 4 6" xfId="9181"/>
    <cellStyle name="20% - Accent6 5 4 6 2" xfId="23656"/>
    <cellStyle name="20% - Accent6 5 4 7" xfId="19853"/>
    <cellStyle name="20% - Accent6 5 5" xfId="2534"/>
    <cellStyle name="20% - Accent6 5 5 2" xfId="2535"/>
    <cellStyle name="20% - Accent6 5 5 2 2" xfId="15037"/>
    <cellStyle name="20% - Accent6 5 5 2 2 2" xfId="28586"/>
    <cellStyle name="20% - Accent6 5 5 2 3" xfId="19859"/>
    <cellStyle name="20% - Accent6 5 5 3" xfId="10900"/>
    <cellStyle name="20% - Accent6 5 5 3 2" xfId="24842"/>
    <cellStyle name="20% - Accent6 5 5 4" xfId="19858"/>
    <cellStyle name="20% - Accent6 5 6" xfId="2536"/>
    <cellStyle name="20% - Accent6 5 6 2" xfId="11799"/>
    <cellStyle name="20% - Accent6 5 6 2 2" xfId="25514"/>
    <cellStyle name="20% - Accent6 5 6 3" xfId="19860"/>
    <cellStyle name="20% - Accent6 5 7" xfId="2537"/>
    <cellStyle name="20% - Accent6 5 7 2" xfId="12559"/>
    <cellStyle name="20% - Accent6 5 7 2 2" xfId="26271"/>
    <cellStyle name="20% - Accent6 5 7 3" xfId="19861"/>
    <cellStyle name="20% - Accent6 5 8" xfId="2538"/>
    <cellStyle name="20% - Accent6 5 8 2" xfId="13400"/>
    <cellStyle name="20% - Accent6 5 8 2 2" xfId="26949"/>
    <cellStyle name="20% - Accent6 5 8 3" xfId="19862"/>
    <cellStyle name="20% - Accent6 5 9" xfId="2539"/>
    <cellStyle name="20% - Accent6 5 9 2" xfId="13981"/>
    <cellStyle name="20% - Accent6 5 9 2 2" xfId="27530"/>
    <cellStyle name="20% - Accent6 5 9 3" xfId="19863"/>
    <cellStyle name="20% - Accent6 6" xfId="2540"/>
    <cellStyle name="20% - Accent6 6 10" xfId="2541"/>
    <cellStyle name="20% - Accent6 6 10 2" xfId="15038"/>
    <cellStyle name="20% - Accent6 6 10 2 2" xfId="28587"/>
    <cellStyle name="20% - Accent6 6 10 3" xfId="19865"/>
    <cellStyle name="20% - Accent6 6 11" xfId="2542"/>
    <cellStyle name="20% - Accent6 6 11 2" xfId="15973"/>
    <cellStyle name="20% - Accent6 6 11 2 2" xfId="29380"/>
    <cellStyle name="20% - Accent6 6 11 3" xfId="19866"/>
    <cellStyle name="20% - Accent6 6 12" xfId="9182"/>
    <cellStyle name="20% - Accent6 6 12 2" xfId="23657"/>
    <cellStyle name="20% - Accent6 6 13" xfId="19864"/>
    <cellStyle name="20% - Accent6 6 2" xfId="2543"/>
    <cellStyle name="20% - Accent6 6 2 10" xfId="2544"/>
    <cellStyle name="20% - Accent6 6 2 10 2" xfId="16116"/>
    <cellStyle name="20% - Accent6 6 2 10 2 2" xfId="29523"/>
    <cellStyle name="20% - Accent6 6 2 10 3" xfId="19868"/>
    <cellStyle name="20% - Accent6 6 2 11" xfId="9183"/>
    <cellStyle name="20% - Accent6 6 2 11 2" xfId="23658"/>
    <cellStyle name="20% - Accent6 6 2 12" xfId="19867"/>
    <cellStyle name="20% - Accent6 6 2 2" xfId="2545"/>
    <cellStyle name="20% - Accent6 6 2 2 10" xfId="9184"/>
    <cellStyle name="20% - Accent6 6 2 2 10 2" xfId="23659"/>
    <cellStyle name="20% - Accent6 6 2 2 11" xfId="19869"/>
    <cellStyle name="20% - Accent6 6 2 2 2" xfId="2546"/>
    <cellStyle name="20% - Accent6 6 2 2 2 2" xfId="2547"/>
    <cellStyle name="20% - Accent6 6 2 2 2 2 2" xfId="10911"/>
    <cellStyle name="20% - Accent6 6 2 2 2 2 2 2" xfId="24853"/>
    <cellStyle name="20% - Accent6 6 2 2 2 2 3" xfId="19871"/>
    <cellStyle name="20% - Accent6 6 2 2 2 3" xfId="2548"/>
    <cellStyle name="20% - Accent6 6 2 2 2 3 2" xfId="12793"/>
    <cellStyle name="20% - Accent6 6 2 2 2 3 2 2" xfId="26505"/>
    <cellStyle name="20% - Accent6 6 2 2 2 3 3" xfId="19872"/>
    <cellStyle name="20% - Accent6 6 2 2 2 4" xfId="2549"/>
    <cellStyle name="20% - Accent6 6 2 2 2 4 2" xfId="15041"/>
    <cellStyle name="20% - Accent6 6 2 2 2 4 2 2" xfId="28590"/>
    <cellStyle name="20% - Accent6 6 2 2 2 4 3" xfId="19873"/>
    <cellStyle name="20% - Accent6 6 2 2 2 5" xfId="2550"/>
    <cellStyle name="20% - Accent6 6 2 2 2 5 2" xfId="16986"/>
    <cellStyle name="20% - Accent6 6 2 2 2 5 2 2" xfId="30393"/>
    <cellStyle name="20% - Accent6 6 2 2 2 5 3" xfId="19874"/>
    <cellStyle name="20% - Accent6 6 2 2 2 6" xfId="9185"/>
    <cellStyle name="20% - Accent6 6 2 2 2 6 2" xfId="23660"/>
    <cellStyle name="20% - Accent6 6 2 2 2 7" xfId="19870"/>
    <cellStyle name="20% - Accent6 6 2 2 3" xfId="2551"/>
    <cellStyle name="20% - Accent6 6 2 2 3 2" xfId="2552"/>
    <cellStyle name="20% - Accent6 6 2 2 3 2 2" xfId="15042"/>
    <cellStyle name="20% - Accent6 6 2 2 3 2 2 2" xfId="28591"/>
    <cellStyle name="20% - Accent6 6 2 2 3 2 3" xfId="19876"/>
    <cellStyle name="20% - Accent6 6 2 2 3 3" xfId="10910"/>
    <cellStyle name="20% - Accent6 6 2 2 3 3 2" xfId="24852"/>
    <cellStyle name="20% - Accent6 6 2 2 3 4" xfId="19875"/>
    <cellStyle name="20% - Accent6 6 2 2 4" xfId="2553"/>
    <cellStyle name="20% - Accent6 6 2 2 4 2" xfId="12374"/>
    <cellStyle name="20% - Accent6 6 2 2 4 2 2" xfId="26086"/>
    <cellStyle name="20% - Accent6 6 2 2 4 3" xfId="19877"/>
    <cellStyle name="20% - Accent6 6 2 2 5" xfId="2554"/>
    <cellStyle name="20% - Accent6 6 2 2 5 2" xfId="12701"/>
    <cellStyle name="20% - Accent6 6 2 2 5 2 2" xfId="26413"/>
    <cellStyle name="20% - Accent6 6 2 2 5 3" xfId="19878"/>
    <cellStyle name="20% - Accent6 6 2 2 6" xfId="2555"/>
    <cellStyle name="20% - Accent6 6 2 2 6 2" xfId="13938"/>
    <cellStyle name="20% - Accent6 6 2 2 6 2 2" xfId="27487"/>
    <cellStyle name="20% - Accent6 6 2 2 6 3" xfId="19879"/>
    <cellStyle name="20% - Accent6 6 2 2 7" xfId="2556"/>
    <cellStyle name="20% - Accent6 6 2 2 7 2" xfId="14519"/>
    <cellStyle name="20% - Accent6 6 2 2 7 2 2" xfId="28068"/>
    <cellStyle name="20% - Accent6 6 2 2 7 3" xfId="19880"/>
    <cellStyle name="20% - Accent6 6 2 2 8" xfId="2557"/>
    <cellStyle name="20% - Accent6 6 2 2 8 2" xfId="15040"/>
    <cellStyle name="20% - Accent6 6 2 2 8 2 2" xfId="28589"/>
    <cellStyle name="20% - Accent6 6 2 2 8 3" xfId="19881"/>
    <cellStyle name="20% - Accent6 6 2 2 9" xfId="2558"/>
    <cellStyle name="20% - Accent6 6 2 2 9 2" xfId="16405"/>
    <cellStyle name="20% - Accent6 6 2 2 9 2 2" xfId="29812"/>
    <cellStyle name="20% - Accent6 6 2 2 9 3" xfId="19882"/>
    <cellStyle name="20% - Accent6 6 2 3" xfId="2559"/>
    <cellStyle name="20% - Accent6 6 2 3 2" xfId="2560"/>
    <cellStyle name="20% - Accent6 6 2 3 2 2" xfId="10912"/>
    <cellStyle name="20% - Accent6 6 2 3 2 2 2" xfId="24854"/>
    <cellStyle name="20% - Accent6 6 2 3 2 3" xfId="19884"/>
    <cellStyle name="20% - Accent6 6 2 3 3" xfId="2561"/>
    <cellStyle name="20% - Accent6 6 2 3 3 2" xfId="12708"/>
    <cellStyle name="20% - Accent6 6 2 3 3 2 2" xfId="26420"/>
    <cellStyle name="20% - Accent6 6 2 3 3 3" xfId="19885"/>
    <cellStyle name="20% - Accent6 6 2 3 4" xfId="2562"/>
    <cellStyle name="20% - Accent6 6 2 3 4 2" xfId="15043"/>
    <cellStyle name="20% - Accent6 6 2 3 4 2 2" xfId="28592"/>
    <cellStyle name="20% - Accent6 6 2 3 4 3" xfId="19886"/>
    <cellStyle name="20% - Accent6 6 2 3 5" xfId="2563"/>
    <cellStyle name="20% - Accent6 6 2 3 5 2" xfId="16697"/>
    <cellStyle name="20% - Accent6 6 2 3 5 2 2" xfId="30104"/>
    <cellStyle name="20% - Accent6 6 2 3 5 3" xfId="19887"/>
    <cellStyle name="20% - Accent6 6 2 3 6" xfId="9186"/>
    <cellStyle name="20% - Accent6 6 2 3 6 2" xfId="23661"/>
    <cellStyle name="20% - Accent6 6 2 3 7" xfId="19883"/>
    <cellStyle name="20% - Accent6 6 2 4" xfId="2564"/>
    <cellStyle name="20% - Accent6 6 2 4 2" xfId="2565"/>
    <cellStyle name="20% - Accent6 6 2 4 2 2" xfId="15044"/>
    <cellStyle name="20% - Accent6 6 2 4 2 2 2" xfId="28593"/>
    <cellStyle name="20% - Accent6 6 2 4 2 3" xfId="19889"/>
    <cellStyle name="20% - Accent6 6 2 4 3" xfId="10909"/>
    <cellStyle name="20% - Accent6 6 2 4 3 2" xfId="24851"/>
    <cellStyle name="20% - Accent6 6 2 4 4" xfId="19888"/>
    <cellStyle name="20% - Accent6 6 2 5" xfId="2566"/>
    <cellStyle name="20% - Accent6 6 2 5 2" xfId="12074"/>
    <cellStyle name="20% - Accent6 6 2 5 2 2" xfId="25789"/>
    <cellStyle name="20% - Accent6 6 2 5 3" xfId="19890"/>
    <cellStyle name="20% - Accent6 6 2 6" xfId="2567"/>
    <cellStyle name="20% - Accent6 6 2 6 2" xfId="12661"/>
    <cellStyle name="20% - Accent6 6 2 6 2 2" xfId="26373"/>
    <cellStyle name="20% - Accent6 6 2 6 3" xfId="19891"/>
    <cellStyle name="20% - Accent6 6 2 7" xfId="2568"/>
    <cellStyle name="20% - Accent6 6 2 7 2" xfId="13649"/>
    <cellStyle name="20% - Accent6 6 2 7 2 2" xfId="27198"/>
    <cellStyle name="20% - Accent6 6 2 7 3" xfId="19892"/>
    <cellStyle name="20% - Accent6 6 2 8" xfId="2569"/>
    <cellStyle name="20% - Accent6 6 2 8 2" xfId="14230"/>
    <cellStyle name="20% - Accent6 6 2 8 2 2" xfId="27779"/>
    <cellStyle name="20% - Accent6 6 2 8 3" xfId="19893"/>
    <cellStyle name="20% - Accent6 6 2 9" xfId="2570"/>
    <cellStyle name="20% - Accent6 6 2 9 2" xfId="15039"/>
    <cellStyle name="20% - Accent6 6 2 9 2 2" xfId="28588"/>
    <cellStyle name="20% - Accent6 6 2 9 3" xfId="19894"/>
    <cellStyle name="20% - Accent6 6 3" xfId="2571"/>
    <cellStyle name="20% - Accent6 6 3 10" xfId="9187"/>
    <cellStyle name="20% - Accent6 6 3 10 2" xfId="23662"/>
    <cellStyle name="20% - Accent6 6 3 11" xfId="19895"/>
    <cellStyle name="20% - Accent6 6 3 2" xfId="2572"/>
    <cellStyle name="20% - Accent6 6 3 2 2" xfId="2573"/>
    <cellStyle name="20% - Accent6 6 3 2 2 2" xfId="10914"/>
    <cellStyle name="20% - Accent6 6 3 2 2 2 2" xfId="24856"/>
    <cellStyle name="20% - Accent6 6 3 2 2 3" xfId="19897"/>
    <cellStyle name="20% - Accent6 6 3 2 3" xfId="2574"/>
    <cellStyle name="20% - Accent6 6 3 2 3 2" xfId="12667"/>
    <cellStyle name="20% - Accent6 6 3 2 3 2 2" xfId="26379"/>
    <cellStyle name="20% - Accent6 6 3 2 3 3" xfId="19898"/>
    <cellStyle name="20% - Accent6 6 3 2 4" xfId="2575"/>
    <cellStyle name="20% - Accent6 6 3 2 4 2" xfId="15046"/>
    <cellStyle name="20% - Accent6 6 3 2 4 2 2" xfId="28595"/>
    <cellStyle name="20% - Accent6 6 3 2 4 3" xfId="19899"/>
    <cellStyle name="20% - Accent6 6 3 2 5" xfId="2576"/>
    <cellStyle name="20% - Accent6 6 3 2 5 2" xfId="16843"/>
    <cellStyle name="20% - Accent6 6 3 2 5 2 2" xfId="30250"/>
    <cellStyle name="20% - Accent6 6 3 2 5 3" xfId="19900"/>
    <cellStyle name="20% - Accent6 6 3 2 6" xfId="9188"/>
    <cellStyle name="20% - Accent6 6 3 2 6 2" xfId="23663"/>
    <cellStyle name="20% - Accent6 6 3 2 7" xfId="19896"/>
    <cellStyle name="20% - Accent6 6 3 3" xfId="2577"/>
    <cellStyle name="20% - Accent6 6 3 3 2" xfId="2578"/>
    <cellStyle name="20% - Accent6 6 3 3 2 2" xfId="15047"/>
    <cellStyle name="20% - Accent6 6 3 3 2 2 2" xfId="28596"/>
    <cellStyle name="20% - Accent6 6 3 3 2 3" xfId="19902"/>
    <cellStyle name="20% - Accent6 6 3 3 3" xfId="10913"/>
    <cellStyle name="20% - Accent6 6 3 3 3 2" xfId="24855"/>
    <cellStyle name="20% - Accent6 6 3 3 4" xfId="19901"/>
    <cellStyle name="20% - Accent6 6 3 4" xfId="2579"/>
    <cellStyle name="20% - Accent6 6 3 4 2" xfId="12231"/>
    <cellStyle name="20% - Accent6 6 3 4 2 2" xfId="25943"/>
    <cellStyle name="20% - Accent6 6 3 4 3" xfId="19903"/>
    <cellStyle name="20% - Accent6 6 3 5" xfId="2580"/>
    <cellStyle name="20% - Accent6 6 3 5 2" xfId="12631"/>
    <cellStyle name="20% - Accent6 6 3 5 2 2" xfId="26343"/>
    <cellStyle name="20% - Accent6 6 3 5 3" xfId="19904"/>
    <cellStyle name="20% - Accent6 6 3 6" xfId="2581"/>
    <cellStyle name="20% - Accent6 6 3 6 2" xfId="13795"/>
    <cellStyle name="20% - Accent6 6 3 6 2 2" xfId="27344"/>
    <cellStyle name="20% - Accent6 6 3 6 3" xfId="19905"/>
    <cellStyle name="20% - Accent6 6 3 7" xfId="2582"/>
    <cellStyle name="20% - Accent6 6 3 7 2" xfId="14376"/>
    <cellStyle name="20% - Accent6 6 3 7 2 2" xfId="27925"/>
    <cellStyle name="20% - Accent6 6 3 7 3" xfId="19906"/>
    <cellStyle name="20% - Accent6 6 3 8" xfId="2583"/>
    <cellStyle name="20% - Accent6 6 3 8 2" xfId="15045"/>
    <cellStyle name="20% - Accent6 6 3 8 2 2" xfId="28594"/>
    <cellStyle name="20% - Accent6 6 3 8 3" xfId="19907"/>
    <cellStyle name="20% - Accent6 6 3 9" xfId="2584"/>
    <cellStyle name="20% - Accent6 6 3 9 2" xfId="16262"/>
    <cellStyle name="20% - Accent6 6 3 9 2 2" xfId="29669"/>
    <cellStyle name="20% - Accent6 6 3 9 3" xfId="19908"/>
    <cellStyle name="20% - Accent6 6 4" xfId="2585"/>
    <cellStyle name="20% - Accent6 6 4 2" xfId="2586"/>
    <cellStyle name="20% - Accent6 6 4 2 2" xfId="10915"/>
    <cellStyle name="20% - Accent6 6 4 2 2 2" xfId="24857"/>
    <cellStyle name="20% - Accent6 6 4 2 3" xfId="19910"/>
    <cellStyle name="20% - Accent6 6 4 3" xfId="2587"/>
    <cellStyle name="20% - Accent6 6 4 3 2" xfId="12707"/>
    <cellStyle name="20% - Accent6 6 4 3 2 2" xfId="26419"/>
    <cellStyle name="20% - Accent6 6 4 3 3" xfId="19911"/>
    <cellStyle name="20% - Accent6 6 4 4" xfId="2588"/>
    <cellStyle name="20% - Accent6 6 4 4 2" xfId="15048"/>
    <cellStyle name="20% - Accent6 6 4 4 2 2" xfId="28597"/>
    <cellStyle name="20% - Accent6 6 4 4 3" xfId="19912"/>
    <cellStyle name="20% - Accent6 6 4 5" xfId="2589"/>
    <cellStyle name="20% - Accent6 6 4 5 2" xfId="16554"/>
    <cellStyle name="20% - Accent6 6 4 5 2 2" xfId="29961"/>
    <cellStyle name="20% - Accent6 6 4 5 3" xfId="19913"/>
    <cellStyle name="20% - Accent6 6 4 6" xfId="9189"/>
    <cellStyle name="20% - Accent6 6 4 6 2" xfId="23664"/>
    <cellStyle name="20% - Accent6 6 4 7" xfId="19909"/>
    <cellStyle name="20% - Accent6 6 5" xfId="2590"/>
    <cellStyle name="20% - Accent6 6 5 2" xfId="2591"/>
    <cellStyle name="20% - Accent6 6 5 2 2" xfId="15049"/>
    <cellStyle name="20% - Accent6 6 5 2 2 2" xfId="28598"/>
    <cellStyle name="20% - Accent6 6 5 2 3" xfId="19915"/>
    <cellStyle name="20% - Accent6 6 5 3" xfId="10908"/>
    <cellStyle name="20% - Accent6 6 5 3 2" xfId="24850"/>
    <cellStyle name="20% - Accent6 6 5 4" xfId="19914"/>
    <cellStyle name="20% - Accent6 6 6" xfId="2592"/>
    <cellStyle name="20% - Accent6 6 6 2" xfId="11929"/>
    <cellStyle name="20% - Accent6 6 6 2 2" xfId="25644"/>
    <cellStyle name="20% - Accent6 6 6 3" xfId="19916"/>
    <cellStyle name="20% - Accent6 6 7" xfId="2593"/>
    <cellStyle name="20% - Accent6 6 7 2" xfId="12568"/>
    <cellStyle name="20% - Accent6 6 7 2 2" xfId="26280"/>
    <cellStyle name="20% - Accent6 6 7 3" xfId="19917"/>
    <cellStyle name="20% - Accent6 6 8" xfId="2594"/>
    <cellStyle name="20% - Accent6 6 8 2" xfId="13506"/>
    <cellStyle name="20% - Accent6 6 8 2 2" xfId="27055"/>
    <cellStyle name="20% - Accent6 6 8 3" xfId="19918"/>
    <cellStyle name="20% - Accent6 6 9" xfId="2595"/>
    <cellStyle name="20% - Accent6 6 9 2" xfId="14087"/>
    <cellStyle name="20% - Accent6 6 9 2 2" xfId="27636"/>
    <cellStyle name="20% - Accent6 6 9 3" xfId="19919"/>
    <cellStyle name="20% - Accent6 7" xfId="2596"/>
    <cellStyle name="20% - Accent6 7 10" xfId="2597"/>
    <cellStyle name="20% - Accent6 7 10 2" xfId="15998"/>
    <cellStyle name="20% - Accent6 7 10 2 2" xfId="29405"/>
    <cellStyle name="20% - Accent6 7 10 3" xfId="19921"/>
    <cellStyle name="20% - Accent6 7 11" xfId="9190"/>
    <cellStyle name="20% - Accent6 7 11 2" xfId="23665"/>
    <cellStyle name="20% - Accent6 7 12" xfId="19920"/>
    <cellStyle name="20% - Accent6 7 2" xfId="2598"/>
    <cellStyle name="20% - Accent6 7 2 10" xfId="9191"/>
    <cellStyle name="20% - Accent6 7 2 10 2" xfId="23666"/>
    <cellStyle name="20% - Accent6 7 2 11" xfId="19922"/>
    <cellStyle name="20% - Accent6 7 2 2" xfId="2599"/>
    <cellStyle name="20% - Accent6 7 2 2 2" xfId="2600"/>
    <cellStyle name="20% - Accent6 7 2 2 2 2" xfId="10918"/>
    <cellStyle name="20% - Accent6 7 2 2 2 2 2" xfId="24860"/>
    <cellStyle name="20% - Accent6 7 2 2 2 3" xfId="19924"/>
    <cellStyle name="20% - Accent6 7 2 2 3" xfId="2601"/>
    <cellStyle name="20% - Accent6 7 2 2 3 2" xfId="11854"/>
    <cellStyle name="20% - Accent6 7 2 2 3 2 2" xfId="25569"/>
    <cellStyle name="20% - Accent6 7 2 2 3 3" xfId="19925"/>
    <cellStyle name="20% - Accent6 7 2 2 4" xfId="2602"/>
    <cellStyle name="20% - Accent6 7 2 2 4 2" xfId="15052"/>
    <cellStyle name="20% - Accent6 7 2 2 4 2 2" xfId="28601"/>
    <cellStyle name="20% - Accent6 7 2 2 4 3" xfId="19926"/>
    <cellStyle name="20% - Accent6 7 2 2 5" xfId="2603"/>
    <cellStyle name="20% - Accent6 7 2 2 5 2" xfId="16868"/>
    <cellStyle name="20% - Accent6 7 2 2 5 2 2" xfId="30275"/>
    <cellStyle name="20% - Accent6 7 2 2 5 3" xfId="19927"/>
    <cellStyle name="20% - Accent6 7 2 2 6" xfId="9192"/>
    <cellStyle name="20% - Accent6 7 2 2 6 2" xfId="23667"/>
    <cellStyle name="20% - Accent6 7 2 2 7" xfId="19923"/>
    <cellStyle name="20% - Accent6 7 2 3" xfId="2604"/>
    <cellStyle name="20% - Accent6 7 2 3 2" xfId="2605"/>
    <cellStyle name="20% - Accent6 7 2 3 2 2" xfId="15053"/>
    <cellStyle name="20% - Accent6 7 2 3 2 2 2" xfId="28602"/>
    <cellStyle name="20% - Accent6 7 2 3 2 3" xfId="19929"/>
    <cellStyle name="20% - Accent6 7 2 3 3" xfId="10917"/>
    <cellStyle name="20% - Accent6 7 2 3 3 2" xfId="24859"/>
    <cellStyle name="20% - Accent6 7 2 3 4" xfId="19928"/>
    <cellStyle name="20% - Accent6 7 2 4" xfId="2606"/>
    <cellStyle name="20% - Accent6 7 2 4 2" xfId="12256"/>
    <cellStyle name="20% - Accent6 7 2 4 2 2" xfId="25968"/>
    <cellStyle name="20% - Accent6 7 2 4 3" xfId="19930"/>
    <cellStyle name="20% - Accent6 7 2 5" xfId="2607"/>
    <cellStyle name="20% - Accent6 7 2 5 2" xfId="12759"/>
    <cellStyle name="20% - Accent6 7 2 5 2 2" xfId="26471"/>
    <cellStyle name="20% - Accent6 7 2 5 3" xfId="19931"/>
    <cellStyle name="20% - Accent6 7 2 6" xfId="2608"/>
    <cellStyle name="20% - Accent6 7 2 6 2" xfId="13820"/>
    <cellStyle name="20% - Accent6 7 2 6 2 2" xfId="27369"/>
    <cellStyle name="20% - Accent6 7 2 6 3" xfId="19932"/>
    <cellStyle name="20% - Accent6 7 2 7" xfId="2609"/>
    <cellStyle name="20% - Accent6 7 2 7 2" xfId="14401"/>
    <cellStyle name="20% - Accent6 7 2 7 2 2" xfId="27950"/>
    <cellStyle name="20% - Accent6 7 2 7 3" xfId="19933"/>
    <cellStyle name="20% - Accent6 7 2 8" xfId="2610"/>
    <cellStyle name="20% - Accent6 7 2 8 2" xfId="15051"/>
    <cellStyle name="20% - Accent6 7 2 8 2 2" xfId="28600"/>
    <cellStyle name="20% - Accent6 7 2 8 3" xfId="19934"/>
    <cellStyle name="20% - Accent6 7 2 9" xfId="2611"/>
    <cellStyle name="20% - Accent6 7 2 9 2" xfId="16287"/>
    <cellStyle name="20% - Accent6 7 2 9 2 2" xfId="29694"/>
    <cellStyle name="20% - Accent6 7 2 9 3" xfId="19935"/>
    <cellStyle name="20% - Accent6 7 3" xfId="2612"/>
    <cellStyle name="20% - Accent6 7 3 2" xfId="2613"/>
    <cellStyle name="20% - Accent6 7 3 2 2" xfId="10919"/>
    <cellStyle name="20% - Accent6 7 3 2 2 2" xfId="24861"/>
    <cellStyle name="20% - Accent6 7 3 2 3" xfId="19937"/>
    <cellStyle name="20% - Accent6 7 3 3" xfId="2614"/>
    <cellStyle name="20% - Accent6 7 3 3 2" xfId="12719"/>
    <cellStyle name="20% - Accent6 7 3 3 2 2" xfId="26431"/>
    <cellStyle name="20% - Accent6 7 3 3 3" xfId="19938"/>
    <cellStyle name="20% - Accent6 7 3 4" xfId="2615"/>
    <cellStyle name="20% - Accent6 7 3 4 2" xfId="15054"/>
    <cellStyle name="20% - Accent6 7 3 4 2 2" xfId="28603"/>
    <cellStyle name="20% - Accent6 7 3 4 3" xfId="19939"/>
    <cellStyle name="20% - Accent6 7 3 5" xfId="2616"/>
    <cellStyle name="20% - Accent6 7 3 5 2" xfId="16579"/>
    <cellStyle name="20% - Accent6 7 3 5 2 2" xfId="29986"/>
    <cellStyle name="20% - Accent6 7 3 5 3" xfId="19940"/>
    <cellStyle name="20% - Accent6 7 3 6" xfId="9193"/>
    <cellStyle name="20% - Accent6 7 3 6 2" xfId="23668"/>
    <cellStyle name="20% - Accent6 7 3 7" xfId="19936"/>
    <cellStyle name="20% - Accent6 7 4" xfId="2617"/>
    <cellStyle name="20% - Accent6 7 4 2" xfId="2618"/>
    <cellStyle name="20% - Accent6 7 4 2 2" xfId="15055"/>
    <cellStyle name="20% - Accent6 7 4 2 2 2" xfId="28604"/>
    <cellStyle name="20% - Accent6 7 4 2 3" xfId="19942"/>
    <cellStyle name="20% - Accent6 7 4 3" xfId="10916"/>
    <cellStyle name="20% - Accent6 7 4 3 2" xfId="24858"/>
    <cellStyle name="20% - Accent6 7 4 4" xfId="19941"/>
    <cellStyle name="20% - Accent6 7 5" xfId="2619"/>
    <cellStyle name="20% - Accent6 7 5 2" xfId="11954"/>
    <cellStyle name="20% - Accent6 7 5 2 2" xfId="25669"/>
    <cellStyle name="20% - Accent6 7 5 3" xfId="19943"/>
    <cellStyle name="20% - Accent6 7 6" xfId="2620"/>
    <cellStyle name="20% - Accent6 7 6 2" xfId="12554"/>
    <cellStyle name="20% - Accent6 7 6 2 2" xfId="26266"/>
    <cellStyle name="20% - Accent6 7 6 3" xfId="19944"/>
    <cellStyle name="20% - Accent6 7 7" xfId="2621"/>
    <cellStyle name="20% - Accent6 7 7 2" xfId="13531"/>
    <cellStyle name="20% - Accent6 7 7 2 2" xfId="27080"/>
    <cellStyle name="20% - Accent6 7 7 3" xfId="19945"/>
    <cellStyle name="20% - Accent6 7 8" xfId="2622"/>
    <cellStyle name="20% - Accent6 7 8 2" xfId="14112"/>
    <cellStyle name="20% - Accent6 7 8 2 2" xfId="27661"/>
    <cellStyle name="20% - Accent6 7 8 3" xfId="19946"/>
    <cellStyle name="20% - Accent6 7 9" xfId="2623"/>
    <cellStyle name="20% - Accent6 7 9 2" xfId="15050"/>
    <cellStyle name="20% - Accent6 7 9 2 2" xfId="28599"/>
    <cellStyle name="20% - Accent6 7 9 3" xfId="19947"/>
    <cellStyle name="20% - Accent6 8" xfId="2624"/>
    <cellStyle name="20% - Accent6 8 10" xfId="9194"/>
    <cellStyle name="20% - Accent6 8 10 2" xfId="23669"/>
    <cellStyle name="20% - Accent6 8 11" xfId="19948"/>
    <cellStyle name="20% - Accent6 8 2" xfId="2625"/>
    <cellStyle name="20% - Accent6 8 2 2" xfId="2626"/>
    <cellStyle name="20% - Accent6 8 2 2 2" xfId="10921"/>
    <cellStyle name="20% - Accent6 8 2 2 2 2" xfId="24863"/>
    <cellStyle name="20% - Accent6 8 2 2 3" xfId="19950"/>
    <cellStyle name="20% - Accent6 8 2 3" xfId="2627"/>
    <cellStyle name="20% - Accent6 8 2 3 2" xfId="11874"/>
    <cellStyle name="20% - Accent6 8 2 3 2 2" xfId="25589"/>
    <cellStyle name="20% - Accent6 8 2 3 3" xfId="19951"/>
    <cellStyle name="20% - Accent6 8 2 4" xfId="2628"/>
    <cellStyle name="20% - Accent6 8 2 4 2" xfId="15057"/>
    <cellStyle name="20% - Accent6 8 2 4 2 2" xfId="28606"/>
    <cellStyle name="20% - Accent6 8 2 4 3" xfId="19952"/>
    <cellStyle name="20% - Accent6 8 2 5" xfId="2629"/>
    <cellStyle name="20% - Accent6 8 2 5 2" xfId="16717"/>
    <cellStyle name="20% - Accent6 8 2 5 2 2" xfId="30124"/>
    <cellStyle name="20% - Accent6 8 2 5 3" xfId="19953"/>
    <cellStyle name="20% - Accent6 8 2 6" xfId="9195"/>
    <cellStyle name="20% - Accent6 8 2 6 2" xfId="23670"/>
    <cellStyle name="20% - Accent6 8 2 7" xfId="19949"/>
    <cellStyle name="20% - Accent6 8 3" xfId="2630"/>
    <cellStyle name="20% - Accent6 8 3 2" xfId="2631"/>
    <cellStyle name="20% - Accent6 8 3 2 2" xfId="15058"/>
    <cellStyle name="20% - Accent6 8 3 2 2 2" xfId="28607"/>
    <cellStyle name="20% - Accent6 8 3 2 3" xfId="19955"/>
    <cellStyle name="20% - Accent6 8 3 3" xfId="10920"/>
    <cellStyle name="20% - Accent6 8 3 3 2" xfId="24862"/>
    <cellStyle name="20% - Accent6 8 3 4" xfId="19954"/>
    <cellStyle name="20% - Accent6 8 4" xfId="2632"/>
    <cellStyle name="20% - Accent6 8 4 2" xfId="12095"/>
    <cellStyle name="20% - Accent6 8 4 2 2" xfId="25809"/>
    <cellStyle name="20% - Accent6 8 4 3" xfId="19956"/>
    <cellStyle name="20% - Accent6 8 5" xfId="2633"/>
    <cellStyle name="20% - Accent6 8 5 2" xfId="12705"/>
    <cellStyle name="20% - Accent6 8 5 2 2" xfId="26417"/>
    <cellStyle name="20% - Accent6 8 5 3" xfId="19957"/>
    <cellStyle name="20% - Accent6 8 6" xfId="2634"/>
    <cellStyle name="20% - Accent6 8 6 2" xfId="13669"/>
    <cellStyle name="20% - Accent6 8 6 2 2" xfId="27218"/>
    <cellStyle name="20% - Accent6 8 6 3" xfId="19958"/>
    <cellStyle name="20% - Accent6 8 7" xfId="2635"/>
    <cellStyle name="20% - Accent6 8 7 2" xfId="14250"/>
    <cellStyle name="20% - Accent6 8 7 2 2" xfId="27799"/>
    <cellStyle name="20% - Accent6 8 7 3" xfId="19959"/>
    <cellStyle name="20% - Accent6 8 8" xfId="2636"/>
    <cellStyle name="20% - Accent6 8 8 2" xfId="15056"/>
    <cellStyle name="20% - Accent6 8 8 2 2" xfId="28605"/>
    <cellStyle name="20% - Accent6 8 8 3" xfId="19960"/>
    <cellStyle name="20% - Accent6 8 9" xfId="2637"/>
    <cellStyle name="20% - Accent6 8 9 2" xfId="16136"/>
    <cellStyle name="20% - Accent6 8 9 2 2" xfId="29543"/>
    <cellStyle name="20% - Accent6 8 9 3" xfId="19961"/>
    <cellStyle name="20% - Accent6 9" xfId="2638"/>
    <cellStyle name="20% - Accent6 9 2" xfId="2639"/>
    <cellStyle name="20% - Accent6 9 2 2" xfId="10922"/>
    <cellStyle name="20% - Accent6 9 2 2 2" xfId="24864"/>
    <cellStyle name="20% - Accent6 9 2 3" xfId="19963"/>
    <cellStyle name="20% - Accent6 9 3" xfId="2640"/>
    <cellStyle name="20% - Accent6 9 3 2" xfId="12578"/>
    <cellStyle name="20% - Accent6 9 3 2 2" xfId="26290"/>
    <cellStyle name="20% - Accent6 9 3 3" xfId="19964"/>
    <cellStyle name="20% - Accent6 9 4" xfId="2641"/>
    <cellStyle name="20% - Accent6 9 4 2" xfId="15059"/>
    <cellStyle name="20% - Accent6 9 4 2 2" xfId="28608"/>
    <cellStyle name="20% - Accent6 9 4 3" xfId="19965"/>
    <cellStyle name="20% - Accent6 9 5" xfId="2642"/>
    <cellStyle name="20% - Accent6 9 5 2" xfId="17101"/>
    <cellStyle name="20% - Accent6 9 5 2 2" xfId="30460"/>
    <cellStyle name="20% - Accent6 9 5 3" xfId="19966"/>
    <cellStyle name="20% - Accent6 9 6" xfId="9196"/>
    <cellStyle name="20% - Accent6 9 6 2" xfId="23671"/>
    <cellStyle name="20% - Accent6 9 7" xfId="19962"/>
    <cellStyle name="40% - Accent1" xfId="29" builtinId="31" customBuiltin="1"/>
    <cellStyle name="40% - Accent1 10" xfId="2643"/>
    <cellStyle name="40% - Accent1 10 2" xfId="2644"/>
    <cellStyle name="40% - Accent1 10 2 2" xfId="2645"/>
    <cellStyle name="40% - Accent1 10 2 2 2" xfId="11856"/>
    <cellStyle name="40% - Accent1 10 2 2 2 2" xfId="25571"/>
    <cellStyle name="40% - Accent1 10 2 2 3" xfId="19969"/>
    <cellStyle name="40% - Accent1 10 2 3" xfId="2646"/>
    <cellStyle name="40% - Accent1 10 2 3 2" xfId="15062"/>
    <cellStyle name="40% - Accent1 10 2 3 2 2" xfId="28611"/>
    <cellStyle name="40% - Accent1 10 2 3 3" xfId="19970"/>
    <cellStyle name="40% - Accent1 10 2 4" xfId="10924"/>
    <cellStyle name="40% - Accent1 10 2 4 2" xfId="24866"/>
    <cellStyle name="40% - Accent1 10 2 5" xfId="19968"/>
    <cellStyle name="40% - Accent1 10 3" xfId="2647"/>
    <cellStyle name="40% - Accent1 10 3 2" xfId="12657"/>
    <cellStyle name="40% - Accent1 10 3 2 2" xfId="26369"/>
    <cellStyle name="40% - Accent1 10 3 3" xfId="19971"/>
    <cellStyle name="40% - Accent1 10 4" xfId="2648"/>
    <cellStyle name="40% - Accent1 10 4 2" xfId="15061"/>
    <cellStyle name="40% - Accent1 10 4 2 2" xfId="28610"/>
    <cellStyle name="40% - Accent1 10 4 3" xfId="19972"/>
    <cellStyle name="40% - Accent1 10 5" xfId="2649"/>
    <cellStyle name="40% - Accent1 10 5 2" xfId="17191"/>
    <cellStyle name="40% - Accent1 10 5 2 2" xfId="30550"/>
    <cellStyle name="40% - Accent1 10 5 3" xfId="19973"/>
    <cellStyle name="40% - Accent1 10 6" xfId="9198"/>
    <cellStyle name="40% - Accent1 10 6 2" xfId="23673"/>
    <cellStyle name="40% - Accent1 10 7" xfId="19967"/>
    <cellStyle name="40% - Accent1 11" xfId="2650"/>
    <cellStyle name="40% - Accent1 11 2" xfId="2651"/>
    <cellStyle name="40% - Accent1 11 2 2" xfId="10925"/>
    <cellStyle name="40% - Accent1 11 2 2 2" xfId="24867"/>
    <cellStyle name="40% - Accent1 11 2 3" xfId="19975"/>
    <cellStyle name="40% - Accent1 11 3" xfId="2652"/>
    <cellStyle name="40% - Accent1 11 3 2" xfId="12396"/>
    <cellStyle name="40% - Accent1 11 3 2 2" xfId="26108"/>
    <cellStyle name="40% - Accent1 11 3 3" xfId="19976"/>
    <cellStyle name="40% - Accent1 11 4" xfId="2653"/>
    <cellStyle name="40% - Accent1 11 4 2" xfId="15063"/>
    <cellStyle name="40% - Accent1 11 4 2 2" xfId="28612"/>
    <cellStyle name="40% - Accent1 11 4 3" xfId="19977"/>
    <cellStyle name="40% - Accent1 11 5" xfId="2654"/>
    <cellStyle name="40% - Accent1 11 5 2" xfId="17280"/>
    <cellStyle name="40% - Accent1 11 5 2 2" xfId="30639"/>
    <cellStyle name="40% - Accent1 11 5 3" xfId="19978"/>
    <cellStyle name="40% - Accent1 11 6" xfId="9199"/>
    <cellStyle name="40% - Accent1 11 6 2" xfId="23674"/>
    <cellStyle name="40% - Accent1 11 7" xfId="19974"/>
    <cellStyle name="40% - Accent1 12" xfId="2655"/>
    <cellStyle name="40% - Accent1 12 2" xfId="2656"/>
    <cellStyle name="40% - Accent1 12 2 2" xfId="2657"/>
    <cellStyle name="40% - Accent1 12 2 2 2" xfId="10927"/>
    <cellStyle name="40% - Accent1 12 2 2 2 2" xfId="24869"/>
    <cellStyle name="40% - Accent1 12 2 2 3" xfId="19981"/>
    <cellStyle name="40% - Accent1 12 2 3" xfId="2658"/>
    <cellStyle name="40% - Accent1 12 2 3 2" xfId="12775"/>
    <cellStyle name="40% - Accent1 12 2 3 2 2" xfId="26487"/>
    <cellStyle name="40% - Accent1 12 2 3 3" xfId="19982"/>
    <cellStyle name="40% - Accent1 12 2 4" xfId="2659"/>
    <cellStyle name="40% - Accent1 12 2 4 2" xfId="15065"/>
    <cellStyle name="40% - Accent1 12 2 4 2 2" xfId="28614"/>
    <cellStyle name="40% - Accent1 12 2 4 3" xfId="19983"/>
    <cellStyle name="40% - Accent1 12 2 5" xfId="9201"/>
    <cellStyle name="40% - Accent1 12 2 5 2" xfId="23676"/>
    <cellStyle name="40% - Accent1 12 2 6" xfId="19980"/>
    <cellStyle name="40% - Accent1 12 3" xfId="2660"/>
    <cellStyle name="40% - Accent1 12 3 2" xfId="10926"/>
    <cellStyle name="40% - Accent1 12 3 2 2" xfId="24868"/>
    <cellStyle name="40% - Accent1 12 3 3" xfId="19984"/>
    <cellStyle name="40% - Accent1 12 4" xfId="2661"/>
    <cellStyle name="40% - Accent1 12 4 2" xfId="11753"/>
    <cellStyle name="40% - Accent1 12 4 2 2" xfId="25468"/>
    <cellStyle name="40% - Accent1 12 4 3" xfId="19985"/>
    <cellStyle name="40% - Accent1 12 5" xfId="2662"/>
    <cellStyle name="40% - Accent1 12 5 2" xfId="15064"/>
    <cellStyle name="40% - Accent1 12 5 2 2" xfId="28613"/>
    <cellStyle name="40% - Accent1 12 5 3" xfId="19986"/>
    <cellStyle name="40% - Accent1 12 6" xfId="2663"/>
    <cellStyle name="40% - Accent1 12 6 2" xfId="16432"/>
    <cellStyle name="40% - Accent1 12 6 2 2" xfId="29839"/>
    <cellStyle name="40% - Accent1 12 6 3" xfId="19987"/>
    <cellStyle name="40% - Accent1 12 7" xfId="9200"/>
    <cellStyle name="40% - Accent1 12 7 2" xfId="23675"/>
    <cellStyle name="40% - Accent1 12 8" xfId="19979"/>
    <cellStyle name="40% - Accent1 13" xfId="2664"/>
    <cellStyle name="40% - Accent1 13 2" xfId="2665"/>
    <cellStyle name="40% - Accent1 13 2 2" xfId="10928"/>
    <cellStyle name="40% - Accent1 13 2 2 2" xfId="24870"/>
    <cellStyle name="40% - Accent1 13 2 3" xfId="19989"/>
    <cellStyle name="40% - Accent1 13 3" xfId="2666"/>
    <cellStyle name="40% - Accent1 13 3 2" xfId="11766"/>
    <cellStyle name="40% - Accent1 13 3 2 2" xfId="25481"/>
    <cellStyle name="40% - Accent1 13 3 3" xfId="19990"/>
    <cellStyle name="40% - Accent1 13 4" xfId="2667"/>
    <cellStyle name="40% - Accent1 13 4 2" xfId="15066"/>
    <cellStyle name="40% - Accent1 13 4 2 2" xfId="28615"/>
    <cellStyle name="40% - Accent1 13 4 3" xfId="19991"/>
    <cellStyle name="40% - Accent1 13 5" xfId="9202"/>
    <cellStyle name="40% - Accent1 13 5 2" xfId="23677"/>
    <cellStyle name="40% - Accent1 13 6" xfId="19988"/>
    <cellStyle name="40% - Accent1 14" xfId="2668"/>
    <cellStyle name="40% - Accent1 14 2" xfId="2669"/>
    <cellStyle name="40% - Accent1 14 2 2" xfId="10929"/>
    <cellStyle name="40% - Accent1 14 2 2 2" xfId="24871"/>
    <cellStyle name="40% - Accent1 14 2 3" xfId="19993"/>
    <cellStyle name="40% - Accent1 14 3" xfId="2670"/>
    <cellStyle name="40% - Accent1 14 3 2" xfId="12689"/>
    <cellStyle name="40% - Accent1 14 3 2 2" xfId="26401"/>
    <cellStyle name="40% - Accent1 14 3 3" xfId="19994"/>
    <cellStyle name="40% - Accent1 14 4" xfId="2671"/>
    <cellStyle name="40% - Accent1 14 4 2" xfId="15067"/>
    <cellStyle name="40% - Accent1 14 4 2 2" xfId="28616"/>
    <cellStyle name="40% - Accent1 14 4 3" xfId="19995"/>
    <cellStyle name="40% - Accent1 14 5" xfId="9203"/>
    <cellStyle name="40% - Accent1 14 5 2" xfId="23678"/>
    <cellStyle name="40% - Accent1 14 6" xfId="19992"/>
    <cellStyle name="40% - Accent1 15" xfId="2672"/>
    <cellStyle name="40% - Accent1 15 2" xfId="2673"/>
    <cellStyle name="40% - Accent1 15 2 2" xfId="10930"/>
    <cellStyle name="40% - Accent1 15 2 2 2" xfId="24872"/>
    <cellStyle name="40% - Accent1 15 2 3" xfId="19997"/>
    <cellStyle name="40% - Accent1 15 3" xfId="2674"/>
    <cellStyle name="40% - Accent1 15 3 2" xfId="12684"/>
    <cellStyle name="40% - Accent1 15 3 2 2" xfId="26396"/>
    <cellStyle name="40% - Accent1 15 3 3" xfId="19998"/>
    <cellStyle name="40% - Accent1 15 4" xfId="2675"/>
    <cellStyle name="40% - Accent1 15 4 2" xfId="15068"/>
    <cellStyle name="40% - Accent1 15 4 2 2" xfId="28617"/>
    <cellStyle name="40% - Accent1 15 4 3" xfId="19999"/>
    <cellStyle name="40% - Accent1 15 5" xfId="9204"/>
    <cellStyle name="40% - Accent1 15 5 2" xfId="23679"/>
    <cellStyle name="40% - Accent1 15 6" xfId="19996"/>
    <cellStyle name="40% - Accent1 16" xfId="2676"/>
    <cellStyle name="40% - Accent1 16 2" xfId="2677"/>
    <cellStyle name="40% - Accent1 16 2 2" xfId="10931"/>
    <cellStyle name="40% - Accent1 16 2 2 2" xfId="24873"/>
    <cellStyle name="40% - Accent1 16 2 3" xfId="20001"/>
    <cellStyle name="40% - Accent1 16 3" xfId="2678"/>
    <cellStyle name="40% - Accent1 16 3 2" xfId="12626"/>
    <cellStyle name="40% - Accent1 16 3 2 2" xfId="26338"/>
    <cellStyle name="40% - Accent1 16 3 3" xfId="20002"/>
    <cellStyle name="40% - Accent1 16 4" xfId="2679"/>
    <cellStyle name="40% - Accent1 16 4 2" xfId="15069"/>
    <cellStyle name="40% - Accent1 16 4 2 2" xfId="28618"/>
    <cellStyle name="40% - Accent1 16 4 3" xfId="20003"/>
    <cellStyle name="40% - Accent1 16 5" xfId="9205"/>
    <cellStyle name="40% - Accent1 16 5 2" xfId="23680"/>
    <cellStyle name="40% - Accent1 16 6" xfId="20000"/>
    <cellStyle name="40% - Accent1 17" xfId="2680"/>
    <cellStyle name="40% - Accent1 17 2" xfId="2681"/>
    <cellStyle name="40% - Accent1 17 2 2" xfId="10932"/>
    <cellStyle name="40% - Accent1 17 2 2 2" xfId="24874"/>
    <cellStyle name="40% - Accent1 17 2 3" xfId="20005"/>
    <cellStyle name="40% - Accent1 17 3" xfId="2682"/>
    <cellStyle name="40% - Accent1 17 3 2" xfId="11959"/>
    <cellStyle name="40% - Accent1 17 3 2 2" xfId="25674"/>
    <cellStyle name="40% - Accent1 17 3 3" xfId="20006"/>
    <cellStyle name="40% - Accent1 17 4" xfId="2683"/>
    <cellStyle name="40% - Accent1 17 4 2" xfId="15070"/>
    <cellStyle name="40% - Accent1 17 4 2 2" xfId="28619"/>
    <cellStyle name="40% - Accent1 17 4 3" xfId="20007"/>
    <cellStyle name="40% - Accent1 17 5" xfId="9206"/>
    <cellStyle name="40% - Accent1 17 5 2" xfId="23681"/>
    <cellStyle name="40% - Accent1 17 6" xfId="20004"/>
    <cellStyle name="40% - Accent1 18" xfId="2684"/>
    <cellStyle name="40% - Accent1 18 2" xfId="2685"/>
    <cellStyle name="40% - Accent1 18 2 2" xfId="10933"/>
    <cellStyle name="40% - Accent1 18 2 2 2" xfId="24875"/>
    <cellStyle name="40% - Accent1 18 2 3" xfId="20009"/>
    <cellStyle name="40% - Accent1 18 3" xfId="2686"/>
    <cellStyle name="40% - Accent1 18 3 2" xfId="12668"/>
    <cellStyle name="40% - Accent1 18 3 2 2" xfId="26380"/>
    <cellStyle name="40% - Accent1 18 3 3" xfId="20010"/>
    <cellStyle name="40% - Accent1 18 4" xfId="2687"/>
    <cellStyle name="40% - Accent1 18 4 2" xfId="15071"/>
    <cellStyle name="40% - Accent1 18 4 2 2" xfId="28620"/>
    <cellStyle name="40% - Accent1 18 4 3" xfId="20011"/>
    <cellStyle name="40% - Accent1 18 5" xfId="9207"/>
    <cellStyle name="40% - Accent1 18 5 2" xfId="23682"/>
    <cellStyle name="40% - Accent1 18 6" xfId="20008"/>
    <cellStyle name="40% - Accent1 19" xfId="2688"/>
    <cellStyle name="40% - Accent1 19 2" xfId="2689"/>
    <cellStyle name="40% - Accent1 19 2 2" xfId="11716"/>
    <cellStyle name="40% - Accent1 19 2 2 2" xfId="25436"/>
    <cellStyle name="40% - Accent1 19 2 3" xfId="20013"/>
    <cellStyle name="40% - Accent1 19 3" xfId="2690"/>
    <cellStyle name="40% - Accent1 19 3 2" xfId="12459"/>
    <cellStyle name="40% - Accent1 19 3 2 2" xfId="26171"/>
    <cellStyle name="40% - Accent1 19 3 3" xfId="20014"/>
    <cellStyle name="40% - Accent1 19 4" xfId="2691"/>
    <cellStyle name="40% - Accent1 19 4 2" xfId="15072"/>
    <cellStyle name="40% - Accent1 19 4 2 2" xfId="28621"/>
    <cellStyle name="40% - Accent1 19 4 3" xfId="20015"/>
    <cellStyle name="40% - Accent1 19 5" xfId="10468"/>
    <cellStyle name="40% - Accent1 19 5 2" xfId="24427"/>
    <cellStyle name="40% - Accent1 19 6" xfId="20012"/>
    <cellStyle name="40% - Accent1 2" xfId="2692"/>
    <cellStyle name="40% - Accent1 2 10" xfId="2693"/>
    <cellStyle name="40% - Accent1 2 10 2" xfId="2694"/>
    <cellStyle name="40% - Accent1 2 10 2 2" xfId="15074"/>
    <cellStyle name="40% - Accent1 2 10 2 2 2" xfId="28623"/>
    <cellStyle name="40% - Accent1 2 10 2 3" xfId="20018"/>
    <cellStyle name="40% - Accent1 2 10 3" xfId="11836"/>
    <cellStyle name="40% - Accent1 2 10 3 2" xfId="25551"/>
    <cellStyle name="40% - Accent1 2 10 4" xfId="20017"/>
    <cellStyle name="40% - Accent1 2 11" xfId="2695"/>
    <cellStyle name="40% - Accent1 2 11 2" xfId="12676"/>
    <cellStyle name="40% - Accent1 2 11 2 2" xfId="26388"/>
    <cellStyle name="40% - Accent1 2 11 3" xfId="20019"/>
    <cellStyle name="40% - Accent1 2 12" xfId="2696"/>
    <cellStyle name="40% - Accent1 2 12 2" xfId="13436"/>
    <cellStyle name="40% - Accent1 2 12 2 2" xfId="26985"/>
    <cellStyle name="40% - Accent1 2 12 3" xfId="20020"/>
    <cellStyle name="40% - Accent1 2 13" xfId="2697"/>
    <cellStyle name="40% - Accent1 2 13 2" xfId="14017"/>
    <cellStyle name="40% - Accent1 2 13 2 2" xfId="27566"/>
    <cellStyle name="40% - Accent1 2 13 3" xfId="20021"/>
    <cellStyle name="40% - Accent1 2 14" xfId="2698"/>
    <cellStyle name="40% - Accent1 2 14 2" xfId="15073"/>
    <cellStyle name="40% - Accent1 2 14 2 2" xfId="28622"/>
    <cellStyle name="40% - Accent1 2 14 3" xfId="20022"/>
    <cellStyle name="40% - Accent1 2 15" xfId="2699"/>
    <cellStyle name="40% - Accent1 2 15 2" xfId="15903"/>
    <cellStyle name="40% - Accent1 2 15 2 2" xfId="29310"/>
    <cellStyle name="40% - Accent1 2 15 3" xfId="20023"/>
    <cellStyle name="40% - Accent1 2 16" xfId="9208"/>
    <cellStyle name="40% - Accent1 2 16 2" xfId="23683"/>
    <cellStyle name="40% - Accent1 2 17" xfId="20016"/>
    <cellStyle name="40% - Accent1 2 18" xfId="33063"/>
    <cellStyle name="40% - Accent1 2 2" xfId="2700"/>
    <cellStyle name="40% - Accent1 2 2 10" xfId="2701"/>
    <cellStyle name="40% - Accent1 2 2 10 2" xfId="15075"/>
    <cellStyle name="40% - Accent1 2 2 10 2 2" xfId="28624"/>
    <cellStyle name="40% - Accent1 2 2 10 3" xfId="20025"/>
    <cellStyle name="40% - Accent1 2 2 11" xfId="2702"/>
    <cellStyle name="40% - Accent1 2 2 11 2" xfId="15949"/>
    <cellStyle name="40% - Accent1 2 2 11 2 2" xfId="29356"/>
    <cellStyle name="40% - Accent1 2 2 11 3" xfId="20026"/>
    <cellStyle name="40% - Accent1 2 2 12" xfId="9209"/>
    <cellStyle name="40% - Accent1 2 2 12 2" xfId="23684"/>
    <cellStyle name="40% - Accent1 2 2 13" xfId="20024"/>
    <cellStyle name="40% - Accent1 2 2 2" xfId="2703"/>
    <cellStyle name="40% - Accent1 2 2 2 10" xfId="2704"/>
    <cellStyle name="40% - Accent1 2 2 2 10 2" xfId="16092"/>
    <cellStyle name="40% - Accent1 2 2 2 10 2 2" xfId="29499"/>
    <cellStyle name="40% - Accent1 2 2 2 10 3" xfId="20028"/>
    <cellStyle name="40% - Accent1 2 2 2 11" xfId="9210"/>
    <cellStyle name="40% - Accent1 2 2 2 11 2" xfId="23685"/>
    <cellStyle name="40% - Accent1 2 2 2 12" xfId="20027"/>
    <cellStyle name="40% - Accent1 2 2 2 2" xfId="2705"/>
    <cellStyle name="40% - Accent1 2 2 2 2 10" xfId="9211"/>
    <cellStyle name="40% - Accent1 2 2 2 2 10 2" xfId="23686"/>
    <cellStyle name="40% - Accent1 2 2 2 2 11" xfId="20029"/>
    <cellStyle name="40% - Accent1 2 2 2 2 2" xfId="2706"/>
    <cellStyle name="40% - Accent1 2 2 2 2 2 2" xfId="2707"/>
    <cellStyle name="40% - Accent1 2 2 2 2 2 2 2" xfId="10938"/>
    <cellStyle name="40% - Accent1 2 2 2 2 2 2 2 2" xfId="24880"/>
    <cellStyle name="40% - Accent1 2 2 2 2 2 2 3" xfId="20031"/>
    <cellStyle name="40% - Accent1 2 2 2 2 2 3" xfId="2708"/>
    <cellStyle name="40% - Accent1 2 2 2 2 2 3 2" xfId="12547"/>
    <cellStyle name="40% - Accent1 2 2 2 2 2 3 2 2" xfId="26259"/>
    <cellStyle name="40% - Accent1 2 2 2 2 2 3 3" xfId="20032"/>
    <cellStyle name="40% - Accent1 2 2 2 2 2 4" xfId="2709"/>
    <cellStyle name="40% - Accent1 2 2 2 2 2 4 2" xfId="15078"/>
    <cellStyle name="40% - Accent1 2 2 2 2 2 4 2 2" xfId="28627"/>
    <cellStyle name="40% - Accent1 2 2 2 2 2 4 3" xfId="20033"/>
    <cellStyle name="40% - Accent1 2 2 2 2 2 5" xfId="2710"/>
    <cellStyle name="40% - Accent1 2 2 2 2 2 5 2" xfId="16962"/>
    <cellStyle name="40% - Accent1 2 2 2 2 2 5 2 2" xfId="30369"/>
    <cellStyle name="40% - Accent1 2 2 2 2 2 5 3" xfId="20034"/>
    <cellStyle name="40% - Accent1 2 2 2 2 2 6" xfId="9212"/>
    <cellStyle name="40% - Accent1 2 2 2 2 2 6 2" xfId="23687"/>
    <cellStyle name="40% - Accent1 2 2 2 2 2 7" xfId="20030"/>
    <cellStyle name="40% - Accent1 2 2 2 2 3" xfId="2711"/>
    <cellStyle name="40% - Accent1 2 2 2 2 3 2" xfId="2712"/>
    <cellStyle name="40% - Accent1 2 2 2 2 3 2 2" xfId="15079"/>
    <cellStyle name="40% - Accent1 2 2 2 2 3 2 2 2" xfId="28628"/>
    <cellStyle name="40% - Accent1 2 2 2 2 3 2 3" xfId="20036"/>
    <cellStyle name="40% - Accent1 2 2 2 2 3 3" xfId="10937"/>
    <cellStyle name="40% - Accent1 2 2 2 2 3 3 2" xfId="24879"/>
    <cellStyle name="40% - Accent1 2 2 2 2 3 4" xfId="20035"/>
    <cellStyle name="40% - Accent1 2 2 2 2 4" xfId="2713"/>
    <cellStyle name="40% - Accent1 2 2 2 2 4 2" xfId="12350"/>
    <cellStyle name="40% - Accent1 2 2 2 2 4 2 2" xfId="26062"/>
    <cellStyle name="40% - Accent1 2 2 2 2 4 3" xfId="20037"/>
    <cellStyle name="40% - Accent1 2 2 2 2 5" xfId="2714"/>
    <cellStyle name="40% - Accent1 2 2 2 2 5 2" xfId="12598"/>
    <cellStyle name="40% - Accent1 2 2 2 2 5 2 2" xfId="26310"/>
    <cellStyle name="40% - Accent1 2 2 2 2 5 3" xfId="20038"/>
    <cellStyle name="40% - Accent1 2 2 2 2 6" xfId="2715"/>
    <cellStyle name="40% - Accent1 2 2 2 2 6 2" xfId="13914"/>
    <cellStyle name="40% - Accent1 2 2 2 2 6 2 2" xfId="27463"/>
    <cellStyle name="40% - Accent1 2 2 2 2 6 3" xfId="20039"/>
    <cellStyle name="40% - Accent1 2 2 2 2 7" xfId="2716"/>
    <cellStyle name="40% - Accent1 2 2 2 2 7 2" xfId="14495"/>
    <cellStyle name="40% - Accent1 2 2 2 2 7 2 2" xfId="28044"/>
    <cellStyle name="40% - Accent1 2 2 2 2 7 3" xfId="20040"/>
    <cellStyle name="40% - Accent1 2 2 2 2 8" xfId="2717"/>
    <cellStyle name="40% - Accent1 2 2 2 2 8 2" xfId="15077"/>
    <cellStyle name="40% - Accent1 2 2 2 2 8 2 2" xfId="28626"/>
    <cellStyle name="40% - Accent1 2 2 2 2 8 3" xfId="20041"/>
    <cellStyle name="40% - Accent1 2 2 2 2 9" xfId="2718"/>
    <cellStyle name="40% - Accent1 2 2 2 2 9 2" xfId="16381"/>
    <cellStyle name="40% - Accent1 2 2 2 2 9 2 2" xfId="29788"/>
    <cellStyle name="40% - Accent1 2 2 2 2 9 3" xfId="20042"/>
    <cellStyle name="40% - Accent1 2 2 2 3" xfId="2719"/>
    <cellStyle name="40% - Accent1 2 2 2 3 2" xfId="2720"/>
    <cellStyle name="40% - Accent1 2 2 2 3 2 2" xfId="10939"/>
    <cellStyle name="40% - Accent1 2 2 2 3 2 2 2" xfId="24881"/>
    <cellStyle name="40% - Accent1 2 2 2 3 2 3" xfId="20044"/>
    <cellStyle name="40% - Accent1 2 2 2 3 3" xfId="2721"/>
    <cellStyle name="40% - Accent1 2 2 2 3 3 2" xfId="12742"/>
    <cellStyle name="40% - Accent1 2 2 2 3 3 2 2" xfId="26454"/>
    <cellStyle name="40% - Accent1 2 2 2 3 3 3" xfId="20045"/>
    <cellStyle name="40% - Accent1 2 2 2 3 4" xfId="2722"/>
    <cellStyle name="40% - Accent1 2 2 2 3 4 2" xfId="15080"/>
    <cellStyle name="40% - Accent1 2 2 2 3 4 2 2" xfId="28629"/>
    <cellStyle name="40% - Accent1 2 2 2 3 4 3" xfId="20046"/>
    <cellStyle name="40% - Accent1 2 2 2 3 5" xfId="2723"/>
    <cellStyle name="40% - Accent1 2 2 2 3 5 2" xfId="16673"/>
    <cellStyle name="40% - Accent1 2 2 2 3 5 2 2" xfId="30080"/>
    <cellStyle name="40% - Accent1 2 2 2 3 5 3" xfId="20047"/>
    <cellStyle name="40% - Accent1 2 2 2 3 6" xfId="9213"/>
    <cellStyle name="40% - Accent1 2 2 2 3 6 2" xfId="23688"/>
    <cellStyle name="40% - Accent1 2 2 2 3 7" xfId="20043"/>
    <cellStyle name="40% - Accent1 2 2 2 4" xfId="2724"/>
    <cellStyle name="40% - Accent1 2 2 2 4 2" xfId="2725"/>
    <cellStyle name="40% - Accent1 2 2 2 4 2 2" xfId="15081"/>
    <cellStyle name="40% - Accent1 2 2 2 4 2 2 2" xfId="28630"/>
    <cellStyle name="40% - Accent1 2 2 2 4 2 3" xfId="20049"/>
    <cellStyle name="40% - Accent1 2 2 2 4 3" xfId="10936"/>
    <cellStyle name="40% - Accent1 2 2 2 4 3 2" xfId="24878"/>
    <cellStyle name="40% - Accent1 2 2 2 4 4" xfId="20048"/>
    <cellStyle name="40% - Accent1 2 2 2 5" xfId="2726"/>
    <cellStyle name="40% - Accent1 2 2 2 5 2" xfId="12050"/>
    <cellStyle name="40% - Accent1 2 2 2 5 2 2" xfId="25765"/>
    <cellStyle name="40% - Accent1 2 2 2 5 3" xfId="20050"/>
    <cellStyle name="40% - Accent1 2 2 2 6" xfId="2727"/>
    <cellStyle name="40% - Accent1 2 2 2 6 2" xfId="12485"/>
    <cellStyle name="40% - Accent1 2 2 2 6 2 2" xfId="26197"/>
    <cellStyle name="40% - Accent1 2 2 2 6 3" xfId="20051"/>
    <cellStyle name="40% - Accent1 2 2 2 7" xfId="2728"/>
    <cellStyle name="40% - Accent1 2 2 2 7 2" xfId="13625"/>
    <cellStyle name="40% - Accent1 2 2 2 7 2 2" xfId="27174"/>
    <cellStyle name="40% - Accent1 2 2 2 7 3" xfId="20052"/>
    <cellStyle name="40% - Accent1 2 2 2 8" xfId="2729"/>
    <cellStyle name="40% - Accent1 2 2 2 8 2" xfId="14206"/>
    <cellStyle name="40% - Accent1 2 2 2 8 2 2" xfId="27755"/>
    <cellStyle name="40% - Accent1 2 2 2 8 3" xfId="20053"/>
    <cellStyle name="40% - Accent1 2 2 2 9" xfId="2730"/>
    <cellStyle name="40% - Accent1 2 2 2 9 2" xfId="15076"/>
    <cellStyle name="40% - Accent1 2 2 2 9 2 2" xfId="28625"/>
    <cellStyle name="40% - Accent1 2 2 2 9 3" xfId="20054"/>
    <cellStyle name="40% - Accent1 2 2 3" xfId="2731"/>
    <cellStyle name="40% - Accent1 2 2 3 10" xfId="9214"/>
    <cellStyle name="40% - Accent1 2 2 3 10 2" xfId="23689"/>
    <cellStyle name="40% - Accent1 2 2 3 11" xfId="20055"/>
    <cellStyle name="40% - Accent1 2 2 3 2" xfId="2732"/>
    <cellStyle name="40% - Accent1 2 2 3 2 2" xfId="2733"/>
    <cellStyle name="40% - Accent1 2 2 3 2 2 2" xfId="10941"/>
    <cellStyle name="40% - Accent1 2 2 3 2 2 2 2" xfId="24883"/>
    <cellStyle name="40% - Accent1 2 2 3 2 2 3" xfId="20057"/>
    <cellStyle name="40% - Accent1 2 2 3 2 3" xfId="2734"/>
    <cellStyle name="40% - Accent1 2 2 3 2 3 2" xfId="12659"/>
    <cellStyle name="40% - Accent1 2 2 3 2 3 2 2" xfId="26371"/>
    <cellStyle name="40% - Accent1 2 2 3 2 3 3" xfId="20058"/>
    <cellStyle name="40% - Accent1 2 2 3 2 4" xfId="2735"/>
    <cellStyle name="40% - Accent1 2 2 3 2 4 2" xfId="15083"/>
    <cellStyle name="40% - Accent1 2 2 3 2 4 2 2" xfId="28632"/>
    <cellStyle name="40% - Accent1 2 2 3 2 4 3" xfId="20059"/>
    <cellStyle name="40% - Accent1 2 2 3 2 5" xfId="2736"/>
    <cellStyle name="40% - Accent1 2 2 3 2 5 2" xfId="16819"/>
    <cellStyle name="40% - Accent1 2 2 3 2 5 2 2" xfId="30226"/>
    <cellStyle name="40% - Accent1 2 2 3 2 5 3" xfId="20060"/>
    <cellStyle name="40% - Accent1 2 2 3 2 6" xfId="9215"/>
    <cellStyle name="40% - Accent1 2 2 3 2 6 2" xfId="23690"/>
    <cellStyle name="40% - Accent1 2 2 3 2 7" xfId="20056"/>
    <cellStyle name="40% - Accent1 2 2 3 3" xfId="2737"/>
    <cellStyle name="40% - Accent1 2 2 3 3 2" xfId="2738"/>
    <cellStyle name="40% - Accent1 2 2 3 3 2 2" xfId="15084"/>
    <cellStyle name="40% - Accent1 2 2 3 3 2 2 2" xfId="28633"/>
    <cellStyle name="40% - Accent1 2 2 3 3 2 3" xfId="20062"/>
    <cellStyle name="40% - Accent1 2 2 3 3 3" xfId="10940"/>
    <cellStyle name="40% - Accent1 2 2 3 3 3 2" xfId="24882"/>
    <cellStyle name="40% - Accent1 2 2 3 3 4" xfId="20061"/>
    <cellStyle name="40% - Accent1 2 2 3 4" xfId="2739"/>
    <cellStyle name="40% - Accent1 2 2 3 4 2" xfId="12207"/>
    <cellStyle name="40% - Accent1 2 2 3 4 2 2" xfId="25919"/>
    <cellStyle name="40% - Accent1 2 2 3 4 3" xfId="20063"/>
    <cellStyle name="40% - Accent1 2 2 3 5" xfId="2740"/>
    <cellStyle name="40% - Accent1 2 2 3 5 2" xfId="11790"/>
    <cellStyle name="40% - Accent1 2 2 3 5 2 2" xfId="25505"/>
    <cellStyle name="40% - Accent1 2 2 3 5 3" xfId="20064"/>
    <cellStyle name="40% - Accent1 2 2 3 6" xfId="2741"/>
    <cellStyle name="40% - Accent1 2 2 3 6 2" xfId="13771"/>
    <cellStyle name="40% - Accent1 2 2 3 6 2 2" xfId="27320"/>
    <cellStyle name="40% - Accent1 2 2 3 6 3" xfId="20065"/>
    <cellStyle name="40% - Accent1 2 2 3 7" xfId="2742"/>
    <cellStyle name="40% - Accent1 2 2 3 7 2" xfId="14352"/>
    <cellStyle name="40% - Accent1 2 2 3 7 2 2" xfId="27901"/>
    <cellStyle name="40% - Accent1 2 2 3 7 3" xfId="20066"/>
    <cellStyle name="40% - Accent1 2 2 3 8" xfId="2743"/>
    <cellStyle name="40% - Accent1 2 2 3 8 2" xfId="15082"/>
    <cellStyle name="40% - Accent1 2 2 3 8 2 2" xfId="28631"/>
    <cellStyle name="40% - Accent1 2 2 3 8 3" xfId="20067"/>
    <cellStyle name="40% - Accent1 2 2 3 9" xfId="2744"/>
    <cellStyle name="40% - Accent1 2 2 3 9 2" xfId="16238"/>
    <cellStyle name="40% - Accent1 2 2 3 9 2 2" xfId="29645"/>
    <cellStyle name="40% - Accent1 2 2 3 9 3" xfId="20068"/>
    <cellStyle name="40% - Accent1 2 2 4" xfId="2745"/>
    <cellStyle name="40% - Accent1 2 2 4 2" xfId="2746"/>
    <cellStyle name="40% - Accent1 2 2 4 2 2" xfId="10942"/>
    <cellStyle name="40% - Accent1 2 2 4 2 2 2" xfId="24884"/>
    <cellStyle name="40% - Accent1 2 2 4 2 3" xfId="20070"/>
    <cellStyle name="40% - Accent1 2 2 4 3" xfId="2747"/>
    <cellStyle name="40% - Accent1 2 2 4 3 2" xfId="11869"/>
    <cellStyle name="40% - Accent1 2 2 4 3 2 2" xfId="25584"/>
    <cellStyle name="40% - Accent1 2 2 4 3 3" xfId="20071"/>
    <cellStyle name="40% - Accent1 2 2 4 4" xfId="2748"/>
    <cellStyle name="40% - Accent1 2 2 4 4 2" xfId="15085"/>
    <cellStyle name="40% - Accent1 2 2 4 4 2 2" xfId="28634"/>
    <cellStyle name="40% - Accent1 2 2 4 4 3" xfId="20072"/>
    <cellStyle name="40% - Accent1 2 2 4 5" xfId="2749"/>
    <cellStyle name="40% - Accent1 2 2 4 5 2" xfId="17166"/>
    <cellStyle name="40% - Accent1 2 2 4 5 2 2" xfId="30525"/>
    <cellStyle name="40% - Accent1 2 2 4 5 3" xfId="20073"/>
    <cellStyle name="40% - Accent1 2 2 4 6" xfId="9216"/>
    <cellStyle name="40% - Accent1 2 2 4 6 2" xfId="23691"/>
    <cellStyle name="40% - Accent1 2 2 4 7" xfId="20069"/>
    <cellStyle name="40% - Accent1 2 2 5" xfId="2750"/>
    <cellStyle name="40% - Accent1 2 2 5 2" xfId="2751"/>
    <cellStyle name="40% - Accent1 2 2 5 2 2" xfId="15086"/>
    <cellStyle name="40% - Accent1 2 2 5 2 2 2" xfId="28635"/>
    <cellStyle name="40% - Accent1 2 2 5 2 3" xfId="20075"/>
    <cellStyle name="40% - Accent1 2 2 5 3" xfId="2752"/>
    <cellStyle name="40% - Accent1 2 2 5 3 2" xfId="17255"/>
    <cellStyle name="40% - Accent1 2 2 5 3 2 2" xfId="30614"/>
    <cellStyle name="40% - Accent1 2 2 5 3 3" xfId="20076"/>
    <cellStyle name="40% - Accent1 2 2 5 4" xfId="10935"/>
    <cellStyle name="40% - Accent1 2 2 5 4 2" xfId="24877"/>
    <cellStyle name="40% - Accent1 2 2 5 5" xfId="20074"/>
    <cellStyle name="40% - Accent1 2 2 6" xfId="2753"/>
    <cellStyle name="40% - Accent1 2 2 6 2" xfId="2754"/>
    <cellStyle name="40% - Accent1 2 2 6 2 2" xfId="16530"/>
    <cellStyle name="40% - Accent1 2 2 6 2 2 2" xfId="29937"/>
    <cellStyle name="40% - Accent1 2 2 6 2 3" xfId="20078"/>
    <cellStyle name="40% - Accent1 2 2 6 3" xfId="11905"/>
    <cellStyle name="40% - Accent1 2 2 6 3 2" xfId="25620"/>
    <cellStyle name="40% - Accent1 2 2 6 4" xfId="20077"/>
    <cellStyle name="40% - Accent1 2 2 7" xfId="2755"/>
    <cellStyle name="40% - Accent1 2 2 7 2" xfId="11870"/>
    <cellStyle name="40% - Accent1 2 2 7 2 2" xfId="25585"/>
    <cellStyle name="40% - Accent1 2 2 7 3" xfId="20079"/>
    <cellStyle name="40% - Accent1 2 2 8" xfId="2756"/>
    <cellStyle name="40% - Accent1 2 2 8 2" xfId="13482"/>
    <cellStyle name="40% - Accent1 2 2 8 2 2" xfId="27031"/>
    <cellStyle name="40% - Accent1 2 2 8 3" xfId="20080"/>
    <cellStyle name="40% - Accent1 2 2 9" xfId="2757"/>
    <cellStyle name="40% - Accent1 2 2 9 2" xfId="14063"/>
    <cellStyle name="40% - Accent1 2 2 9 2 2" xfId="27612"/>
    <cellStyle name="40% - Accent1 2 2 9 3" xfId="20081"/>
    <cellStyle name="40% - Accent1 2 3" xfId="2758"/>
    <cellStyle name="40% - Accent1 2 3 10" xfId="2759"/>
    <cellStyle name="40% - Accent1 2 3 10 2" xfId="16046"/>
    <cellStyle name="40% - Accent1 2 3 10 2 2" xfId="29453"/>
    <cellStyle name="40% - Accent1 2 3 10 3" xfId="20083"/>
    <cellStyle name="40% - Accent1 2 3 11" xfId="9217"/>
    <cellStyle name="40% - Accent1 2 3 11 2" xfId="23692"/>
    <cellStyle name="40% - Accent1 2 3 12" xfId="20082"/>
    <cellStyle name="40% - Accent1 2 3 2" xfId="2760"/>
    <cellStyle name="40% - Accent1 2 3 2 10" xfId="9218"/>
    <cellStyle name="40% - Accent1 2 3 2 10 2" xfId="23693"/>
    <cellStyle name="40% - Accent1 2 3 2 11" xfId="20084"/>
    <cellStyle name="40% - Accent1 2 3 2 2" xfId="2761"/>
    <cellStyle name="40% - Accent1 2 3 2 2 2" xfId="2762"/>
    <cellStyle name="40% - Accent1 2 3 2 2 2 2" xfId="10945"/>
    <cellStyle name="40% - Accent1 2 3 2 2 2 2 2" xfId="24887"/>
    <cellStyle name="40% - Accent1 2 3 2 2 2 3" xfId="20086"/>
    <cellStyle name="40% - Accent1 2 3 2 2 3" xfId="2763"/>
    <cellStyle name="40% - Accent1 2 3 2 2 3 2" xfId="11792"/>
    <cellStyle name="40% - Accent1 2 3 2 2 3 2 2" xfId="25507"/>
    <cellStyle name="40% - Accent1 2 3 2 2 3 3" xfId="20087"/>
    <cellStyle name="40% - Accent1 2 3 2 2 4" xfId="2764"/>
    <cellStyle name="40% - Accent1 2 3 2 2 4 2" xfId="15089"/>
    <cellStyle name="40% - Accent1 2 3 2 2 4 2 2" xfId="28638"/>
    <cellStyle name="40% - Accent1 2 3 2 2 4 3" xfId="20088"/>
    <cellStyle name="40% - Accent1 2 3 2 2 5" xfId="2765"/>
    <cellStyle name="40% - Accent1 2 3 2 2 5 2" xfId="16916"/>
    <cellStyle name="40% - Accent1 2 3 2 2 5 2 2" xfId="30323"/>
    <cellStyle name="40% - Accent1 2 3 2 2 5 3" xfId="20089"/>
    <cellStyle name="40% - Accent1 2 3 2 2 6" xfId="9219"/>
    <cellStyle name="40% - Accent1 2 3 2 2 6 2" xfId="23694"/>
    <cellStyle name="40% - Accent1 2 3 2 2 7" xfId="20085"/>
    <cellStyle name="40% - Accent1 2 3 2 3" xfId="2766"/>
    <cellStyle name="40% - Accent1 2 3 2 3 2" xfId="2767"/>
    <cellStyle name="40% - Accent1 2 3 2 3 2 2" xfId="15090"/>
    <cellStyle name="40% - Accent1 2 3 2 3 2 2 2" xfId="28639"/>
    <cellStyle name="40% - Accent1 2 3 2 3 2 3" xfId="20091"/>
    <cellStyle name="40% - Accent1 2 3 2 3 3" xfId="10944"/>
    <cellStyle name="40% - Accent1 2 3 2 3 3 2" xfId="24886"/>
    <cellStyle name="40% - Accent1 2 3 2 3 4" xfId="20090"/>
    <cellStyle name="40% - Accent1 2 3 2 4" xfId="2768"/>
    <cellStyle name="40% - Accent1 2 3 2 4 2" xfId="12304"/>
    <cellStyle name="40% - Accent1 2 3 2 4 2 2" xfId="26016"/>
    <cellStyle name="40% - Accent1 2 3 2 4 3" xfId="20092"/>
    <cellStyle name="40% - Accent1 2 3 2 5" xfId="2769"/>
    <cellStyle name="40% - Accent1 2 3 2 5 2" xfId="12616"/>
    <cellStyle name="40% - Accent1 2 3 2 5 2 2" xfId="26328"/>
    <cellStyle name="40% - Accent1 2 3 2 5 3" xfId="20093"/>
    <cellStyle name="40% - Accent1 2 3 2 6" xfId="2770"/>
    <cellStyle name="40% - Accent1 2 3 2 6 2" xfId="13868"/>
    <cellStyle name="40% - Accent1 2 3 2 6 2 2" xfId="27417"/>
    <cellStyle name="40% - Accent1 2 3 2 6 3" xfId="20094"/>
    <cellStyle name="40% - Accent1 2 3 2 7" xfId="2771"/>
    <cellStyle name="40% - Accent1 2 3 2 7 2" xfId="14449"/>
    <cellStyle name="40% - Accent1 2 3 2 7 2 2" xfId="27998"/>
    <cellStyle name="40% - Accent1 2 3 2 7 3" xfId="20095"/>
    <cellStyle name="40% - Accent1 2 3 2 8" xfId="2772"/>
    <cellStyle name="40% - Accent1 2 3 2 8 2" xfId="15088"/>
    <cellStyle name="40% - Accent1 2 3 2 8 2 2" xfId="28637"/>
    <cellStyle name="40% - Accent1 2 3 2 8 3" xfId="20096"/>
    <cellStyle name="40% - Accent1 2 3 2 9" xfId="2773"/>
    <cellStyle name="40% - Accent1 2 3 2 9 2" xfId="16335"/>
    <cellStyle name="40% - Accent1 2 3 2 9 2 2" xfId="29742"/>
    <cellStyle name="40% - Accent1 2 3 2 9 3" xfId="20097"/>
    <cellStyle name="40% - Accent1 2 3 3" xfId="2774"/>
    <cellStyle name="40% - Accent1 2 3 3 2" xfId="2775"/>
    <cellStyle name="40% - Accent1 2 3 3 2 2" xfId="10946"/>
    <cellStyle name="40% - Accent1 2 3 3 2 2 2" xfId="24888"/>
    <cellStyle name="40% - Accent1 2 3 3 2 3" xfId="20099"/>
    <cellStyle name="40% - Accent1 2 3 3 3" xfId="2776"/>
    <cellStyle name="40% - Accent1 2 3 3 3 2" xfId="12587"/>
    <cellStyle name="40% - Accent1 2 3 3 3 2 2" xfId="26299"/>
    <cellStyle name="40% - Accent1 2 3 3 3 3" xfId="20100"/>
    <cellStyle name="40% - Accent1 2 3 3 4" xfId="2777"/>
    <cellStyle name="40% - Accent1 2 3 3 4 2" xfId="15091"/>
    <cellStyle name="40% - Accent1 2 3 3 4 2 2" xfId="28640"/>
    <cellStyle name="40% - Accent1 2 3 3 4 3" xfId="20101"/>
    <cellStyle name="40% - Accent1 2 3 3 5" xfId="2778"/>
    <cellStyle name="40% - Accent1 2 3 3 5 2" xfId="16627"/>
    <cellStyle name="40% - Accent1 2 3 3 5 2 2" xfId="30034"/>
    <cellStyle name="40% - Accent1 2 3 3 5 3" xfId="20102"/>
    <cellStyle name="40% - Accent1 2 3 3 6" xfId="9220"/>
    <cellStyle name="40% - Accent1 2 3 3 6 2" xfId="23695"/>
    <cellStyle name="40% - Accent1 2 3 3 7" xfId="20098"/>
    <cellStyle name="40% - Accent1 2 3 4" xfId="2779"/>
    <cellStyle name="40% - Accent1 2 3 4 2" xfId="2780"/>
    <cellStyle name="40% - Accent1 2 3 4 2 2" xfId="15092"/>
    <cellStyle name="40% - Accent1 2 3 4 2 2 2" xfId="28641"/>
    <cellStyle name="40% - Accent1 2 3 4 2 3" xfId="20104"/>
    <cellStyle name="40% - Accent1 2 3 4 3" xfId="10943"/>
    <cellStyle name="40% - Accent1 2 3 4 3 2" xfId="24885"/>
    <cellStyle name="40% - Accent1 2 3 4 4" xfId="20103"/>
    <cellStyle name="40% - Accent1 2 3 5" xfId="2781"/>
    <cellStyle name="40% - Accent1 2 3 5 2" xfId="12004"/>
    <cellStyle name="40% - Accent1 2 3 5 2 2" xfId="25719"/>
    <cellStyle name="40% - Accent1 2 3 5 3" xfId="20105"/>
    <cellStyle name="40% - Accent1 2 3 6" xfId="2782"/>
    <cellStyle name="40% - Accent1 2 3 6 2" xfId="12109"/>
    <cellStyle name="40% - Accent1 2 3 6 2 2" xfId="25821"/>
    <cellStyle name="40% - Accent1 2 3 6 3" xfId="20106"/>
    <cellStyle name="40% - Accent1 2 3 7" xfId="2783"/>
    <cellStyle name="40% - Accent1 2 3 7 2" xfId="13579"/>
    <cellStyle name="40% - Accent1 2 3 7 2 2" xfId="27128"/>
    <cellStyle name="40% - Accent1 2 3 7 3" xfId="20107"/>
    <cellStyle name="40% - Accent1 2 3 8" xfId="2784"/>
    <cellStyle name="40% - Accent1 2 3 8 2" xfId="14160"/>
    <cellStyle name="40% - Accent1 2 3 8 2 2" xfId="27709"/>
    <cellStyle name="40% - Accent1 2 3 8 3" xfId="20108"/>
    <cellStyle name="40% - Accent1 2 3 9" xfId="2785"/>
    <cellStyle name="40% - Accent1 2 3 9 2" xfId="15087"/>
    <cellStyle name="40% - Accent1 2 3 9 2 2" xfId="28636"/>
    <cellStyle name="40% - Accent1 2 3 9 3" xfId="20109"/>
    <cellStyle name="40% - Accent1 2 4" xfId="2786"/>
    <cellStyle name="40% - Accent1 2 4 10" xfId="9221"/>
    <cellStyle name="40% - Accent1 2 4 10 2" xfId="23696"/>
    <cellStyle name="40% - Accent1 2 4 11" xfId="20110"/>
    <cellStyle name="40% - Accent1 2 4 2" xfId="2787"/>
    <cellStyle name="40% - Accent1 2 4 2 2" xfId="2788"/>
    <cellStyle name="40% - Accent1 2 4 2 2 2" xfId="10948"/>
    <cellStyle name="40% - Accent1 2 4 2 2 2 2" xfId="24890"/>
    <cellStyle name="40% - Accent1 2 4 2 2 3" xfId="20112"/>
    <cellStyle name="40% - Accent1 2 4 2 3" xfId="2789"/>
    <cellStyle name="40% - Accent1 2 4 2 3 2" xfId="12599"/>
    <cellStyle name="40% - Accent1 2 4 2 3 2 2" xfId="26311"/>
    <cellStyle name="40% - Accent1 2 4 2 3 3" xfId="20113"/>
    <cellStyle name="40% - Accent1 2 4 2 4" xfId="2790"/>
    <cellStyle name="40% - Accent1 2 4 2 4 2" xfId="15094"/>
    <cellStyle name="40% - Accent1 2 4 2 4 2 2" xfId="28643"/>
    <cellStyle name="40% - Accent1 2 4 2 4 3" xfId="20114"/>
    <cellStyle name="40% - Accent1 2 4 2 5" xfId="2791"/>
    <cellStyle name="40% - Accent1 2 4 2 5 2" xfId="16773"/>
    <cellStyle name="40% - Accent1 2 4 2 5 2 2" xfId="30180"/>
    <cellStyle name="40% - Accent1 2 4 2 5 3" xfId="20115"/>
    <cellStyle name="40% - Accent1 2 4 2 6" xfId="9222"/>
    <cellStyle name="40% - Accent1 2 4 2 6 2" xfId="23697"/>
    <cellStyle name="40% - Accent1 2 4 2 7" xfId="20111"/>
    <cellStyle name="40% - Accent1 2 4 3" xfId="2792"/>
    <cellStyle name="40% - Accent1 2 4 3 2" xfId="2793"/>
    <cellStyle name="40% - Accent1 2 4 3 2 2" xfId="15095"/>
    <cellStyle name="40% - Accent1 2 4 3 2 2 2" xfId="28644"/>
    <cellStyle name="40% - Accent1 2 4 3 2 3" xfId="20117"/>
    <cellStyle name="40% - Accent1 2 4 3 3" xfId="10947"/>
    <cellStyle name="40% - Accent1 2 4 3 3 2" xfId="24889"/>
    <cellStyle name="40% - Accent1 2 4 3 4" xfId="20116"/>
    <cellStyle name="40% - Accent1 2 4 4" xfId="2794"/>
    <cellStyle name="40% - Accent1 2 4 4 2" xfId="12161"/>
    <cellStyle name="40% - Accent1 2 4 4 2 2" xfId="25873"/>
    <cellStyle name="40% - Accent1 2 4 4 3" xfId="20118"/>
    <cellStyle name="40% - Accent1 2 4 5" xfId="2795"/>
    <cellStyle name="40% - Accent1 2 4 5 2" xfId="12796"/>
    <cellStyle name="40% - Accent1 2 4 5 2 2" xfId="26508"/>
    <cellStyle name="40% - Accent1 2 4 5 3" xfId="20119"/>
    <cellStyle name="40% - Accent1 2 4 6" xfId="2796"/>
    <cellStyle name="40% - Accent1 2 4 6 2" xfId="13725"/>
    <cellStyle name="40% - Accent1 2 4 6 2 2" xfId="27274"/>
    <cellStyle name="40% - Accent1 2 4 6 3" xfId="20120"/>
    <cellStyle name="40% - Accent1 2 4 7" xfId="2797"/>
    <cellStyle name="40% - Accent1 2 4 7 2" xfId="14306"/>
    <cellStyle name="40% - Accent1 2 4 7 2 2" xfId="27855"/>
    <cellStyle name="40% - Accent1 2 4 7 3" xfId="20121"/>
    <cellStyle name="40% - Accent1 2 4 8" xfId="2798"/>
    <cellStyle name="40% - Accent1 2 4 8 2" xfId="15093"/>
    <cellStyle name="40% - Accent1 2 4 8 2 2" xfId="28642"/>
    <cellStyle name="40% - Accent1 2 4 8 3" xfId="20122"/>
    <cellStyle name="40% - Accent1 2 4 9" xfId="2799"/>
    <cellStyle name="40% - Accent1 2 4 9 2" xfId="16192"/>
    <cellStyle name="40% - Accent1 2 4 9 2 2" xfId="29599"/>
    <cellStyle name="40% - Accent1 2 4 9 3" xfId="20123"/>
    <cellStyle name="40% - Accent1 2 5" xfId="2800"/>
    <cellStyle name="40% - Accent1 2 5 2" xfId="2801"/>
    <cellStyle name="40% - Accent1 2 5 2 2" xfId="2802"/>
    <cellStyle name="40% - Accent1 2 5 2 2 2" xfId="10950"/>
    <cellStyle name="40% - Accent1 2 5 2 2 2 2" xfId="24892"/>
    <cellStyle name="40% - Accent1 2 5 2 2 3" xfId="20126"/>
    <cellStyle name="40% - Accent1 2 5 2 3" xfId="2803"/>
    <cellStyle name="40% - Accent1 2 5 2 3 2" xfId="11772"/>
    <cellStyle name="40% - Accent1 2 5 2 3 2 2" xfId="25487"/>
    <cellStyle name="40% - Accent1 2 5 2 3 3" xfId="20127"/>
    <cellStyle name="40% - Accent1 2 5 2 4" xfId="2804"/>
    <cellStyle name="40% - Accent1 2 5 2 4 2" xfId="15097"/>
    <cellStyle name="40% - Accent1 2 5 2 4 2 2" xfId="28646"/>
    <cellStyle name="40% - Accent1 2 5 2 4 3" xfId="20128"/>
    <cellStyle name="40% - Accent1 2 5 2 5" xfId="9224"/>
    <cellStyle name="40% - Accent1 2 5 2 5 2" xfId="23699"/>
    <cellStyle name="40% - Accent1 2 5 2 6" xfId="20125"/>
    <cellStyle name="40% - Accent1 2 5 3" xfId="2805"/>
    <cellStyle name="40% - Accent1 2 5 3 2" xfId="10949"/>
    <cellStyle name="40% - Accent1 2 5 3 2 2" xfId="24891"/>
    <cellStyle name="40% - Accent1 2 5 3 3" xfId="20129"/>
    <cellStyle name="40% - Accent1 2 5 4" xfId="2806"/>
    <cellStyle name="40% - Accent1 2 5 4 2" xfId="12398"/>
    <cellStyle name="40% - Accent1 2 5 4 2 2" xfId="26110"/>
    <cellStyle name="40% - Accent1 2 5 4 3" xfId="20130"/>
    <cellStyle name="40% - Accent1 2 5 5" xfId="2807"/>
    <cellStyle name="40% - Accent1 2 5 5 2" xfId="15096"/>
    <cellStyle name="40% - Accent1 2 5 5 2 2" xfId="28645"/>
    <cellStyle name="40% - Accent1 2 5 5 3" xfId="20131"/>
    <cellStyle name="40% - Accent1 2 5 6" xfId="2808"/>
    <cellStyle name="40% - Accent1 2 5 6 2" xfId="17013"/>
    <cellStyle name="40% - Accent1 2 5 6 2 2" xfId="30420"/>
    <cellStyle name="40% - Accent1 2 5 6 3" xfId="20132"/>
    <cellStyle name="40% - Accent1 2 5 7" xfId="9223"/>
    <cellStyle name="40% - Accent1 2 5 7 2" xfId="23698"/>
    <cellStyle name="40% - Accent1 2 5 8" xfId="20124"/>
    <cellStyle name="40% - Accent1 2 6" xfId="2809"/>
    <cellStyle name="40% - Accent1 2 6 2" xfId="2810"/>
    <cellStyle name="40% - Accent1 2 6 2 2" xfId="10951"/>
    <cellStyle name="40% - Accent1 2 6 2 2 2" xfId="24893"/>
    <cellStyle name="40% - Accent1 2 6 2 3" xfId="20134"/>
    <cellStyle name="40% - Accent1 2 6 3" xfId="2811"/>
    <cellStyle name="40% - Accent1 2 6 3 2" xfId="12515"/>
    <cellStyle name="40% - Accent1 2 6 3 2 2" xfId="26227"/>
    <cellStyle name="40% - Accent1 2 6 3 3" xfId="20135"/>
    <cellStyle name="40% - Accent1 2 6 4" xfId="2812"/>
    <cellStyle name="40% - Accent1 2 6 4 2" xfId="15098"/>
    <cellStyle name="40% - Accent1 2 6 4 2 2" xfId="28647"/>
    <cellStyle name="40% - Accent1 2 6 4 3" xfId="20136"/>
    <cellStyle name="40% - Accent1 2 6 5" xfId="2813"/>
    <cellStyle name="40% - Accent1 2 6 5 2" xfId="17120"/>
    <cellStyle name="40% - Accent1 2 6 5 2 2" xfId="30479"/>
    <cellStyle name="40% - Accent1 2 6 5 3" xfId="20137"/>
    <cellStyle name="40% - Accent1 2 6 6" xfId="9225"/>
    <cellStyle name="40% - Accent1 2 6 6 2" xfId="23700"/>
    <cellStyle name="40% - Accent1 2 6 7" xfId="20133"/>
    <cellStyle name="40% - Accent1 2 7" xfId="2814"/>
    <cellStyle name="40% - Accent1 2 7 2" xfId="2815"/>
    <cellStyle name="40% - Accent1 2 7 2 2" xfId="10952"/>
    <cellStyle name="40% - Accent1 2 7 2 2 2" xfId="24894"/>
    <cellStyle name="40% - Accent1 2 7 2 3" xfId="20139"/>
    <cellStyle name="40% - Accent1 2 7 3" xfId="2816"/>
    <cellStyle name="40% - Accent1 2 7 3 2" xfId="12511"/>
    <cellStyle name="40% - Accent1 2 7 3 2 2" xfId="26223"/>
    <cellStyle name="40% - Accent1 2 7 3 3" xfId="20140"/>
    <cellStyle name="40% - Accent1 2 7 4" xfId="2817"/>
    <cellStyle name="40% - Accent1 2 7 4 2" xfId="15099"/>
    <cellStyle name="40% - Accent1 2 7 4 2 2" xfId="28648"/>
    <cellStyle name="40% - Accent1 2 7 4 3" xfId="20141"/>
    <cellStyle name="40% - Accent1 2 7 5" xfId="2818"/>
    <cellStyle name="40% - Accent1 2 7 5 2" xfId="17209"/>
    <cellStyle name="40% - Accent1 2 7 5 2 2" xfId="30568"/>
    <cellStyle name="40% - Accent1 2 7 5 3" xfId="20142"/>
    <cellStyle name="40% - Accent1 2 7 6" xfId="9226"/>
    <cellStyle name="40% - Accent1 2 7 6 2" xfId="23701"/>
    <cellStyle name="40% - Accent1 2 7 7" xfId="20138"/>
    <cellStyle name="40% - Accent1 2 8" xfId="2819"/>
    <cellStyle name="40% - Accent1 2 8 2" xfId="2820"/>
    <cellStyle name="40% - Accent1 2 8 2 2" xfId="12664"/>
    <cellStyle name="40% - Accent1 2 8 2 2 2" xfId="26376"/>
    <cellStyle name="40% - Accent1 2 8 2 3" xfId="20144"/>
    <cellStyle name="40% - Accent1 2 8 3" xfId="2821"/>
    <cellStyle name="40% - Accent1 2 8 3 2" xfId="15100"/>
    <cellStyle name="40% - Accent1 2 8 3 2 2" xfId="28649"/>
    <cellStyle name="40% - Accent1 2 8 3 3" xfId="20145"/>
    <cellStyle name="40% - Accent1 2 8 4" xfId="2822"/>
    <cellStyle name="40% - Accent1 2 8 4 2" xfId="16484"/>
    <cellStyle name="40% - Accent1 2 8 4 2 2" xfId="29891"/>
    <cellStyle name="40% - Accent1 2 8 4 3" xfId="20146"/>
    <cellStyle name="40% - Accent1 2 8 5" xfId="10534"/>
    <cellStyle name="40% - Accent1 2 8 5 2" xfId="24476"/>
    <cellStyle name="40% - Accent1 2 8 6" xfId="20143"/>
    <cellStyle name="40% - Accent1 2 9" xfId="2823"/>
    <cellStyle name="40% - Accent1 2 9 2" xfId="2824"/>
    <cellStyle name="40% - Accent1 2 9 2 2" xfId="11765"/>
    <cellStyle name="40% - Accent1 2 9 2 2 2" xfId="25480"/>
    <cellStyle name="40% - Accent1 2 9 2 3" xfId="20148"/>
    <cellStyle name="40% - Accent1 2 9 3" xfId="2825"/>
    <cellStyle name="40% - Accent1 2 9 3 2" xfId="15101"/>
    <cellStyle name="40% - Accent1 2 9 3 2 2" xfId="28650"/>
    <cellStyle name="40% - Accent1 2 9 3 3" xfId="20149"/>
    <cellStyle name="40% - Accent1 2 9 4" xfId="10934"/>
    <cellStyle name="40% - Accent1 2 9 4 2" xfId="24876"/>
    <cellStyle name="40% - Accent1 2 9 5" xfId="20147"/>
    <cellStyle name="40% - Accent1 20" xfId="2826"/>
    <cellStyle name="40% - Accent1 20 2" xfId="2827"/>
    <cellStyle name="40% - Accent1 20 2 2" xfId="12486"/>
    <cellStyle name="40% - Accent1 20 2 2 2" xfId="26198"/>
    <cellStyle name="40% - Accent1 20 2 3" xfId="20151"/>
    <cellStyle name="40% - Accent1 20 3" xfId="2828"/>
    <cellStyle name="40% - Accent1 20 3 2" xfId="15102"/>
    <cellStyle name="40% - Accent1 20 3 2 2" xfId="28651"/>
    <cellStyle name="40% - Accent1 20 3 3" xfId="20152"/>
    <cellStyle name="40% - Accent1 20 4" xfId="10509"/>
    <cellStyle name="40% - Accent1 20 4 2" xfId="24457"/>
    <cellStyle name="40% - Accent1 20 5" xfId="20150"/>
    <cellStyle name="40% - Accent1 21" xfId="2829"/>
    <cellStyle name="40% - Accent1 21 2" xfId="2830"/>
    <cellStyle name="40% - Accent1 21 2 2" xfId="12487"/>
    <cellStyle name="40% - Accent1 21 2 2 2" xfId="26199"/>
    <cellStyle name="40% - Accent1 21 2 3" xfId="20154"/>
    <cellStyle name="40% - Accent1 21 3" xfId="2831"/>
    <cellStyle name="40% - Accent1 21 3 2" xfId="15103"/>
    <cellStyle name="40% - Accent1 21 3 2 2" xfId="28652"/>
    <cellStyle name="40% - Accent1 21 3 3" xfId="20155"/>
    <cellStyle name="40% - Accent1 21 4" xfId="10923"/>
    <cellStyle name="40% - Accent1 21 4 2" xfId="24865"/>
    <cellStyle name="40% - Accent1 21 5" xfId="20153"/>
    <cellStyle name="40% - Accent1 22" xfId="2832"/>
    <cellStyle name="40% - Accent1 22 2" xfId="11745"/>
    <cellStyle name="40% - Accent1 22 2 2" xfId="25460"/>
    <cellStyle name="40% - Accent1 22 3" xfId="20156"/>
    <cellStyle name="40% - Accent1 23" xfId="2833"/>
    <cellStyle name="40% - Accent1 23 2" xfId="12712"/>
    <cellStyle name="40% - Accent1 23 2 2" xfId="26424"/>
    <cellStyle name="40% - Accent1 23 3" xfId="20157"/>
    <cellStyle name="40% - Accent1 24" xfId="2834"/>
    <cellStyle name="40% - Accent1 24 2" xfId="13384"/>
    <cellStyle name="40% - Accent1 24 2 2" xfId="26933"/>
    <cellStyle name="40% - Accent1 24 3" xfId="20158"/>
    <cellStyle name="40% - Accent1 25" xfId="2835"/>
    <cellStyle name="40% - Accent1 25 2" xfId="13965"/>
    <cellStyle name="40% - Accent1 25 2 2" xfId="27514"/>
    <cellStyle name="40% - Accent1 25 3" xfId="20159"/>
    <cellStyle name="40% - Accent1 26" xfId="2836"/>
    <cellStyle name="40% - Accent1 26 2" xfId="15060"/>
    <cellStyle name="40% - Accent1 26 2 2" xfId="28609"/>
    <cellStyle name="40% - Accent1 26 3" xfId="20160"/>
    <cellStyle name="40% - Accent1 27" xfId="2837"/>
    <cellStyle name="40% - Accent1 27 2" xfId="15835"/>
    <cellStyle name="40% - Accent1 27 2 2" xfId="29242"/>
    <cellStyle name="40% - Accent1 27 3" xfId="20161"/>
    <cellStyle name="40% - Accent1 28" xfId="2838"/>
    <cellStyle name="40% - Accent1 28 2" xfId="15851"/>
    <cellStyle name="40% - Accent1 28 2 2" xfId="29258"/>
    <cellStyle name="40% - Accent1 28 3" xfId="20162"/>
    <cellStyle name="40% - Accent1 29" xfId="2839"/>
    <cellStyle name="40% - Accent1 29 2" xfId="9197"/>
    <cellStyle name="40% - Accent1 29 2 2" xfId="23672"/>
    <cellStyle name="40% - Accent1 29 3" xfId="20163"/>
    <cellStyle name="40% - Accent1 3" xfId="2840"/>
    <cellStyle name="40% - Accent1 3 10" xfId="2841"/>
    <cellStyle name="40% - Accent1 3 10 2" xfId="14040"/>
    <cellStyle name="40% - Accent1 3 10 2 2" xfId="27589"/>
    <cellStyle name="40% - Accent1 3 10 3" xfId="20165"/>
    <cellStyle name="40% - Accent1 3 11" xfId="2842"/>
    <cellStyle name="40% - Accent1 3 11 2" xfId="15104"/>
    <cellStyle name="40% - Accent1 3 11 2 2" xfId="28653"/>
    <cellStyle name="40% - Accent1 3 11 3" xfId="20166"/>
    <cellStyle name="40% - Accent1 3 12" xfId="2843"/>
    <cellStyle name="40% - Accent1 3 12 2" xfId="15926"/>
    <cellStyle name="40% - Accent1 3 12 2 2" xfId="29333"/>
    <cellStyle name="40% - Accent1 3 12 3" xfId="20167"/>
    <cellStyle name="40% - Accent1 3 13" xfId="9227"/>
    <cellStyle name="40% - Accent1 3 13 2" xfId="23702"/>
    <cellStyle name="40% - Accent1 3 14" xfId="20164"/>
    <cellStyle name="40% - Accent1 3 2" xfId="2844"/>
    <cellStyle name="40% - Accent1 3 2 10" xfId="2845"/>
    <cellStyle name="40% - Accent1 3 2 10 2" xfId="16069"/>
    <cellStyle name="40% - Accent1 3 2 10 2 2" xfId="29476"/>
    <cellStyle name="40% - Accent1 3 2 10 3" xfId="20169"/>
    <cellStyle name="40% - Accent1 3 2 11" xfId="9228"/>
    <cellStyle name="40% - Accent1 3 2 11 2" xfId="23703"/>
    <cellStyle name="40% - Accent1 3 2 12" xfId="20168"/>
    <cellStyle name="40% - Accent1 3 2 2" xfId="2846"/>
    <cellStyle name="40% - Accent1 3 2 2 10" xfId="9229"/>
    <cellStyle name="40% - Accent1 3 2 2 10 2" xfId="23704"/>
    <cellStyle name="40% - Accent1 3 2 2 11" xfId="20170"/>
    <cellStyle name="40% - Accent1 3 2 2 2" xfId="2847"/>
    <cellStyle name="40% - Accent1 3 2 2 2 2" xfId="2848"/>
    <cellStyle name="40% - Accent1 3 2 2 2 2 2" xfId="10956"/>
    <cellStyle name="40% - Accent1 3 2 2 2 2 2 2" xfId="24898"/>
    <cellStyle name="40% - Accent1 3 2 2 2 2 3" xfId="20172"/>
    <cellStyle name="40% - Accent1 3 2 2 2 3" xfId="2849"/>
    <cellStyle name="40% - Accent1 3 2 2 2 3 2" xfId="12781"/>
    <cellStyle name="40% - Accent1 3 2 2 2 3 2 2" xfId="26493"/>
    <cellStyle name="40% - Accent1 3 2 2 2 3 3" xfId="20173"/>
    <cellStyle name="40% - Accent1 3 2 2 2 4" xfId="2850"/>
    <cellStyle name="40% - Accent1 3 2 2 2 4 2" xfId="15107"/>
    <cellStyle name="40% - Accent1 3 2 2 2 4 2 2" xfId="28656"/>
    <cellStyle name="40% - Accent1 3 2 2 2 4 3" xfId="20174"/>
    <cellStyle name="40% - Accent1 3 2 2 2 5" xfId="2851"/>
    <cellStyle name="40% - Accent1 3 2 2 2 5 2" xfId="16939"/>
    <cellStyle name="40% - Accent1 3 2 2 2 5 2 2" xfId="30346"/>
    <cellStyle name="40% - Accent1 3 2 2 2 5 3" xfId="20175"/>
    <cellStyle name="40% - Accent1 3 2 2 2 6" xfId="9230"/>
    <cellStyle name="40% - Accent1 3 2 2 2 6 2" xfId="23705"/>
    <cellStyle name="40% - Accent1 3 2 2 2 7" xfId="20171"/>
    <cellStyle name="40% - Accent1 3 2 2 3" xfId="2852"/>
    <cellStyle name="40% - Accent1 3 2 2 3 2" xfId="2853"/>
    <cellStyle name="40% - Accent1 3 2 2 3 2 2" xfId="15108"/>
    <cellStyle name="40% - Accent1 3 2 2 3 2 2 2" xfId="28657"/>
    <cellStyle name="40% - Accent1 3 2 2 3 2 3" xfId="20177"/>
    <cellStyle name="40% - Accent1 3 2 2 3 3" xfId="10955"/>
    <cellStyle name="40% - Accent1 3 2 2 3 3 2" xfId="24897"/>
    <cellStyle name="40% - Accent1 3 2 2 3 4" xfId="20176"/>
    <cellStyle name="40% - Accent1 3 2 2 4" xfId="2854"/>
    <cellStyle name="40% - Accent1 3 2 2 4 2" xfId="12327"/>
    <cellStyle name="40% - Accent1 3 2 2 4 2 2" xfId="26039"/>
    <cellStyle name="40% - Accent1 3 2 2 4 3" xfId="20178"/>
    <cellStyle name="40% - Accent1 3 2 2 5" xfId="2855"/>
    <cellStyle name="40% - Accent1 3 2 2 5 2" xfId="12743"/>
    <cellStyle name="40% - Accent1 3 2 2 5 2 2" xfId="26455"/>
    <cellStyle name="40% - Accent1 3 2 2 5 3" xfId="20179"/>
    <cellStyle name="40% - Accent1 3 2 2 6" xfId="2856"/>
    <cellStyle name="40% - Accent1 3 2 2 6 2" xfId="13891"/>
    <cellStyle name="40% - Accent1 3 2 2 6 2 2" xfId="27440"/>
    <cellStyle name="40% - Accent1 3 2 2 6 3" xfId="20180"/>
    <cellStyle name="40% - Accent1 3 2 2 7" xfId="2857"/>
    <cellStyle name="40% - Accent1 3 2 2 7 2" xfId="14472"/>
    <cellStyle name="40% - Accent1 3 2 2 7 2 2" xfId="28021"/>
    <cellStyle name="40% - Accent1 3 2 2 7 3" xfId="20181"/>
    <cellStyle name="40% - Accent1 3 2 2 8" xfId="2858"/>
    <cellStyle name="40% - Accent1 3 2 2 8 2" xfId="15106"/>
    <cellStyle name="40% - Accent1 3 2 2 8 2 2" xfId="28655"/>
    <cellStyle name="40% - Accent1 3 2 2 8 3" xfId="20182"/>
    <cellStyle name="40% - Accent1 3 2 2 9" xfId="2859"/>
    <cellStyle name="40% - Accent1 3 2 2 9 2" xfId="16358"/>
    <cellStyle name="40% - Accent1 3 2 2 9 2 2" xfId="29765"/>
    <cellStyle name="40% - Accent1 3 2 2 9 3" xfId="20183"/>
    <cellStyle name="40% - Accent1 3 2 3" xfId="2860"/>
    <cellStyle name="40% - Accent1 3 2 3 2" xfId="2861"/>
    <cellStyle name="40% - Accent1 3 2 3 2 2" xfId="10957"/>
    <cellStyle name="40% - Accent1 3 2 3 2 2 2" xfId="24899"/>
    <cellStyle name="40% - Accent1 3 2 3 2 3" xfId="20185"/>
    <cellStyle name="40% - Accent1 3 2 3 3" xfId="2862"/>
    <cellStyle name="40% - Accent1 3 2 3 3 2" xfId="12752"/>
    <cellStyle name="40% - Accent1 3 2 3 3 2 2" xfId="26464"/>
    <cellStyle name="40% - Accent1 3 2 3 3 3" xfId="20186"/>
    <cellStyle name="40% - Accent1 3 2 3 4" xfId="2863"/>
    <cellStyle name="40% - Accent1 3 2 3 4 2" xfId="15109"/>
    <cellStyle name="40% - Accent1 3 2 3 4 2 2" xfId="28658"/>
    <cellStyle name="40% - Accent1 3 2 3 4 3" xfId="20187"/>
    <cellStyle name="40% - Accent1 3 2 3 5" xfId="2864"/>
    <cellStyle name="40% - Accent1 3 2 3 5 2" xfId="16650"/>
    <cellStyle name="40% - Accent1 3 2 3 5 2 2" xfId="30057"/>
    <cellStyle name="40% - Accent1 3 2 3 5 3" xfId="20188"/>
    <cellStyle name="40% - Accent1 3 2 3 6" xfId="9231"/>
    <cellStyle name="40% - Accent1 3 2 3 6 2" xfId="23706"/>
    <cellStyle name="40% - Accent1 3 2 3 7" xfId="20184"/>
    <cellStyle name="40% - Accent1 3 2 4" xfId="2865"/>
    <cellStyle name="40% - Accent1 3 2 4 2" xfId="2866"/>
    <cellStyle name="40% - Accent1 3 2 4 2 2" xfId="15110"/>
    <cellStyle name="40% - Accent1 3 2 4 2 2 2" xfId="28659"/>
    <cellStyle name="40% - Accent1 3 2 4 2 3" xfId="20190"/>
    <cellStyle name="40% - Accent1 3 2 4 3" xfId="10954"/>
    <cellStyle name="40% - Accent1 3 2 4 3 2" xfId="24896"/>
    <cellStyle name="40% - Accent1 3 2 4 4" xfId="20189"/>
    <cellStyle name="40% - Accent1 3 2 5" xfId="2867"/>
    <cellStyle name="40% - Accent1 3 2 5 2" xfId="12027"/>
    <cellStyle name="40% - Accent1 3 2 5 2 2" xfId="25742"/>
    <cellStyle name="40% - Accent1 3 2 5 3" xfId="20191"/>
    <cellStyle name="40% - Accent1 3 2 6" xfId="2868"/>
    <cellStyle name="40% - Accent1 3 2 6 2" xfId="11893"/>
    <cellStyle name="40% - Accent1 3 2 6 2 2" xfId="25608"/>
    <cellStyle name="40% - Accent1 3 2 6 3" xfId="20192"/>
    <cellStyle name="40% - Accent1 3 2 7" xfId="2869"/>
    <cellStyle name="40% - Accent1 3 2 7 2" xfId="13602"/>
    <cellStyle name="40% - Accent1 3 2 7 2 2" xfId="27151"/>
    <cellStyle name="40% - Accent1 3 2 7 3" xfId="20193"/>
    <cellStyle name="40% - Accent1 3 2 8" xfId="2870"/>
    <cellStyle name="40% - Accent1 3 2 8 2" xfId="14183"/>
    <cellStyle name="40% - Accent1 3 2 8 2 2" xfId="27732"/>
    <cellStyle name="40% - Accent1 3 2 8 3" xfId="20194"/>
    <cellStyle name="40% - Accent1 3 2 9" xfId="2871"/>
    <cellStyle name="40% - Accent1 3 2 9 2" xfId="15105"/>
    <cellStyle name="40% - Accent1 3 2 9 2 2" xfId="28654"/>
    <cellStyle name="40% - Accent1 3 2 9 3" xfId="20195"/>
    <cellStyle name="40% - Accent1 3 3" xfId="2872"/>
    <cellStyle name="40% - Accent1 3 3 10" xfId="9232"/>
    <cellStyle name="40% - Accent1 3 3 10 2" xfId="23707"/>
    <cellStyle name="40% - Accent1 3 3 11" xfId="20196"/>
    <cellStyle name="40% - Accent1 3 3 2" xfId="2873"/>
    <cellStyle name="40% - Accent1 3 3 2 2" xfId="2874"/>
    <cellStyle name="40% - Accent1 3 3 2 2 2" xfId="10959"/>
    <cellStyle name="40% - Accent1 3 3 2 2 2 2" xfId="24901"/>
    <cellStyle name="40% - Accent1 3 3 2 2 3" xfId="20198"/>
    <cellStyle name="40% - Accent1 3 3 2 3" xfId="2875"/>
    <cellStyle name="40% - Accent1 3 3 2 3 2" xfId="12460"/>
    <cellStyle name="40% - Accent1 3 3 2 3 2 2" xfId="26172"/>
    <cellStyle name="40% - Accent1 3 3 2 3 3" xfId="20199"/>
    <cellStyle name="40% - Accent1 3 3 2 4" xfId="2876"/>
    <cellStyle name="40% - Accent1 3 3 2 4 2" xfId="15112"/>
    <cellStyle name="40% - Accent1 3 3 2 4 2 2" xfId="28661"/>
    <cellStyle name="40% - Accent1 3 3 2 4 3" xfId="20200"/>
    <cellStyle name="40% - Accent1 3 3 2 5" xfId="2877"/>
    <cellStyle name="40% - Accent1 3 3 2 5 2" xfId="16796"/>
    <cellStyle name="40% - Accent1 3 3 2 5 2 2" xfId="30203"/>
    <cellStyle name="40% - Accent1 3 3 2 5 3" xfId="20201"/>
    <cellStyle name="40% - Accent1 3 3 2 6" xfId="9233"/>
    <cellStyle name="40% - Accent1 3 3 2 6 2" xfId="23708"/>
    <cellStyle name="40% - Accent1 3 3 2 7" xfId="20197"/>
    <cellStyle name="40% - Accent1 3 3 3" xfId="2878"/>
    <cellStyle name="40% - Accent1 3 3 3 2" xfId="2879"/>
    <cellStyle name="40% - Accent1 3 3 3 2 2" xfId="15113"/>
    <cellStyle name="40% - Accent1 3 3 3 2 2 2" xfId="28662"/>
    <cellStyle name="40% - Accent1 3 3 3 2 3" xfId="20203"/>
    <cellStyle name="40% - Accent1 3 3 3 3" xfId="10958"/>
    <cellStyle name="40% - Accent1 3 3 3 3 2" xfId="24900"/>
    <cellStyle name="40% - Accent1 3 3 3 4" xfId="20202"/>
    <cellStyle name="40% - Accent1 3 3 4" xfId="2880"/>
    <cellStyle name="40% - Accent1 3 3 4 2" xfId="12184"/>
    <cellStyle name="40% - Accent1 3 3 4 2 2" xfId="25896"/>
    <cellStyle name="40% - Accent1 3 3 4 3" xfId="20204"/>
    <cellStyle name="40% - Accent1 3 3 5" xfId="2881"/>
    <cellStyle name="40% - Accent1 3 3 5 2" xfId="12696"/>
    <cellStyle name="40% - Accent1 3 3 5 2 2" xfId="26408"/>
    <cellStyle name="40% - Accent1 3 3 5 3" xfId="20205"/>
    <cellStyle name="40% - Accent1 3 3 6" xfId="2882"/>
    <cellStyle name="40% - Accent1 3 3 6 2" xfId="13748"/>
    <cellStyle name="40% - Accent1 3 3 6 2 2" xfId="27297"/>
    <cellStyle name="40% - Accent1 3 3 6 3" xfId="20206"/>
    <cellStyle name="40% - Accent1 3 3 7" xfId="2883"/>
    <cellStyle name="40% - Accent1 3 3 7 2" xfId="14329"/>
    <cellStyle name="40% - Accent1 3 3 7 2 2" xfId="27878"/>
    <cellStyle name="40% - Accent1 3 3 7 3" xfId="20207"/>
    <cellStyle name="40% - Accent1 3 3 8" xfId="2884"/>
    <cellStyle name="40% - Accent1 3 3 8 2" xfId="15111"/>
    <cellStyle name="40% - Accent1 3 3 8 2 2" xfId="28660"/>
    <cellStyle name="40% - Accent1 3 3 8 3" xfId="20208"/>
    <cellStyle name="40% - Accent1 3 3 9" xfId="2885"/>
    <cellStyle name="40% - Accent1 3 3 9 2" xfId="16215"/>
    <cellStyle name="40% - Accent1 3 3 9 2 2" xfId="29622"/>
    <cellStyle name="40% - Accent1 3 3 9 3" xfId="20209"/>
    <cellStyle name="40% - Accent1 3 4" xfId="2886"/>
    <cellStyle name="40% - Accent1 3 4 2" xfId="2887"/>
    <cellStyle name="40% - Accent1 3 4 2 2" xfId="10960"/>
    <cellStyle name="40% - Accent1 3 4 2 2 2" xfId="24902"/>
    <cellStyle name="40% - Accent1 3 4 2 3" xfId="20211"/>
    <cellStyle name="40% - Accent1 3 4 3" xfId="2888"/>
    <cellStyle name="40% - Accent1 3 4 3 2" xfId="12589"/>
    <cellStyle name="40% - Accent1 3 4 3 2 2" xfId="26301"/>
    <cellStyle name="40% - Accent1 3 4 3 3" xfId="20212"/>
    <cellStyle name="40% - Accent1 3 4 4" xfId="2889"/>
    <cellStyle name="40% - Accent1 3 4 4 2" xfId="15114"/>
    <cellStyle name="40% - Accent1 3 4 4 2 2" xfId="28663"/>
    <cellStyle name="40% - Accent1 3 4 4 3" xfId="20213"/>
    <cellStyle name="40% - Accent1 3 4 5" xfId="2890"/>
    <cellStyle name="40% - Accent1 3 4 5 2" xfId="17143"/>
    <cellStyle name="40% - Accent1 3 4 5 2 2" xfId="30502"/>
    <cellStyle name="40% - Accent1 3 4 5 3" xfId="20214"/>
    <cellStyle name="40% - Accent1 3 4 6" xfId="9234"/>
    <cellStyle name="40% - Accent1 3 4 6 2" xfId="23709"/>
    <cellStyle name="40% - Accent1 3 4 7" xfId="20210"/>
    <cellStyle name="40% - Accent1 3 5" xfId="2891"/>
    <cellStyle name="40% - Accent1 3 5 2" xfId="2892"/>
    <cellStyle name="40% - Accent1 3 5 2 2" xfId="10961"/>
    <cellStyle name="40% - Accent1 3 5 2 2 2" xfId="24903"/>
    <cellStyle name="40% - Accent1 3 5 2 3" xfId="20216"/>
    <cellStyle name="40% - Accent1 3 5 3" xfId="2893"/>
    <cellStyle name="40% - Accent1 3 5 3 2" xfId="12410"/>
    <cellStyle name="40% - Accent1 3 5 3 2 2" xfId="26122"/>
    <cellStyle name="40% - Accent1 3 5 3 3" xfId="20217"/>
    <cellStyle name="40% - Accent1 3 5 4" xfId="2894"/>
    <cellStyle name="40% - Accent1 3 5 4 2" xfId="15115"/>
    <cellStyle name="40% - Accent1 3 5 4 2 2" xfId="28664"/>
    <cellStyle name="40% - Accent1 3 5 4 3" xfId="20218"/>
    <cellStyle name="40% - Accent1 3 5 5" xfId="2895"/>
    <cellStyle name="40% - Accent1 3 5 5 2" xfId="17232"/>
    <cellStyle name="40% - Accent1 3 5 5 2 2" xfId="30591"/>
    <cellStyle name="40% - Accent1 3 5 5 3" xfId="20219"/>
    <cellStyle name="40% - Accent1 3 5 6" xfId="9235"/>
    <cellStyle name="40% - Accent1 3 5 6 2" xfId="23710"/>
    <cellStyle name="40% - Accent1 3 5 7" xfId="20215"/>
    <cellStyle name="40% - Accent1 3 6" xfId="2896"/>
    <cellStyle name="40% - Accent1 3 6 2" xfId="2897"/>
    <cellStyle name="40% - Accent1 3 6 2 2" xfId="15116"/>
    <cellStyle name="40% - Accent1 3 6 2 2 2" xfId="28665"/>
    <cellStyle name="40% - Accent1 3 6 2 3" xfId="20221"/>
    <cellStyle name="40% - Accent1 3 6 3" xfId="2898"/>
    <cellStyle name="40% - Accent1 3 6 3 2" xfId="16507"/>
    <cellStyle name="40% - Accent1 3 6 3 2 2" xfId="29914"/>
    <cellStyle name="40% - Accent1 3 6 3 3" xfId="20222"/>
    <cellStyle name="40% - Accent1 3 6 4" xfId="10953"/>
    <cellStyle name="40% - Accent1 3 6 4 2" xfId="24895"/>
    <cellStyle name="40% - Accent1 3 6 5" xfId="20220"/>
    <cellStyle name="40% - Accent1 3 7" xfId="2899"/>
    <cellStyle name="40% - Accent1 3 7 2" xfId="11879"/>
    <cellStyle name="40% - Accent1 3 7 2 2" xfId="25594"/>
    <cellStyle name="40% - Accent1 3 7 3" xfId="20223"/>
    <cellStyle name="40% - Accent1 3 8" xfId="2900"/>
    <cellStyle name="40% - Accent1 3 8 2" xfId="11756"/>
    <cellStyle name="40% - Accent1 3 8 2 2" xfId="25471"/>
    <cellStyle name="40% - Accent1 3 8 3" xfId="20224"/>
    <cellStyle name="40% - Accent1 3 9" xfId="2901"/>
    <cellStyle name="40% - Accent1 3 9 2" xfId="13459"/>
    <cellStyle name="40% - Accent1 3 9 2 2" xfId="27008"/>
    <cellStyle name="40% - Accent1 3 9 3" xfId="20225"/>
    <cellStyle name="40% - Accent1 30" xfId="23247"/>
    <cellStyle name="40% - Accent1 4" xfId="2902"/>
    <cellStyle name="40% - Accent1 4 10" xfId="2903"/>
    <cellStyle name="40% - Accent1 4 10 2" xfId="15117"/>
    <cellStyle name="40% - Accent1 4 10 2 2" xfId="28666"/>
    <cellStyle name="40% - Accent1 4 10 3" xfId="20227"/>
    <cellStyle name="40% - Accent1 4 11" xfId="2904"/>
    <cellStyle name="40% - Accent1 4 11 2" xfId="15885"/>
    <cellStyle name="40% - Accent1 4 11 2 2" xfId="29292"/>
    <cellStyle name="40% - Accent1 4 11 3" xfId="20228"/>
    <cellStyle name="40% - Accent1 4 12" xfId="9236"/>
    <cellStyle name="40% - Accent1 4 12 2" xfId="23711"/>
    <cellStyle name="40% - Accent1 4 13" xfId="20226"/>
    <cellStyle name="40% - Accent1 4 2" xfId="2905"/>
    <cellStyle name="40% - Accent1 4 2 10" xfId="2906"/>
    <cellStyle name="40% - Accent1 4 2 10 2" xfId="16028"/>
    <cellStyle name="40% - Accent1 4 2 10 2 2" xfId="29435"/>
    <cellStyle name="40% - Accent1 4 2 10 3" xfId="20230"/>
    <cellStyle name="40% - Accent1 4 2 11" xfId="9237"/>
    <cellStyle name="40% - Accent1 4 2 11 2" xfId="23712"/>
    <cellStyle name="40% - Accent1 4 2 12" xfId="20229"/>
    <cellStyle name="40% - Accent1 4 2 2" xfId="2907"/>
    <cellStyle name="40% - Accent1 4 2 2 10" xfId="9238"/>
    <cellStyle name="40% - Accent1 4 2 2 10 2" xfId="23713"/>
    <cellStyle name="40% - Accent1 4 2 2 11" xfId="20231"/>
    <cellStyle name="40% - Accent1 4 2 2 2" xfId="2908"/>
    <cellStyle name="40% - Accent1 4 2 2 2 2" xfId="2909"/>
    <cellStyle name="40% - Accent1 4 2 2 2 2 2" xfId="10965"/>
    <cellStyle name="40% - Accent1 4 2 2 2 2 2 2" xfId="24907"/>
    <cellStyle name="40% - Accent1 4 2 2 2 2 3" xfId="20233"/>
    <cellStyle name="40% - Accent1 4 2 2 2 3" xfId="2910"/>
    <cellStyle name="40% - Accent1 4 2 2 2 3 2" xfId="12519"/>
    <cellStyle name="40% - Accent1 4 2 2 2 3 2 2" xfId="26231"/>
    <cellStyle name="40% - Accent1 4 2 2 2 3 3" xfId="20234"/>
    <cellStyle name="40% - Accent1 4 2 2 2 4" xfId="2911"/>
    <cellStyle name="40% - Accent1 4 2 2 2 4 2" xfId="15120"/>
    <cellStyle name="40% - Accent1 4 2 2 2 4 2 2" xfId="28669"/>
    <cellStyle name="40% - Accent1 4 2 2 2 4 3" xfId="20235"/>
    <cellStyle name="40% - Accent1 4 2 2 2 5" xfId="2912"/>
    <cellStyle name="40% - Accent1 4 2 2 2 5 2" xfId="16898"/>
    <cellStyle name="40% - Accent1 4 2 2 2 5 2 2" xfId="30305"/>
    <cellStyle name="40% - Accent1 4 2 2 2 5 3" xfId="20236"/>
    <cellStyle name="40% - Accent1 4 2 2 2 6" xfId="9239"/>
    <cellStyle name="40% - Accent1 4 2 2 2 6 2" xfId="23714"/>
    <cellStyle name="40% - Accent1 4 2 2 2 7" xfId="20232"/>
    <cellStyle name="40% - Accent1 4 2 2 3" xfId="2913"/>
    <cellStyle name="40% - Accent1 4 2 2 3 2" xfId="2914"/>
    <cellStyle name="40% - Accent1 4 2 2 3 2 2" xfId="15121"/>
    <cellStyle name="40% - Accent1 4 2 2 3 2 2 2" xfId="28670"/>
    <cellStyle name="40% - Accent1 4 2 2 3 2 3" xfId="20238"/>
    <cellStyle name="40% - Accent1 4 2 2 3 3" xfId="10964"/>
    <cellStyle name="40% - Accent1 4 2 2 3 3 2" xfId="24906"/>
    <cellStyle name="40% - Accent1 4 2 2 3 4" xfId="20237"/>
    <cellStyle name="40% - Accent1 4 2 2 4" xfId="2915"/>
    <cellStyle name="40% - Accent1 4 2 2 4 2" xfId="12286"/>
    <cellStyle name="40% - Accent1 4 2 2 4 2 2" xfId="25998"/>
    <cellStyle name="40% - Accent1 4 2 2 4 3" xfId="20239"/>
    <cellStyle name="40% - Accent1 4 2 2 5" xfId="2916"/>
    <cellStyle name="40% - Accent1 4 2 2 5 2" xfId="11787"/>
    <cellStyle name="40% - Accent1 4 2 2 5 2 2" xfId="25502"/>
    <cellStyle name="40% - Accent1 4 2 2 5 3" xfId="20240"/>
    <cellStyle name="40% - Accent1 4 2 2 6" xfId="2917"/>
    <cellStyle name="40% - Accent1 4 2 2 6 2" xfId="13850"/>
    <cellStyle name="40% - Accent1 4 2 2 6 2 2" xfId="27399"/>
    <cellStyle name="40% - Accent1 4 2 2 6 3" xfId="20241"/>
    <cellStyle name="40% - Accent1 4 2 2 7" xfId="2918"/>
    <cellStyle name="40% - Accent1 4 2 2 7 2" xfId="14431"/>
    <cellStyle name="40% - Accent1 4 2 2 7 2 2" xfId="27980"/>
    <cellStyle name="40% - Accent1 4 2 2 7 3" xfId="20242"/>
    <cellStyle name="40% - Accent1 4 2 2 8" xfId="2919"/>
    <cellStyle name="40% - Accent1 4 2 2 8 2" xfId="15119"/>
    <cellStyle name="40% - Accent1 4 2 2 8 2 2" xfId="28668"/>
    <cellStyle name="40% - Accent1 4 2 2 8 3" xfId="20243"/>
    <cellStyle name="40% - Accent1 4 2 2 9" xfId="2920"/>
    <cellStyle name="40% - Accent1 4 2 2 9 2" xfId="16317"/>
    <cellStyle name="40% - Accent1 4 2 2 9 2 2" xfId="29724"/>
    <cellStyle name="40% - Accent1 4 2 2 9 3" xfId="20244"/>
    <cellStyle name="40% - Accent1 4 2 3" xfId="2921"/>
    <cellStyle name="40% - Accent1 4 2 3 2" xfId="2922"/>
    <cellStyle name="40% - Accent1 4 2 3 2 2" xfId="10966"/>
    <cellStyle name="40% - Accent1 4 2 3 2 2 2" xfId="24908"/>
    <cellStyle name="40% - Accent1 4 2 3 2 3" xfId="20246"/>
    <cellStyle name="40% - Accent1 4 2 3 3" xfId="2923"/>
    <cellStyle name="40% - Accent1 4 2 3 3 2" xfId="12443"/>
    <cellStyle name="40% - Accent1 4 2 3 3 2 2" xfId="26155"/>
    <cellStyle name="40% - Accent1 4 2 3 3 3" xfId="20247"/>
    <cellStyle name="40% - Accent1 4 2 3 4" xfId="2924"/>
    <cellStyle name="40% - Accent1 4 2 3 4 2" xfId="15122"/>
    <cellStyle name="40% - Accent1 4 2 3 4 2 2" xfId="28671"/>
    <cellStyle name="40% - Accent1 4 2 3 4 3" xfId="20248"/>
    <cellStyle name="40% - Accent1 4 2 3 5" xfId="2925"/>
    <cellStyle name="40% - Accent1 4 2 3 5 2" xfId="16609"/>
    <cellStyle name="40% - Accent1 4 2 3 5 2 2" xfId="30016"/>
    <cellStyle name="40% - Accent1 4 2 3 5 3" xfId="20249"/>
    <cellStyle name="40% - Accent1 4 2 3 6" xfId="9240"/>
    <cellStyle name="40% - Accent1 4 2 3 6 2" xfId="23715"/>
    <cellStyle name="40% - Accent1 4 2 3 7" xfId="20245"/>
    <cellStyle name="40% - Accent1 4 2 4" xfId="2926"/>
    <cellStyle name="40% - Accent1 4 2 4 2" xfId="2927"/>
    <cellStyle name="40% - Accent1 4 2 4 2 2" xfId="15123"/>
    <cellStyle name="40% - Accent1 4 2 4 2 2 2" xfId="28672"/>
    <cellStyle name="40% - Accent1 4 2 4 2 3" xfId="20251"/>
    <cellStyle name="40% - Accent1 4 2 4 3" xfId="10963"/>
    <cellStyle name="40% - Accent1 4 2 4 3 2" xfId="24905"/>
    <cellStyle name="40% - Accent1 4 2 4 4" xfId="20250"/>
    <cellStyle name="40% - Accent1 4 2 5" xfId="2928"/>
    <cellStyle name="40% - Accent1 4 2 5 2" xfId="11986"/>
    <cellStyle name="40% - Accent1 4 2 5 2 2" xfId="25701"/>
    <cellStyle name="40% - Accent1 4 2 5 3" xfId="20252"/>
    <cellStyle name="40% - Accent1 4 2 6" xfId="2929"/>
    <cellStyle name="40% - Accent1 4 2 6 2" xfId="12436"/>
    <cellStyle name="40% - Accent1 4 2 6 2 2" xfId="26148"/>
    <cellStyle name="40% - Accent1 4 2 6 3" xfId="20253"/>
    <cellStyle name="40% - Accent1 4 2 7" xfId="2930"/>
    <cellStyle name="40% - Accent1 4 2 7 2" xfId="13561"/>
    <cellStyle name="40% - Accent1 4 2 7 2 2" xfId="27110"/>
    <cellStyle name="40% - Accent1 4 2 7 3" xfId="20254"/>
    <cellStyle name="40% - Accent1 4 2 8" xfId="2931"/>
    <cellStyle name="40% - Accent1 4 2 8 2" xfId="14142"/>
    <cellStyle name="40% - Accent1 4 2 8 2 2" xfId="27691"/>
    <cellStyle name="40% - Accent1 4 2 8 3" xfId="20255"/>
    <cellStyle name="40% - Accent1 4 2 9" xfId="2932"/>
    <cellStyle name="40% - Accent1 4 2 9 2" xfId="15118"/>
    <cellStyle name="40% - Accent1 4 2 9 2 2" xfId="28667"/>
    <cellStyle name="40% - Accent1 4 2 9 3" xfId="20256"/>
    <cellStyle name="40% - Accent1 4 3" xfId="2933"/>
    <cellStyle name="40% - Accent1 4 3 10" xfId="9241"/>
    <cellStyle name="40% - Accent1 4 3 10 2" xfId="23716"/>
    <cellStyle name="40% - Accent1 4 3 11" xfId="20257"/>
    <cellStyle name="40% - Accent1 4 3 2" xfId="2934"/>
    <cellStyle name="40% - Accent1 4 3 2 2" xfId="2935"/>
    <cellStyle name="40% - Accent1 4 3 2 2 2" xfId="10968"/>
    <cellStyle name="40% - Accent1 4 3 2 2 2 2" xfId="24910"/>
    <cellStyle name="40% - Accent1 4 3 2 2 3" xfId="20259"/>
    <cellStyle name="40% - Accent1 4 3 2 3" xfId="2936"/>
    <cellStyle name="40% - Accent1 4 3 2 3 2" xfId="12478"/>
    <cellStyle name="40% - Accent1 4 3 2 3 2 2" xfId="26190"/>
    <cellStyle name="40% - Accent1 4 3 2 3 3" xfId="20260"/>
    <cellStyle name="40% - Accent1 4 3 2 4" xfId="2937"/>
    <cellStyle name="40% - Accent1 4 3 2 4 2" xfId="15125"/>
    <cellStyle name="40% - Accent1 4 3 2 4 2 2" xfId="28674"/>
    <cellStyle name="40% - Accent1 4 3 2 4 3" xfId="20261"/>
    <cellStyle name="40% - Accent1 4 3 2 5" xfId="2938"/>
    <cellStyle name="40% - Accent1 4 3 2 5 2" xfId="16758"/>
    <cellStyle name="40% - Accent1 4 3 2 5 2 2" xfId="30165"/>
    <cellStyle name="40% - Accent1 4 3 2 5 3" xfId="20262"/>
    <cellStyle name="40% - Accent1 4 3 2 6" xfId="9242"/>
    <cellStyle name="40% - Accent1 4 3 2 6 2" xfId="23717"/>
    <cellStyle name="40% - Accent1 4 3 2 7" xfId="20258"/>
    <cellStyle name="40% - Accent1 4 3 3" xfId="2939"/>
    <cellStyle name="40% - Accent1 4 3 3 2" xfId="2940"/>
    <cellStyle name="40% - Accent1 4 3 3 2 2" xfId="15126"/>
    <cellStyle name="40% - Accent1 4 3 3 2 2 2" xfId="28675"/>
    <cellStyle name="40% - Accent1 4 3 3 2 3" xfId="20264"/>
    <cellStyle name="40% - Accent1 4 3 3 3" xfId="10967"/>
    <cellStyle name="40% - Accent1 4 3 3 3 2" xfId="24909"/>
    <cellStyle name="40% - Accent1 4 3 3 4" xfId="20263"/>
    <cellStyle name="40% - Accent1 4 3 4" xfId="2941"/>
    <cellStyle name="40% - Accent1 4 3 4 2" xfId="12146"/>
    <cellStyle name="40% - Accent1 4 3 4 2 2" xfId="25858"/>
    <cellStyle name="40% - Accent1 4 3 4 3" xfId="20265"/>
    <cellStyle name="40% - Accent1 4 3 5" xfId="2942"/>
    <cellStyle name="40% - Accent1 4 3 5 2" xfId="12596"/>
    <cellStyle name="40% - Accent1 4 3 5 2 2" xfId="26308"/>
    <cellStyle name="40% - Accent1 4 3 5 3" xfId="20266"/>
    <cellStyle name="40% - Accent1 4 3 6" xfId="2943"/>
    <cellStyle name="40% - Accent1 4 3 6 2" xfId="13710"/>
    <cellStyle name="40% - Accent1 4 3 6 2 2" xfId="27259"/>
    <cellStyle name="40% - Accent1 4 3 6 3" xfId="20267"/>
    <cellStyle name="40% - Accent1 4 3 7" xfId="2944"/>
    <cellStyle name="40% - Accent1 4 3 7 2" xfId="14291"/>
    <cellStyle name="40% - Accent1 4 3 7 2 2" xfId="27840"/>
    <cellStyle name="40% - Accent1 4 3 7 3" xfId="20268"/>
    <cellStyle name="40% - Accent1 4 3 8" xfId="2945"/>
    <cellStyle name="40% - Accent1 4 3 8 2" xfId="15124"/>
    <cellStyle name="40% - Accent1 4 3 8 2 2" xfId="28673"/>
    <cellStyle name="40% - Accent1 4 3 8 3" xfId="20269"/>
    <cellStyle name="40% - Accent1 4 3 9" xfId="2946"/>
    <cellStyle name="40% - Accent1 4 3 9 2" xfId="16177"/>
    <cellStyle name="40% - Accent1 4 3 9 2 2" xfId="29584"/>
    <cellStyle name="40% - Accent1 4 3 9 3" xfId="20270"/>
    <cellStyle name="40% - Accent1 4 4" xfId="2947"/>
    <cellStyle name="40% - Accent1 4 4 2" xfId="2948"/>
    <cellStyle name="40% - Accent1 4 4 2 2" xfId="10969"/>
    <cellStyle name="40% - Accent1 4 4 2 2 2" xfId="24911"/>
    <cellStyle name="40% - Accent1 4 4 2 3" xfId="20272"/>
    <cellStyle name="40% - Accent1 4 4 3" xfId="2949"/>
    <cellStyle name="40% - Accent1 4 4 3 2" xfId="12463"/>
    <cellStyle name="40% - Accent1 4 4 3 2 2" xfId="26175"/>
    <cellStyle name="40% - Accent1 4 4 3 3" xfId="20273"/>
    <cellStyle name="40% - Accent1 4 4 4" xfId="2950"/>
    <cellStyle name="40% - Accent1 4 4 4 2" xfId="15127"/>
    <cellStyle name="40% - Accent1 4 4 4 2 2" xfId="28676"/>
    <cellStyle name="40% - Accent1 4 4 4 3" xfId="20274"/>
    <cellStyle name="40% - Accent1 4 4 5" xfId="2951"/>
    <cellStyle name="40% - Accent1 4 4 5 2" xfId="16466"/>
    <cellStyle name="40% - Accent1 4 4 5 2 2" xfId="29873"/>
    <cellStyle name="40% - Accent1 4 4 5 3" xfId="20275"/>
    <cellStyle name="40% - Accent1 4 4 6" xfId="9243"/>
    <cellStyle name="40% - Accent1 4 4 6 2" xfId="23718"/>
    <cellStyle name="40% - Accent1 4 4 7" xfId="20271"/>
    <cellStyle name="40% - Accent1 4 5" xfId="2952"/>
    <cellStyle name="40% - Accent1 4 5 2" xfId="2953"/>
    <cellStyle name="40% - Accent1 4 5 2 2" xfId="15128"/>
    <cellStyle name="40% - Accent1 4 5 2 2 2" xfId="28677"/>
    <cellStyle name="40% - Accent1 4 5 2 3" xfId="20277"/>
    <cellStyle name="40% - Accent1 4 5 3" xfId="10962"/>
    <cellStyle name="40% - Accent1 4 5 3 2" xfId="24904"/>
    <cellStyle name="40% - Accent1 4 5 4" xfId="20276"/>
    <cellStyle name="40% - Accent1 4 6" xfId="2954"/>
    <cellStyle name="40% - Accent1 4 6 2" xfId="11817"/>
    <cellStyle name="40% - Accent1 4 6 2 2" xfId="25532"/>
    <cellStyle name="40% - Accent1 4 6 3" xfId="20278"/>
    <cellStyle name="40% - Accent1 4 7" xfId="2955"/>
    <cellStyle name="40% - Accent1 4 7 2" xfId="12649"/>
    <cellStyle name="40% - Accent1 4 7 2 2" xfId="26361"/>
    <cellStyle name="40% - Accent1 4 7 3" xfId="20279"/>
    <cellStyle name="40% - Accent1 4 8" xfId="2956"/>
    <cellStyle name="40% - Accent1 4 8 2" xfId="13418"/>
    <cellStyle name="40% - Accent1 4 8 2 2" xfId="26967"/>
    <cellStyle name="40% - Accent1 4 8 3" xfId="20280"/>
    <cellStyle name="40% - Accent1 4 9" xfId="2957"/>
    <cellStyle name="40% - Accent1 4 9 2" xfId="13999"/>
    <cellStyle name="40% - Accent1 4 9 2 2" xfId="27548"/>
    <cellStyle name="40% - Accent1 4 9 3" xfId="20281"/>
    <cellStyle name="40% - Accent1 5" xfId="2958"/>
    <cellStyle name="40% - Accent1 5 10" xfId="2959"/>
    <cellStyle name="40% - Accent1 5 10 2" xfId="15129"/>
    <cellStyle name="40% - Accent1 5 10 2 2" xfId="28678"/>
    <cellStyle name="40% - Accent1 5 10 3" xfId="20283"/>
    <cellStyle name="40% - Accent1 5 11" xfId="2960"/>
    <cellStyle name="40% - Accent1 5 11 2" xfId="15868"/>
    <cellStyle name="40% - Accent1 5 11 2 2" xfId="29275"/>
    <cellStyle name="40% - Accent1 5 11 3" xfId="20284"/>
    <cellStyle name="40% - Accent1 5 12" xfId="9244"/>
    <cellStyle name="40% - Accent1 5 12 2" xfId="23719"/>
    <cellStyle name="40% - Accent1 5 13" xfId="20282"/>
    <cellStyle name="40% - Accent1 5 2" xfId="2961"/>
    <cellStyle name="40% - Accent1 5 2 10" xfId="2962"/>
    <cellStyle name="40% - Accent1 5 2 10 2" xfId="16011"/>
    <cellStyle name="40% - Accent1 5 2 10 2 2" xfId="29418"/>
    <cellStyle name="40% - Accent1 5 2 10 3" xfId="20286"/>
    <cellStyle name="40% - Accent1 5 2 11" xfId="9245"/>
    <cellStyle name="40% - Accent1 5 2 11 2" xfId="23720"/>
    <cellStyle name="40% - Accent1 5 2 12" xfId="20285"/>
    <cellStyle name="40% - Accent1 5 2 2" xfId="2963"/>
    <cellStyle name="40% - Accent1 5 2 2 10" xfId="9246"/>
    <cellStyle name="40% - Accent1 5 2 2 10 2" xfId="23721"/>
    <cellStyle name="40% - Accent1 5 2 2 11" xfId="20287"/>
    <cellStyle name="40% - Accent1 5 2 2 2" xfId="2964"/>
    <cellStyle name="40% - Accent1 5 2 2 2 2" xfId="2965"/>
    <cellStyle name="40% - Accent1 5 2 2 2 2 2" xfId="10973"/>
    <cellStyle name="40% - Accent1 5 2 2 2 2 2 2" xfId="24915"/>
    <cellStyle name="40% - Accent1 5 2 2 2 2 3" xfId="20289"/>
    <cellStyle name="40% - Accent1 5 2 2 2 3" xfId="2966"/>
    <cellStyle name="40% - Accent1 5 2 2 2 3 2" xfId="12517"/>
    <cellStyle name="40% - Accent1 5 2 2 2 3 2 2" xfId="26229"/>
    <cellStyle name="40% - Accent1 5 2 2 2 3 3" xfId="20290"/>
    <cellStyle name="40% - Accent1 5 2 2 2 4" xfId="2967"/>
    <cellStyle name="40% - Accent1 5 2 2 2 4 2" xfId="15132"/>
    <cellStyle name="40% - Accent1 5 2 2 2 4 2 2" xfId="28681"/>
    <cellStyle name="40% - Accent1 5 2 2 2 4 3" xfId="20291"/>
    <cellStyle name="40% - Accent1 5 2 2 2 5" xfId="2968"/>
    <cellStyle name="40% - Accent1 5 2 2 2 5 2" xfId="16881"/>
    <cellStyle name="40% - Accent1 5 2 2 2 5 2 2" xfId="30288"/>
    <cellStyle name="40% - Accent1 5 2 2 2 5 3" xfId="20292"/>
    <cellStyle name="40% - Accent1 5 2 2 2 6" xfId="9247"/>
    <cellStyle name="40% - Accent1 5 2 2 2 6 2" xfId="23722"/>
    <cellStyle name="40% - Accent1 5 2 2 2 7" xfId="20288"/>
    <cellStyle name="40% - Accent1 5 2 2 3" xfId="2969"/>
    <cellStyle name="40% - Accent1 5 2 2 3 2" xfId="2970"/>
    <cellStyle name="40% - Accent1 5 2 2 3 2 2" xfId="15133"/>
    <cellStyle name="40% - Accent1 5 2 2 3 2 2 2" xfId="28682"/>
    <cellStyle name="40% - Accent1 5 2 2 3 2 3" xfId="20294"/>
    <cellStyle name="40% - Accent1 5 2 2 3 3" xfId="10972"/>
    <cellStyle name="40% - Accent1 5 2 2 3 3 2" xfId="24914"/>
    <cellStyle name="40% - Accent1 5 2 2 3 4" xfId="20293"/>
    <cellStyle name="40% - Accent1 5 2 2 4" xfId="2971"/>
    <cellStyle name="40% - Accent1 5 2 2 4 2" xfId="12269"/>
    <cellStyle name="40% - Accent1 5 2 2 4 2 2" xfId="25981"/>
    <cellStyle name="40% - Accent1 5 2 2 4 3" xfId="20295"/>
    <cellStyle name="40% - Accent1 5 2 2 5" xfId="2972"/>
    <cellStyle name="40% - Accent1 5 2 2 5 2" xfId="12469"/>
    <cellStyle name="40% - Accent1 5 2 2 5 2 2" xfId="26181"/>
    <cellStyle name="40% - Accent1 5 2 2 5 3" xfId="20296"/>
    <cellStyle name="40% - Accent1 5 2 2 6" xfId="2973"/>
    <cellStyle name="40% - Accent1 5 2 2 6 2" xfId="13833"/>
    <cellStyle name="40% - Accent1 5 2 2 6 2 2" xfId="27382"/>
    <cellStyle name="40% - Accent1 5 2 2 6 3" xfId="20297"/>
    <cellStyle name="40% - Accent1 5 2 2 7" xfId="2974"/>
    <cellStyle name="40% - Accent1 5 2 2 7 2" xfId="14414"/>
    <cellStyle name="40% - Accent1 5 2 2 7 2 2" xfId="27963"/>
    <cellStyle name="40% - Accent1 5 2 2 7 3" xfId="20298"/>
    <cellStyle name="40% - Accent1 5 2 2 8" xfId="2975"/>
    <cellStyle name="40% - Accent1 5 2 2 8 2" xfId="15131"/>
    <cellStyle name="40% - Accent1 5 2 2 8 2 2" xfId="28680"/>
    <cellStyle name="40% - Accent1 5 2 2 8 3" xfId="20299"/>
    <cellStyle name="40% - Accent1 5 2 2 9" xfId="2976"/>
    <cellStyle name="40% - Accent1 5 2 2 9 2" xfId="16300"/>
    <cellStyle name="40% - Accent1 5 2 2 9 2 2" xfId="29707"/>
    <cellStyle name="40% - Accent1 5 2 2 9 3" xfId="20300"/>
    <cellStyle name="40% - Accent1 5 2 3" xfId="2977"/>
    <cellStyle name="40% - Accent1 5 2 3 2" xfId="2978"/>
    <cellStyle name="40% - Accent1 5 2 3 2 2" xfId="10974"/>
    <cellStyle name="40% - Accent1 5 2 3 2 2 2" xfId="24916"/>
    <cellStyle name="40% - Accent1 5 2 3 2 3" xfId="20302"/>
    <cellStyle name="40% - Accent1 5 2 3 3" xfId="2979"/>
    <cellStyle name="40% - Accent1 5 2 3 3 2" xfId="11771"/>
    <cellStyle name="40% - Accent1 5 2 3 3 2 2" xfId="25486"/>
    <cellStyle name="40% - Accent1 5 2 3 3 3" xfId="20303"/>
    <cellStyle name="40% - Accent1 5 2 3 4" xfId="2980"/>
    <cellStyle name="40% - Accent1 5 2 3 4 2" xfId="15134"/>
    <cellStyle name="40% - Accent1 5 2 3 4 2 2" xfId="28683"/>
    <cellStyle name="40% - Accent1 5 2 3 4 3" xfId="20304"/>
    <cellStyle name="40% - Accent1 5 2 3 5" xfId="2981"/>
    <cellStyle name="40% - Accent1 5 2 3 5 2" xfId="16592"/>
    <cellStyle name="40% - Accent1 5 2 3 5 2 2" xfId="29999"/>
    <cellStyle name="40% - Accent1 5 2 3 5 3" xfId="20305"/>
    <cellStyle name="40% - Accent1 5 2 3 6" xfId="9248"/>
    <cellStyle name="40% - Accent1 5 2 3 6 2" xfId="23723"/>
    <cellStyle name="40% - Accent1 5 2 3 7" xfId="20301"/>
    <cellStyle name="40% - Accent1 5 2 4" xfId="2982"/>
    <cellStyle name="40% - Accent1 5 2 4 2" xfId="2983"/>
    <cellStyle name="40% - Accent1 5 2 4 2 2" xfId="15135"/>
    <cellStyle name="40% - Accent1 5 2 4 2 2 2" xfId="28684"/>
    <cellStyle name="40% - Accent1 5 2 4 2 3" xfId="20307"/>
    <cellStyle name="40% - Accent1 5 2 4 3" xfId="10971"/>
    <cellStyle name="40% - Accent1 5 2 4 3 2" xfId="24913"/>
    <cellStyle name="40% - Accent1 5 2 4 4" xfId="20306"/>
    <cellStyle name="40% - Accent1 5 2 5" xfId="2984"/>
    <cellStyle name="40% - Accent1 5 2 5 2" xfId="11969"/>
    <cellStyle name="40% - Accent1 5 2 5 2 2" xfId="25684"/>
    <cellStyle name="40% - Accent1 5 2 5 3" xfId="20308"/>
    <cellStyle name="40% - Accent1 5 2 6" xfId="2985"/>
    <cellStyle name="40% - Accent1 5 2 6 2" xfId="12686"/>
    <cellStyle name="40% - Accent1 5 2 6 2 2" xfId="26398"/>
    <cellStyle name="40% - Accent1 5 2 6 3" xfId="20309"/>
    <cellStyle name="40% - Accent1 5 2 7" xfId="2986"/>
    <cellStyle name="40% - Accent1 5 2 7 2" xfId="13544"/>
    <cellStyle name="40% - Accent1 5 2 7 2 2" xfId="27093"/>
    <cellStyle name="40% - Accent1 5 2 7 3" xfId="20310"/>
    <cellStyle name="40% - Accent1 5 2 8" xfId="2987"/>
    <cellStyle name="40% - Accent1 5 2 8 2" xfId="14125"/>
    <cellStyle name="40% - Accent1 5 2 8 2 2" xfId="27674"/>
    <cellStyle name="40% - Accent1 5 2 8 3" xfId="20311"/>
    <cellStyle name="40% - Accent1 5 2 9" xfId="2988"/>
    <cellStyle name="40% - Accent1 5 2 9 2" xfId="15130"/>
    <cellStyle name="40% - Accent1 5 2 9 2 2" xfId="28679"/>
    <cellStyle name="40% - Accent1 5 2 9 3" xfId="20312"/>
    <cellStyle name="40% - Accent1 5 3" xfId="2989"/>
    <cellStyle name="40% - Accent1 5 3 10" xfId="9249"/>
    <cellStyle name="40% - Accent1 5 3 10 2" xfId="23724"/>
    <cellStyle name="40% - Accent1 5 3 11" xfId="20313"/>
    <cellStyle name="40% - Accent1 5 3 2" xfId="2990"/>
    <cellStyle name="40% - Accent1 5 3 2 2" xfId="2991"/>
    <cellStyle name="40% - Accent1 5 3 2 2 2" xfId="10976"/>
    <cellStyle name="40% - Accent1 5 3 2 2 2 2" xfId="24918"/>
    <cellStyle name="40% - Accent1 5 3 2 2 3" xfId="20315"/>
    <cellStyle name="40% - Accent1 5 3 2 3" xfId="2992"/>
    <cellStyle name="40% - Accent1 5 3 2 3 2" xfId="12727"/>
    <cellStyle name="40% - Accent1 5 3 2 3 2 2" xfId="26439"/>
    <cellStyle name="40% - Accent1 5 3 2 3 3" xfId="20316"/>
    <cellStyle name="40% - Accent1 5 3 2 4" xfId="2993"/>
    <cellStyle name="40% - Accent1 5 3 2 4 2" xfId="15137"/>
    <cellStyle name="40% - Accent1 5 3 2 4 2 2" xfId="28686"/>
    <cellStyle name="40% - Accent1 5 3 2 4 3" xfId="20317"/>
    <cellStyle name="40% - Accent1 5 3 2 5" xfId="2994"/>
    <cellStyle name="40% - Accent1 5 3 2 5 2" xfId="16741"/>
    <cellStyle name="40% - Accent1 5 3 2 5 2 2" xfId="30148"/>
    <cellStyle name="40% - Accent1 5 3 2 5 3" xfId="20318"/>
    <cellStyle name="40% - Accent1 5 3 2 6" xfId="9250"/>
    <cellStyle name="40% - Accent1 5 3 2 6 2" xfId="23725"/>
    <cellStyle name="40% - Accent1 5 3 2 7" xfId="20314"/>
    <cellStyle name="40% - Accent1 5 3 3" xfId="2995"/>
    <cellStyle name="40% - Accent1 5 3 3 2" xfId="2996"/>
    <cellStyle name="40% - Accent1 5 3 3 2 2" xfId="15138"/>
    <cellStyle name="40% - Accent1 5 3 3 2 2 2" xfId="28687"/>
    <cellStyle name="40% - Accent1 5 3 3 2 3" xfId="20320"/>
    <cellStyle name="40% - Accent1 5 3 3 3" xfId="10975"/>
    <cellStyle name="40% - Accent1 5 3 3 3 2" xfId="24917"/>
    <cellStyle name="40% - Accent1 5 3 3 4" xfId="20319"/>
    <cellStyle name="40% - Accent1 5 3 4" xfId="2997"/>
    <cellStyle name="40% - Accent1 5 3 4 2" xfId="12129"/>
    <cellStyle name="40% - Accent1 5 3 4 2 2" xfId="25841"/>
    <cellStyle name="40% - Accent1 5 3 4 3" xfId="20321"/>
    <cellStyle name="40% - Accent1 5 3 5" xfId="2998"/>
    <cellStyle name="40% - Accent1 5 3 5 2" xfId="12732"/>
    <cellStyle name="40% - Accent1 5 3 5 2 2" xfId="26444"/>
    <cellStyle name="40% - Accent1 5 3 5 3" xfId="20322"/>
    <cellStyle name="40% - Accent1 5 3 6" xfId="2999"/>
    <cellStyle name="40% - Accent1 5 3 6 2" xfId="13693"/>
    <cellStyle name="40% - Accent1 5 3 6 2 2" xfId="27242"/>
    <cellStyle name="40% - Accent1 5 3 6 3" xfId="20323"/>
    <cellStyle name="40% - Accent1 5 3 7" xfId="3000"/>
    <cellStyle name="40% - Accent1 5 3 7 2" xfId="14274"/>
    <cellStyle name="40% - Accent1 5 3 7 2 2" xfId="27823"/>
    <cellStyle name="40% - Accent1 5 3 7 3" xfId="20324"/>
    <cellStyle name="40% - Accent1 5 3 8" xfId="3001"/>
    <cellStyle name="40% - Accent1 5 3 8 2" xfId="15136"/>
    <cellStyle name="40% - Accent1 5 3 8 2 2" xfId="28685"/>
    <cellStyle name="40% - Accent1 5 3 8 3" xfId="20325"/>
    <cellStyle name="40% - Accent1 5 3 9" xfId="3002"/>
    <cellStyle name="40% - Accent1 5 3 9 2" xfId="16160"/>
    <cellStyle name="40% - Accent1 5 3 9 2 2" xfId="29567"/>
    <cellStyle name="40% - Accent1 5 3 9 3" xfId="20326"/>
    <cellStyle name="40% - Accent1 5 4" xfId="3003"/>
    <cellStyle name="40% - Accent1 5 4 2" xfId="3004"/>
    <cellStyle name="40% - Accent1 5 4 2 2" xfId="10977"/>
    <cellStyle name="40% - Accent1 5 4 2 2 2" xfId="24919"/>
    <cellStyle name="40% - Accent1 5 4 2 3" xfId="20328"/>
    <cellStyle name="40% - Accent1 5 4 3" xfId="3005"/>
    <cellStyle name="40% - Accent1 5 4 3 2" xfId="12524"/>
    <cellStyle name="40% - Accent1 5 4 3 2 2" xfId="26236"/>
    <cellStyle name="40% - Accent1 5 4 3 3" xfId="20329"/>
    <cellStyle name="40% - Accent1 5 4 4" xfId="3006"/>
    <cellStyle name="40% - Accent1 5 4 4 2" xfId="15139"/>
    <cellStyle name="40% - Accent1 5 4 4 2 2" xfId="28688"/>
    <cellStyle name="40% - Accent1 5 4 4 3" xfId="20330"/>
    <cellStyle name="40% - Accent1 5 4 5" xfId="3007"/>
    <cellStyle name="40% - Accent1 5 4 5 2" xfId="16449"/>
    <cellStyle name="40% - Accent1 5 4 5 2 2" xfId="29856"/>
    <cellStyle name="40% - Accent1 5 4 5 3" xfId="20331"/>
    <cellStyle name="40% - Accent1 5 4 6" xfId="9251"/>
    <cellStyle name="40% - Accent1 5 4 6 2" xfId="23726"/>
    <cellStyle name="40% - Accent1 5 4 7" xfId="20327"/>
    <cellStyle name="40% - Accent1 5 5" xfId="3008"/>
    <cellStyle name="40% - Accent1 5 5 2" xfId="3009"/>
    <cellStyle name="40% - Accent1 5 5 2 2" xfId="15140"/>
    <cellStyle name="40% - Accent1 5 5 2 2 2" xfId="28689"/>
    <cellStyle name="40% - Accent1 5 5 2 3" xfId="20333"/>
    <cellStyle name="40% - Accent1 5 5 3" xfId="10970"/>
    <cellStyle name="40% - Accent1 5 5 3 2" xfId="24912"/>
    <cellStyle name="40% - Accent1 5 5 4" xfId="20332"/>
    <cellStyle name="40% - Accent1 5 6" xfId="3010"/>
    <cellStyle name="40% - Accent1 5 6 2" xfId="11800"/>
    <cellStyle name="40% - Accent1 5 6 2 2" xfId="25515"/>
    <cellStyle name="40% - Accent1 5 6 3" xfId="20334"/>
    <cellStyle name="40% - Accent1 5 7" xfId="3011"/>
    <cellStyle name="40% - Accent1 5 7 2" xfId="12418"/>
    <cellStyle name="40% - Accent1 5 7 2 2" xfId="26130"/>
    <cellStyle name="40% - Accent1 5 7 3" xfId="20335"/>
    <cellStyle name="40% - Accent1 5 8" xfId="3012"/>
    <cellStyle name="40% - Accent1 5 8 2" xfId="13401"/>
    <cellStyle name="40% - Accent1 5 8 2 2" xfId="26950"/>
    <cellStyle name="40% - Accent1 5 8 3" xfId="20336"/>
    <cellStyle name="40% - Accent1 5 9" xfId="3013"/>
    <cellStyle name="40% - Accent1 5 9 2" xfId="13982"/>
    <cellStyle name="40% - Accent1 5 9 2 2" xfId="27531"/>
    <cellStyle name="40% - Accent1 5 9 3" xfId="20337"/>
    <cellStyle name="40% - Accent1 6" xfId="3014"/>
    <cellStyle name="40% - Accent1 6 10" xfId="3015"/>
    <cellStyle name="40% - Accent1 6 10 2" xfId="15141"/>
    <cellStyle name="40% - Accent1 6 10 2 2" xfId="28690"/>
    <cellStyle name="40% - Accent1 6 10 3" xfId="20339"/>
    <cellStyle name="40% - Accent1 6 11" xfId="3016"/>
    <cellStyle name="40% - Accent1 6 11 2" xfId="15974"/>
    <cellStyle name="40% - Accent1 6 11 2 2" xfId="29381"/>
    <cellStyle name="40% - Accent1 6 11 3" xfId="20340"/>
    <cellStyle name="40% - Accent1 6 12" xfId="9252"/>
    <cellStyle name="40% - Accent1 6 12 2" xfId="23727"/>
    <cellStyle name="40% - Accent1 6 13" xfId="20338"/>
    <cellStyle name="40% - Accent1 6 2" xfId="3017"/>
    <cellStyle name="40% - Accent1 6 2 10" xfId="3018"/>
    <cellStyle name="40% - Accent1 6 2 10 2" xfId="16117"/>
    <cellStyle name="40% - Accent1 6 2 10 2 2" xfId="29524"/>
    <cellStyle name="40% - Accent1 6 2 10 3" xfId="20342"/>
    <cellStyle name="40% - Accent1 6 2 11" xfId="9253"/>
    <cellStyle name="40% - Accent1 6 2 11 2" xfId="23728"/>
    <cellStyle name="40% - Accent1 6 2 12" xfId="20341"/>
    <cellStyle name="40% - Accent1 6 2 2" xfId="3019"/>
    <cellStyle name="40% - Accent1 6 2 2 10" xfId="9254"/>
    <cellStyle name="40% - Accent1 6 2 2 10 2" xfId="23729"/>
    <cellStyle name="40% - Accent1 6 2 2 11" xfId="20343"/>
    <cellStyle name="40% - Accent1 6 2 2 2" xfId="3020"/>
    <cellStyle name="40% - Accent1 6 2 2 2 2" xfId="3021"/>
    <cellStyle name="40% - Accent1 6 2 2 2 2 2" xfId="10981"/>
    <cellStyle name="40% - Accent1 6 2 2 2 2 2 2" xfId="24923"/>
    <cellStyle name="40% - Accent1 6 2 2 2 2 3" xfId="20345"/>
    <cellStyle name="40% - Accent1 6 2 2 2 3" xfId="3022"/>
    <cellStyle name="40% - Accent1 6 2 2 2 3 2" xfId="12505"/>
    <cellStyle name="40% - Accent1 6 2 2 2 3 2 2" xfId="26217"/>
    <cellStyle name="40% - Accent1 6 2 2 2 3 3" xfId="20346"/>
    <cellStyle name="40% - Accent1 6 2 2 2 4" xfId="3023"/>
    <cellStyle name="40% - Accent1 6 2 2 2 4 2" xfId="15144"/>
    <cellStyle name="40% - Accent1 6 2 2 2 4 2 2" xfId="28693"/>
    <cellStyle name="40% - Accent1 6 2 2 2 4 3" xfId="20347"/>
    <cellStyle name="40% - Accent1 6 2 2 2 5" xfId="3024"/>
    <cellStyle name="40% - Accent1 6 2 2 2 5 2" xfId="16987"/>
    <cellStyle name="40% - Accent1 6 2 2 2 5 2 2" xfId="30394"/>
    <cellStyle name="40% - Accent1 6 2 2 2 5 3" xfId="20348"/>
    <cellStyle name="40% - Accent1 6 2 2 2 6" xfId="9255"/>
    <cellStyle name="40% - Accent1 6 2 2 2 6 2" xfId="23730"/>
    <cellStyle name="40% - Accent1 6 2 2 2 7" xfId="20344"/>
    <cellStyle name="40% - Accent1 6 2 2 3" xfId="3025"/>
    <cellStyle name="40% - Accent1 6 2 2 3 2" xfId="3026"/>
    <cellStyle name="40% - Accent1 6 2 2 3 2 2" xfId="15145"/>
    <cellStyle name="40% - Accent1 6 2 2 3 2 2 2" xfId="28694"/>
    <cellStyle name="40% - Accent1 6 2 2 3 2 3" xfId="20350"/>
    <cellStyle name="40% - Accent1 6 2 2 3 3" xfId="10980"/>
    <cellStyle name="40% - Accent1 6 2 2 3 3 2" xfId="24922"/>
    <cellStyle name="40% - Accent1 6 2 2 3 4" xfId="20349"/>
    <cellStyle name="40% - Accent1 6 2 2 4" xfId="3027"/>
    <cellStyle name="40% - Accent1 6 2 2 4 2" xfId="12375"/>
    <cellStyle name="40% - Accent1 6 2 2 4 2 2" xfId="26087"/>
    <cellStyle name="40% - Accent1 6 2 2 4 3" xfId="20351"/>
    <cellStyle name="40% - Accent1 6 2 2 5" xfId="3028"/>
    <cellStyle name="40% - Accent1 6 2 2 5 2" xfId="12704"/>
    <cellStyle name="40% - Accent1 6 2 2 5 2 2" xfId="26416"/>
    <cellStyle name="40% - Accent1 6 2 2 5 3" xfId="20352"/>
    <cellStyle name="40% - Accent1 6 2 2 6" xfId="3029"/>
    <cellStyle name="40% - Accent1 6 2 2 6 2" xfId="13939"/>
    <cellStyle name="40% - Accent1 6 2 2 6 2 2" xfId="27488"/>
    <cellStyle name="40% - Accent1 6 2 2 6 3" xfId="20353"/>
    <cellStyle name="40% - Accent1 6 2 2 7" xfId="3030"/>
    <cellStyle name="40% - Accent1 6 2 2 7 2" xfId="14520"/>
    <cellStyle name="40% - Accent1 6 2 2 7 2 2" xfId="28069"/>
    <cellStyle name="40% - Accent1 6 2 2 7 3" xfId="20354"/>
    <cellStyle name="40% - Accent1 6 2 2 8" xfId="3031"/>
    <cellStyle name="40% - Accent1 6 2 2 8 2" xfId="15143"/>
    <cellStyle name="40% - Accent1 6 2 2 8 2 2" xfId="28692"/>
    <cellStyle name="40% - Accent1 6 2 2 8 3" xfId="20355"/>
    <cellStyle name="40% - Accent1 6 2 2 9" xfId="3032"/>
    <cellStyle name="40% - Accent1 6 2 2 9 2" xfId="16406"/>
    <cellStyle name="40% - Accent1 6 2 2 9 2 2" xfId="29813"/>
    <cellStyle name="40% - Accent1 6 2 2 9 3" xfId="20356"/>
    <cellStyle name="40% - Accent1 6 2 3" xfId="3033"/>
    <cellStyle name="40% - Accent1 6 2 3 2" xfId="3034"/>
    <cellStyle name="40% - Accent1 6 2 3 2 2" xfId="10982"/>
    <cellStyle name="40% - Accent1 6 2 3 2 2 2" xfId="24924"/>
    <cellStyle name="40% - Accent1 6 2 3 2 3" xfId="20358"/>
    <cellStyle name="40% - Accent1 6 2 3 3" xfId="3035"/>
    <cellStyle name="40% - Accent1 6 2 3 3 2" xfId="11833"/>
    <cellStyle name="40% - Accent1 6 2 3 3 2 2" xfId="25548"/>
    <cellStyle name="40% - Accent1 6 2 3 3 3" xfId="20359"/>
    <cellStyle name="40% - Accent1 6 2 3 4" xfId="3036"/>
    <cellStyle name="40% - Accent1 6 2 3 4 2" xfId="15146"/>
    <cellStyle name="40% - Accent1 6 2 3 4 2 2" xfId="28695"/>
    <cellStyle name="40% - Accent1 6 2 3 4 3" xfId="20360"/>
    <cellStyle name="40% - Accent1 6 2 3 5" xfId="3037"/>
    <cellStyle name="40% - Accent1 6 2 3 5 2" xfId="16698"/>
    <cellStyle name="40% - Accent1 6 2 3 5 2 2" xfId="30105"/>
    <cellStyle name="40% - Accent1 6 2 3 5 3" xfId="20361"/>
    <cellStyle name="40% - Accent1 6 2 3 6" xfId="9256"/>
    <cellStyle name="40% - Accent1 6 2 3 6 2" xfId="23731"/>
    <cellStyle name="40% - Accent1 6 2 3 7" xfId="20357"/>
    <cellStyle name="40% - Accent1 6 2 4" xfId="3038"/>
    <cellStyle name="40% - Accent1 6 2 4 2" xfId="3039"/>
    <cellStyle name="40% - Accent1 6 2 4 2 2" xfId="15147"/>
    <cellStyle name="40% - Accent1 6 2 4 2 2 2" xfId="28696"/>
    <cellStyle name="40% - Accent1 6 2 4 2 3" xfId="20363"/>
    <cellStyle name="40% - Accent1 6 2 4 3" xfId="10979"/>
    <cellStyle name="40% - Accent1 6 2 4 3 2" xfId="24921"/>
    <cellStyle name="40% - Accent1 6 2 4 4" xfId="20362"/>
    <cellStyle name="40% - Accent1 6 2 5" xfId="3040"/>
    <cellStyle name="40% - Accent1 6 2 5 2" xfId="12075"/>
    <cellStyle name="40% - Accent1 6 2 5 2 2" xfId="25790"/>
    <cellStyle name="40% - Accent1 6 2 5 3" xfId="20364"/>
    <cellStyle name="40% - Accent1 6 2 6" xfId="3041"/>
    <cellStyle name="40% - Accent1 6 2 6 2" xfId="12703"/>
    <cellStyle name="40% - Accent1 6 2 6 2 2" xfId="26415"/>
    <cellStyle name="40% - Accent1 6 2 6 3" xfId="20365"/>
    <cellStyle name="40% - Accent1 6 2 7" xfId="3042"/>
    <cellStyle name="40% - Accent1 6 2 7 2" xfId="13650"/>
    <cellStyle name="40% - Accent1 6 2 7 2 2" xfId="27199"/>
    <cellStyle name="40% - Accent1 6 2 7 3" xfId="20366"/>
    <cellStyle name="40% - Accent1 6 2 8" xfId="3043"/>
    <cellStyle name="40% - Accent1 6 2 8 2" xfId="14231"/>
    <cellStyle name="40% - Accent1 6 2 8 2 2" xfId="27780"/>
    <cellStyle name="40% - Accent1 6 2 8 3" xfId="20367"/>
    <cellStyle name="40% - Accent1 6 2 9" xfId="3044"/>
    <cellStyle name="40% - Accent1 6 2 9 2" xfId="15142"/>
    <cellStyle name="40% - Accent1 6 2 9 2 2" xfId="28691"/>
    <cellStyle name="40% - Accent1 6 2 9 3" xfId="20368"/>
    <cellStyle name="40% - Accent1 6 3" xfId="3045"/>
    <cellStyle name="40% - Accent1 6 3 10" xfId="9257"/>
    <cellStyle name="40% - Accent1 6 3 10 2" xfId="23732"/>
    <cellStyle name="40% - Accent1 6 3 11" xfId="20369"/>
    <cellStyle name="40% - Accent1 6 3 2" xfId="3046"/>
    <cellStyle name="40% - Accent1 6 3 2 2" xfId="3047"/>
    <cellStyle name="40% - Accent1 6 3 2 2 2" xfId="10984"/>
    <cellStyle name="40% - Accent1 6 3 2 2 2 2" xfId="24926"/>
    <cellStyle name="40% - Accent1 6 3 2 2 3" xfId="20371"/>
    <cellStyle name="40% - Accent1 6 3 2 3" xfId="3048"/>
    <cellStyle name="40% - Accent1 6 3 2 3 2" xfId="12530"/>
    <cellStyle name="40% - Accent1 6 3 2 3 2 2" xfId="26242"/>
    <cellStyle name="40% - Accent1 6 3 2 3 3" xfId="20372"/>
    <cellStyle name="40% - Accent1 6 3 2 4" xfId="3049"/>
    <cellStyle name="40% - Accent1 6 3 2 4 2" xfId="15149"/>
    <cellStyle name="40% - Accent1 6 3 2 4 2 2" xfId="28698"/>
    <cellStyle name="40% - Accent1 6 3 2 4 3" xfId="20373"/>
    <cellStyle name="40% - Accent1 6 3 2 5" xfId="3050"/>
    <cellStyle name="40% - Accent1 6 3 2 5 2" xfId="16844"/>
    <cellStyle name="40% - Accent1 6 3 2 5 2 2" xfId="30251"/>
    <cellStyle name="40% - Accent1 6 3 2 5 3" xfId="20374"/>
    <cellStyle name="40% - Accent1 6 3 2 6" xfId="9258"/>
    <cellStyle name="40% - Accent1 6 3 2 6 2" xfId="23733"/>
    <cellStyle name="40% - Accent1 6 3 2 7" xfId="20370"/>
    <cellStyle name="40% - Accent1 6 3 3" xfId="3051"/>
    <cellStyle name="40% - Accent1 6 3 3 2" xfId="3052"/>
    <cellStyle name="40% - Accent1 6 3 3 2 2" xfId="15150"/>
    <cellStyle name="40% - Accent1 6 3 3 2 2 2" xfId="28699"/>
    <cellStyle name="40% - Accent1 6 3 3 2 3" xfId="20376"/>
    <cellStyle name="40% - Accent1 6 3 3 3" xfId="10983"/>
    <cellStyle name="40% - Accent1 6 3 3 3 2" xfId="24925"/>
    <cellStyle name="40% - Accent1 6 3 3 4" xfId="20375"/>
    <cellStyle name="40% - Accent1 6 3 4" xfId="3053"/>
    <cellStyle name="40% - Accent1 6 3 4 2" xfId="12232"/>
    <cellStyle name="40% - Accent1 6 3 4 2 2" xfId="25944"/>
    <cellStyle name="40% - Accent1 6 3 4 3" xfId="20377"/>
    <cellStyle name="40% - Accent1 6 3 5" xfId="3054"/>
    <cellStyle name="40% - Accent1 6 3 5 2" xfId="12437"/>
    <cellStyle name="40% - Accent1 6 3 5 2 2" xfId="26149"/>
    <cellStyle name="40% - Accent1 6 3 5 3" xfId="20378"/>
    <cellStyle name="40% - Accent1 6 3 6" xfId="3055"/>
    <cellStyle name="40% - Accent1 6 3 6 2" xfId="13796"/>
    <cellStyle name="40% - Accent1 6 3 6 2 2" xfId="27345"/>
    <cellStyle name="40% - Accent1 6 3 6 3" xfId="20379"/>
    <cellStyle name="40% - Accent1 6 3 7" xfId="3056"/>
    <cellStyle name="40% - Accent1 6 3 7 2" xfId="14377"/>
    <cellStyle name="40% - Accent1 6 3 7 2 2" xfId="27926"/>
    <cellStyle name="40% - Accent1 6 3 7 3" xfId="20380"/>
    <cellStyle name="40% - Accent1 6 3 8" xfId="3057"/>
    <cellStyle name="40% - Accent1 6 3 8 2" xfId="15148"/>
    <cellStyle name="40% - Accent1 6 3 8 2 2" xfId="28697"/>
    <cellStyle name="40% - Accent1 6 3 8 3" xfId="20381"/>
    <cellStyle name="40% - Accent1 6 3 9" xfId="3058"/>
    <cellStyle name="40% - Accent1 6 3 9 2" xfId="16263"/>
    <cellStyle name="40% - Accent1 6 3 9 2 2" xfId="29670"/>
    <cellStyle name="40% - Accent1 6 3 9 3" xfId="20382"/>
    <cellStyle name="40% - Accent1 6 4" xfId="3059"/>
    <cellStyle name="40% - Accent1 6 4 2" xfId="3060"/>
    <cellStyle name="40% - Accent1 6 4 2 2" xfId="10985"/>
    <cellStyle name="40% - Accent1 6 4 2 2 2" xfId="24927"/>
    <cellStyle name="40% - Accent1 6 4 2 3" xfId="20384"/>
    <cellStyle name="40% - Accent1 6 4 3" xfId="3061"/>
    <cellStyle name="40% - Accent1 6 4 3 2" xfId="12445"/>
    <cellStyle name="40% - Accent1 6 4 3 2 2" xfId="26157"/>
    <cellStyle name="40% - Accent1 6 4 3 3" xfId="20385"/>
    <cellStyle name="40% - Accent1 6 4 4" xfId="3062"/>
    <cellStyle name="40% - Accent1 6 4 4 2" xfId="15151"/>
    <cellStyle name="40% - Accent1 6 4 4 2 2" xfId="28700"/>
    <cellStyle name="40% - Accent1 6 4 4 3" xfId="20386"/>
    <cellStyle name="40% - Accent1 6 4 5" xfId="3063"/>
    <cellStyle name="40% - Accent1 6 4 5 2" xfId="16555"/>
    <cellStyle name="40% - Accent1 6 4 5 2 2" xfId="29962"/>
    <cellStyle name="40% - Accent1 6 4 5 3" xfId="20387"/>
    <cellStyle name="40% - Accent1 6 4 6" xfId="9259"/>
    <cellStyle name="40% - Accent1 6 4 6 2" xfId="23734"/>
    <cellStyle name="40% - Accent1 6 4 7" xfId="20383"/>
    <cellStyle name="40% - Accent1 6 5" xfId="3064"/>
    <cellStyle name="40% - Accent1 6 5 2" xfId="3065"/>
    <cellStyle name="40% - Accent1 6 5 2 2" xfId="15152"/>
    <cellStyle name="40% - Accent1 6 5 2 2 2" xfId="28701"/>
    <cellStyle name="40% - Accent1 6 5 2 3" xfId="20389"/>
    <cellStyle name="40% - Accent1 6 5 3" xfId="10978"/>
    <cellStyle name="40% - Accent1 6 5 3 2" xfId="24920"/>
    <cellStyle name="40% - Accent1 6 5 4" xfId="20388"/>
    <cellStyle name="40% - Accent1 6 6" xfId="3066"/>
    <cellStyle name="40% - Accent1 6 6 2" xfId="11930"/>
    <cellStyle name="40% - Accent1 6 6 2 2" xfId="25645"/>
    <cellStyle name="40% - Accent1 6 6 3" xfId="20390"/>
    <cellStyle name="40% - Accent1 6 7" xfId="3067"/>
    <cellStyle name="40% - Accent1 6 7 2" xfId="12421"/>
    <cellStyle name="40% - Accent1 6 7 2 2" xfId="26133"/>
    <cellStyle name="40% - Accent1 6 7 3" xfId="20391"/>
    <cellStyle name="40% - Accent1 6 8" xfId="3068"/>
    <cellStyle name="40% - Accent1 6 8 2" xfId="13507"/>
    <cellStyle name="40% - Accent1 6 8 2 2" xfId="27056"/>
    <cellStyle name="40% - Accent1 6 8 3" xfId="20392"/>
    <cellStyle name="40% - Accent1 6 9" xfId="3069"/>
    <cellStyle name="40% - Accent1 6 9 2" xfId="14088"/>
    <cellStyle name="40% - Accent1 6 9 2 2" xfId="27637"/>
    <cellStyle name="40% - Accent1 6 9 3" xfId="20393"/>
    <cellStyle name="40% - Accent1 7" xfId="3070"/>
    <cellStyle name="40% - Accent1 7 10" xfId="3071"/>
    <cellStyle name="40% - Accent1 7 10 2" xfId="15989"/>
    <cellStyle name="40% - Accent1 7 10 2 2" xfId="29396"/>
    <cellStyle name="40% - Accent1 7 10 3" xfId="20395"/>
    <cellStyle name="40% - Accent1 7 11" xfId="9260"/>
    <cellStyle name="40% - Accent1 7 11 2" xfId="23735"/>
    <cellStyle name="40% - Accent1 7 12" xfId="20394"/>
    <cellStyle name="40% - Accent1 7 2" xfId="3072"/>
    <cellStyle name="40% - Accent1 7 2 10" xfId="9261"/>
    <cellStyle name="40% - Accent1 7 2 10 2" xfId="23736"/>
    <cellStyle name="40% - Accent1 7 2 11" xfId="20396"/>
    <cellStyle name="40% - Accent1 7 2 2" xfId="3073"/>
    <cellStyle name="40% - Accent1 7 2 2 2" xfId="3074"/>
    <cellStyle name="40% - Accent1 7 2 2 2 2" xfId="10988"/>
    <cellStyle name="40% - Accent1 7 2 2 2 2 2" xfId="24930"/>
    <cellStyle name="40% - Accent1 7 2 2 2 3" xfId="20398"/>
    <cellStyle name="40% - Accent1 7 2 2 3" xfId="3075"/>
    <cellStyle name="40% - Accent1 7 2 2 3 2" xfId="12408"/>
    <cellStyle name="40% - Accent1 7 2 2 3 2 2" xfId="26120"/>
    <cellStyle name="40% - Accent1 7 2 2 3 3" xfId="20399"/>
    <cellStyle name="40% - Accent1 7 2 2 4" xfId="3076"/>
    <cellStyle name="40% - Accent1 7 2 2 4 2" xfId="15155"/>
    <cellStyle name="40% - Accent1 7 2 2 4 2 2" xfId="28704"/>
    <cellStyle name="40% - Accent1 7 2 2 4 3" xfId="20400"/>
    <cellStyle name="40% - Accent1 7 2 2 5" xfId="3077"/>
    <cellStyle name="40% - Accent1 7 2 2 5 2" xfId="16859"/>
    <cellStyle name="40% - Accent1 7 2 2 5 2 2" xfId="30266"/>
    <cellStyle name="40% - Accent1 7 2 2 5 3" xfId="20401"/>
    <cellStyle name="40% - Accent1 7 2 2 6" xfId="9262"/>
    <cellStyle name="40% - Accent1 7 2 2 6 2" xfId="23737"/>
    <cellStyle name="40% - Accent1 7 2 2 7" xfId="20397"/>
    <cellStyle name="40% - Accent1 7 2 3" xfId="3078"/>
    <cellStyle name="40% - Accent1 7 2 3 2" xfId="3079"/>
    <cellStyle name="40% - Accent1 7 2 3 2 2" xfId="15156"/>
    <cellStyle name="40% - Accent1 7 2 3 2 2 2" xfId="28705"/>
    <cellStyle name="40% - Accent1 7 2 3 2 3" xfId="20403"/>
    <cellStyle name="40% - Accent1 7 2 3 3" xfId="10987"/>
    <cellStyle name="40% - Accent1 7 2 3 3 2" xfId="24929"/>
    <cellStyle name="40% - Accent1 7 2 3 4" xfId="20402"/>
    <cellStyle name="40% - Accent1 7 2 4" xfId="3080"/>
    <cellStyle name="40% - Accent1 7 2 4 2" xfId="12247"/>
    <cellStyle name="40% - Accent1 7 2 4 2 2" xfId="25959"/>
    <cellStyle name="40% - Accent1 7 2 4 3" xfId="20404"/>
    <cellStyle name="40% - Accent1 7 2 5" xfId="3081"/>
    <cellStyle name="40% - Accent1 7 2 5 2" xfId="12782"/>
    <cellStyle name="40% - Accent1 7 2 5 2 2" xfId="26494"/>
    <cellStyle name="40% - Accent1 7 2 5 3" xfId="20405"/>
    <cellStyle name="40% - Accent1 7 2 6" xfId="3082"/>
    <cellStyle name="40% - Accent1 7 2 6 2" xfId="13811"/>
    <cellStyle name="40% - Accent1 7 2 6 2 2" xfId="27360"/>
    <cellStyle name="40% - Accent1 7 2 6 3" xfId="20406"/>
    <cellStyle name="40% - Accent1 7 2 7" xfId="3083"/>
    <cellStyle name="40% - Accent1 7 2 7 2" xfId="14392"/>
    <cellStyle name="40% - Accent1 7 2 7 2 2" xfId="27941"/>
    <cellStyle name="40% - Accent1 7 2 7 3" xfId="20407"/>
    <cellStyle name="40% - Accent1 7 2 8" xfId="3084"/>
    <cellStyle name="40% - Accent1 7 2 8 2" xfId="15154"/>
    <cellStyle name="40% - Accent1 7 2 8 2 2" xfId="28703"/>
    <cellStyle name="40% - Accent1 7 2 8 3" xfId="20408"/>
    <cellStyle name="40% - Accent1 7 2 9" xfId="3085"/>
    <cellStyle name="40% - Accent1 7 2 9 2" xfId="16278"/>
    <cellStyle name="40% - Accent1 7 2 9 2 2" xfId="29685"/>
    <cellStyle name="40% - Accent1 7 2 9 3" xfId="20409"/>
    <cellStyle name="40% - Accent1 7 3" xfId="3086"/>
    <cellStyle name="40% - Accent1 7 3 2" xfId="3087"/>
    <cellStyle name="40% - Accent1 7 3 2 2" xfId="10989"/>
    <cellStyle name="40% - Accent1 7 3 2 2 2" xfId="24931"/>
    <cellStyle name="40% - Accent1 7 3 2 3" xfId="20411"/>
    <cellStyle name="40% - Accent1 7 3 3" xfId="3088"/>
    <cellStyle name="40% - Accent1 7 3 3 2" xfId="12444"/>
    <cellStyle name="40% - Accent1 7 3 3 2 2" xfId="26156"/>
    <cellStyle name="40% - Accent1 7 3 3 3" xfId="20412"/>
    <cellStyle name="40% - Accent1 7 3 4" xfId="3089"/>
    <cellStyle name="40% - Accent1 7 3 4 2" xfId="15157"/>
    <cellStyle name="40% - Accent1 7 3 4 2 2" xfId="28706"/>
    <cellStyle name="40% - Accent1 7 3 4 3" xfId="20413"/>
    <cellStyle name="40% - Accent1 7 3 5" xfId="3090"/>
    <cellStyle name="40% - Accent1 7 3 5 2" xfId="16570"/>
    <cellStyle name="40% - Accent1 7 3 5 2 2" xfId="29977"/>
    <cellStyle name="40% - Accent1 7 3 5 3" xfId="20414"/>
    <cellStyle name="40% - Accent1 7 3 6" xfId="9263"/>
    <cellStyle name="40% - Accent1 7 3 6 2" xfId="23738"/>
    <cellStyle name="40% - Accent1 7 3 7" xfId="20410"/>
    <cellStyle name="40% - Accent1 7 4" xfId="3091"/>
    <cellStyle name="40% - Accent1 7 4 2" xfId="3092"/>
    <cellStyle name="40% - Accent1 7 4 2 2" xfId="15158"/>
    <cellStyle name="40% - Accent1 7 4 2 2 2" xfId="28707"/>
    <cellStyle name="40% - Accent1 7 4 2 3" xfId="20416"/>
    <cellStyle name="40% - Accent1 7 4 3" xfId="10986"/>
    <cellStyle name="40% - Accent1 7 4 3 2" xfId="24928"/>
    <cellStyle name="40% - Accent1 7 4 4" xfId="20415"/>
    <cellStyle name="40% - Accent1 7 5" xfId="3093"/>
    <cellStyle name="40% - Accent1 7 5 2" xfId="11945"/>
    <cellStyle name="40% - Accent1 7 5 2 2" xfId="25660"/>
    <cellStyle name="40% - Accent1 7 5 3" xfId="20417"/>
    <cellStyle name="40% - Accent1 7 6" xfId="3094"/>
    <cellStyle name="40% - Accent1 7 6 2" xfId="12737"/>
    <cellStyle name="40% - Accent1 7 6 2 2" xfId="26449"/>
    <cellStyle name="40% - Accent1 7 6 3" xfId="20418"/>
    <cellStyle name="40% - Accent1 7 7" xfId="3095"/>
    <cellStyle name="40% - Accent1 7 7 2" xfId="13522"/>
    <cellStyle name="40% - Accent1 7 7 2 2" xfId="27071"/>
    <cellStyle name="40% - Accent1 7 7 3" xfId="20419"/>
    <cellStyle name="40% - Accent1 7 8" xfId="3096"/>
    <cellStyle name="40% - Accent1 7 8 2" xfId="14103"/>
    <cellStyle name="40% - Accent1 7 8 2 2" xfId="27652"/>
    <cellStyle name="40% - Accent1 7 8 3" xfId="20420"/>
    <cellStyle name="40% - Accent1 7 9" xfId="3097"/>
    <cellStyle name="40% - Accent1 7 9 2" xfId="15153"/>
    <cellStyle name="40% - Accent1 7 9 2 2" xfId="28702"/>
    <cellStyle name="40% - Accent1 7 9 3" xfId="20421"/>
    <cellStyle name="40% - Accent1 8" xfId="3098"/>
    <cellStyle name="40% - Accent1 8 10" xfId="9264"/>
    <cellStyle name="40% - Accent1 8 10 2" xfId="23739"/>
    <cellStyle name="40% - Accent1 8 11" xfId="20422"/>
    <cellStyle name="40% - Accent1 8 2" xfId="3099"/>
    <cellStyle name="40% - Accent1 8 2 2" xfId="3100"/>
    <cellStyle name="40% - Accent1 8 2 2 2" xfId="10991"/>
    <cellStyle name="40% - Accent1 8 2 2 2 2" xfId="24933"/>
    <cellStyle name="40% - Accent1 8 2 2 3" xfId="20424"/>
    <cellStyle name="40% - Accent1 8 2 3" xfId="3101"/>
    <cellStyle name="40% - Accent1 8 2 3 2" xfId="12764"/>
    <cellStyle name="40% - Accent1 8 2 3 2 2" xfId="26476"/>
    <cellStyle name="40% - Accent1 8 2 3 3" xfId="20425"/>
    <cellStyle name="40% - Accent1 8 2 4" xfId="3102"/>
    <cellStyle name="40% - Accent1 8 2 4 2" xfId="15160"/>
    <cellStyle name="40% - Accent1 8 2 4 2 2" xfId="28709"/>
    <cellStyle name="40% - Accent1 8 2 4 3" xfId="20426"/>
    <cellStyle name="40% - Accent1 8 2 5" xfId="3103"/>
    <cellStyle name="40% - Accent1 8 2 5 2" xfId="16718"/>
    <cellStyle name="40% - Accent1 8 2 5 2 2" xfId="30125"/>
    <cellStyle name="40% - Accent1 8 2 5 3" xfId="20427"/>
    <cellStyle name="40% - Accent1 8 2 6" xfId="9265"/>
    <cellStyle name="40% - Accent1 8 2 6 2" xfId="23740"/>
    <cellStyle name="40% - Accent1 8 2 7" xfId="20423"/>
    <cellStyle name="40% - Accent1 8 3" xfId="3104"/>
    <cellStyle name="40% - Accent1 8 3 2" xfId="3105"/>
    <cellStyle name="40% - Accent1 8 3 2 2" xfId="15161"/>
    <cellStyle name="40% - Accent1 8 3 2 2 2" xfId="28710"/>
    <cellStyle name="40% - Accent1 8 3 2 3" xfId="20429"/>
    <cellStyle name="40% - Accent1 8 3 3" xfId="10990"/>
    <cellStyle name="40% - Accent1 8 3 3 2" xfId="24932"/>
    <cellStyle name="40% - Accent1 8 3 4" xfId="20428"/>
    <cellStyle name="40% - Accent1 8 4" xfId="3106"/>
    <cellStyle name="40% - Accent1 8 4 2" xfId="12096"/>
    <cellStyle name="40% - Accent1 8 4 2 2" xfId="25810"/>
    <cellStyle name="40% - Accent1 8 4 3" xfId="20430"/>
    <cellStyle name="40% - Accent1 8 5" xfId="3107"/>
    <cellStyle name="40% - Accent1 8 5 2" xfId="12513"/>
    <cellStyle name="40% - Accent1 8 5 2 2" xfId="26225"/>
    <cellStyle name="40% - Accent1 8 5 3" xfId="20431"/>
    <cellStyle name="40% - Accent1 8 6" xfId="3108"/>
    <cellStyle name="40% - Accent1 8 6 2" xfId="13670"/>
    <cellStyle name="40% - Accent1 8 6 2 2" xfId="27219"/>
    <cellStyle name="40% - Accent1 8 6 3" xfId="20432"/>
    <cellStyle name="40% - Accent1 8 7" xfId="3109"/>
    <cellStyle name="40% - Accent1 8 7 2" xfId="14251"/>
    <cellStyle name="40% - Accent1 8 7 2 2" xfId="27800"/>
    <cellStyle name="40% - Accent1 8 7 3" xfId="20433"/>
    <cellStyle name="40% - Accent1 8 8" xfId="3110"/>
    <cellStyle name="40% - Accent1 8 8 2" xfId="15159"/>
    <cellStyle name="40% - Accent1 8 8 2 2" xfId="28708"/>
    <cellStyle name="40% - Accent1 8 8 3" xfId="20434"/>
    <cellStyle name="40% - Accent1 8 9" xfId="3111"/>
    <cellStyle name="40% - Accent1 8 9 2" xfId="16137"/>
    <cellStyle name="40% - Accent1 8 9 2 2" xfId="29544"/>
    <cellStyle name="40% - Accent1 8 9 3" xfId="20435"/>
    <cellStyle name="40% - Accent1 9" xfId="3112"/>
    <cellStyle name="40% - Accent1 9 2" xfId="3113"/>
    <cellStyle name="40% - Accent1 9 2 2" xfId="10992"/>
    <cellStyle name="40% - Accent1 9 2 2 2" xfId="24934"/>
    <cellStyle name="40% - Accent1 9 2 3" xfId="20437"/>
    <cellStyle name="40% - Accent1 9 3" xfId="3114"/>
    <cellStyle name="40% - Accent1 9 3 2" xfId="11786"/>
    <cellStyle name="40% - Accent1 9 3 2 2" xfId="25501"/>
    <cellStyle name="40% - Accent1 9 3 3" xfId="20438"/>
    <cellStyle name="40% - Accent1 9 4" xfId="3115"/>
    <cellStyle name="40% - Accent1 9 4 2" xfId="15162"/>
    <cellStyle name="40% - Accent1 9 4 2 2" xfId="28711"/>
    <cellStyle name="40% - Accent1 9 4 3" xfId="20439"/>
    <cellStyle name="40% - Accent1 9 5" xfId="3116"/>
    <cellStyle name="40% - Accent1 9 5 2" xfId="17102"/>
    <cellStyle name="40% - Accent1 9 5 2 2" xfId="30461"/>
    <cellStyle name="40% - Accent1 9 5 3" xfId="20440"/>
    <cellStyle name="40% - Accent1 9 6" xfId="9266"/>
    <cellStyle name="40% - Accent1 9 6 2" xfId="23741"/>
    <cellStyle name="40% - Accent1 9 7" xfId="20436"/>
    <cellStyle name="40% - Accent2" xfId="33" builtinId="35" customBuiltin="1"/>
    <cellStyle name="40% - Accent2 10" xfId="3117"/>
    <cellStyle name="40% - Accent2 10 2" xfId="3118"/>
    <cellStyle name="40% - Accent2 10 2 2" xfId="11770"/>
    <cellStyle name="40% - Accent2 10 2 2 2" xfId="25485"/>
    <cellStyle name="40% - Accent2 10 2 3" xfId="20443"/>
    <cellStyle name="40% - Accent2 10 3" xfId="3119"/>
    <cellStyle name="40% - Accent2 10 3 2" xfId="15163"/>
    <cellStyle name="40% - Accent2 10 3 2 2" xfId="28712"/>
    <cellStyle name="40% - Accent2 10 3 3" xfId="20444"/>
    <cellStyle name="40% - Accent2 10 4" xfId="3120"/>
    <cellStyle name="40% - Accent2 10 4 2" xfId="17192"/>
    <cellStyle name="40% - Accent2 10 4 2 2" xfId="30551"/>
    <cellStyle name="40% - Accent2 10 4 3" xfId="20445"/>
    <cellStyle name="40% - Accent2 10 5" xfId="10510"/>
    <cellStyle name="40% - Accent2 10 5 2" xfId="24458"/>
    <cellStyle name="40% - Accent2 10 6" xfId="20442"/>
    <cellStyle name="40% - Accent2 11" xfId="3121"/>
    <cellStyle name="40% - Accent2 11 2" xfId="3122"/>
    <cellStyle name="40% - Accent2 11 2 2" xfId="12606"/>
    <cellStyle name="40% - Accent2 11 2 2 2" xfId="26318"/>
    <cellStyle name="40% - Accent2 11 2 3" xfId="20447"/>
    <cellStyle name="40% - Accent2 11 3" xfId="3123"/>
    <cellStyle name="40% - Accent2 11 3 2" xfId="15164"/>
    <cellStyle name="40% - Accent2 11 3 2 2" xfId="28713"/>
    <cellStyle name="40% - Accent2 11 3 3" xfId="20448"/>
    <cellStyle name="40% - Accent2 11 4" xfId="3124"/>
    <cellStyle name="40% - Accent2 11 4 2" xfId="17281"/>
    <cellStyle name="40% - Accent2 11 4 2 2" xfId="30640"/>
    <cellStyle name="40% - Accent2 11 4 3" xfId="20449"/>
    <cellStyle name="40% - Accent2 11 5" xfId="10993"/>
    <cellStyle name="40% - Accent2 11 5 2" xfId="24935"/>
    <cellStyle name="40% - Accent2 11 6" xfId="20446"/>
    <cellStyle name="40% - Accent2 12" xfId="3125"/>
    <cellStyle name="40% - Accent2 12 2" xfId="3126"/>
    <cellStyle name="40% - Accent2 12 2 2" xfId="16433"/>
    <cellStyle name="40% - Accent2 12 2 2 2" xfId="29840"/>
    <cellStyle name="40% - Accent2 12 2 3" xfId="20451"/>
    <cellStyle name="40% - Accent2 12 3" xfId="11746"/>
    <cellStyle name="40% - Accent2 12 3 2" xfId="25461"/>
    <cellStyle name="40% - Accent2 12 4" xfId="20450"/>
    <cellStyle name="40% - Accent2 13" xfId="3127"/>
    <cellStyle name="40% - Accent2 13 2" xfId="13385"/>
    <cellStyle name="40% - Accent2 13 2 2" xfId="26934"/>
    <cellStyle name="40% - Accent2 13 3" xfId="20452"/>
    <cellStyle name="40% - Accent2 14" xfId="3128"/>
    <cellStyle name="40% - Accent2 14 2" xfId="13966"/>
    <cellStyle name="40% - Accent2 14 2 2" xfId="27515"/>
    <cellStyle name="40% - Accent2 14 3" xfId="20453"/>
    <cellStyle name="40% - Accent2 15" xfId="3129"/>
    <cellStyle name="40% - Accent2 15 2" xfId="15834"/>
    <cellStyle name="40% - Accent2 15 2 2" xfId="29241"/>
    <cellStyle name="40% - Accent2 15 3" xfId="20454"/>
    <cellStyle name="40% - Accent2 16" xfId="3130"/>
    <cellStyle name="40% - Accent2 16 2" xfId="15852"/>
    <cellStyle name="40% - Accent2 16 2 2" xfId="29259"/>
    <cellStyle name="40% - Accent2 16 3" xfId="20455"/>
    <cellStyle name="40% - Accent2 17" xfId="8816"/>
    <cellStyle name="40% - Accent2 17 2" xfId="23292"/>
    <cellStyle name="40% - Accent2 18" xfId="20441"/>
    <cellStyle name="40% - Accent2 2" xfId="3131"/>
    <cellStyle name="40% - Accent2 2 10" xfId="3132"/>
    <cellStyle name="40% - Accent2 2 10 2" xfId="15905"/>
    <cellStyle name="40% - Accent2 2 10 2 2" xfId="29312"/>
    <cellStyle name="40% - Accent2 2 10 3" xfId="20457"/>
    <cellStyle name="40% - Accent2 2 11" xfId="9267"/>
    <cellStyle name="40% - Accent2 2 11 2" xfId="23742"/>
    <cellStyle name="40% - Accent2 2 12" xfId="20456"/>
    <cellStyle name="40% - Accent2 2 13" xfId="33067"/>
    <cellStyle name="40% - Accent2 2 2" xfId="3133"/>
    <cellStyle name="40% - Accent2 2 2 10" xfId="20458"/>
    <cellStyle name="40% - Accent2 2 2 2" xfId="3134"/>
    <cellStyle name="40% - Accent2 2 2 2 2" xfId="3135"/>
    <cellStyle name="40% - Accent2 2 2 2 2 2" xfId="3136"/>
    <cellStyle name="40% - Accent2 2 2 2 2 2 2" xfId="3137"/>
    <cellStyle name="40% - Accent2 2 2 2 2 2 2 2" xfId="16964"/>
    <cellStyle name="40% - Accent2 2 2 2 2 2 2 2 2" xfId="30371"/>
    <cellStyle name="40% - Accent2 2 2 2 2 2 2 3" xfId="20462"/>
    <cellStyle name="40% - Accent2 2 2 2 2 2 3" xfId="10997"/>
    <cellStyle name="40% - Accent2 2 2 2 2 2 3 2" xfId="24939"/>
    <cellStyle name="40% - Accent2 2 2 2 2 2 4" xfId="20461"/>
    <cellStyle name="40% - Accent2 2 2 2 2 3" xfId="3138"/>
    <cellStyle name="40% - Accent2 2 2 2 2 3 2" xfId="12352"/>
    <cellStyle name="40% - Accent2 2 2 2 2 3 2 2" xfId="26064"/>
    <cellStyle name="40% - Accent2 2 2 2 2 3 3" xfId="20463"/>
    <cellStyle name="40% - Accent2 2 2 2 2 4" xfId="3139"/>
    <cellStyle name="40% - Accent2 2 2 2 2 4 2" xfId="13916"/>
    <cellStyle name="40% - Accent2 2 2 2 2 4 2 2" xfId="27465"/>
    <cellStyle name="40% - Accent2 2 2 2 2 4 3" xfId="20464"/>
    <cellStyle name="40% - Accent2 2 2 2 2 5" xfId="3140"/>
    <cellStyle name="40% - Accent2 2 2 2 2 5 2" xfId="14497"/>
    <cellStyle name="40% - Accent2 2 2 2 2 5 2 2" xfId="28046"/>
    <cellStyle name="40% - Accent2 2 2 2 2 5 3" xfId="20465"/>
    <cellStyle name="40% - Accent2 2 2 2 2 6" xfId="3141"/>
    <cellStyle name="40% - Accent2 2 2 2 2 6 2" xfId="16383"/>
    <cellStyle name="40% - Accent2 2 2 2 2 6 2 2" xfId="29790"/>
    <cellStyle name="40% - Accent2 2 2 2 2 6 3" xfId="20466"/>
    <cellStyle name="40% - Accent2 2 2 2 2 7" xfId="9270"/>
    <cellStyle name="40% - Accent2 2 2 2 2 7 2" xfId="23745"/>
    <cellStyle name="40% - Accent2 2 2 2 2 8" xfId="20460"/>
    <cellStyle name="40% - Accent2 2 2 2 3" xfId="3142"/>
    <cellStyle name="40% - Accent2 2 2 2 3 2" xfId="3143"/>
    <cellStyle name="40% - Accent2 2 2 2 3 2 2" xfId="16675"/>
    <cellStyle name="40% - Accent2 2 2 2 3 2 2 2" xfId="30082"/>
    <cellStyle name="40% - Accent2 2 2 2 3 2 3" xfId="20468"/>
    <cellStyle name="40% - Accent2 2 2 2 3 3" xfId="10996"/>
    <cellStyle name="40% - Accent2 2 2 2 3 3 2" xfId="24938"/>
    <cellStyle name="40% - Accent2 2 2 2 3 4" xfId="20467"/>
    <cellStyle name="40% - Accent2 2 2 2 4" xfId="3144"/>
    <cellStyle name="40% - Accent2 2 2 2 4 2" xfId="12052"/>
    <cellStyle name="40% - Accent2 2 2 2 4 2 2" xfId="25767"/>
    <cellStyle name="40% - Accent2 2 2 2 4 3" xfId="20469"/>
    <cellStyle name="40% - Accent2 2 2 2 5" xfId="3145"/>
    <cellStyle name="40% - Accent2 2 2 2 5 2" xfId="13627"/>
    <cellStyle name="40% - Accent2 2 2 2 5 2 2" xfId="27176"/>
    <cellStyle name="40% - Accent2 2 2 2 5 3" xfId="20470"/>
    <cellStyle name="40% - Accent2 2 2 2 6" xfId="3146"/>
    <cellStyle name="40% - Accent2 2 2 2 6 2" xfId="14208"/>
    <cellStyle name="40% - Accent2 2 2 2 6 2 2" xfId="27757"/>
    <cellStyle name="40% - Accent2 2 2 2 6 3" xfId="20471"/>
    <cellStyle name="40% - Accent2 2 2 2 7" xfId="3147"/>
    <cellStyle name="40% - Accent2 2 2 2 7 2" xfId="16094"/>
    <cellStyle name="40% - Accent2 2 2 2 7 2 2" xfId="29501"/>
    <cellStyle name="40% - Accent2 2 2 2 7 3" xfId="20472"/>
    <cellStyle name="40% - Accent2 2 2 2 8" xfId="9269"/>
    <cellStyle name="40% - Accent2 2 2 2 8 2" xfId="23744"/>
    <cellStyle name="40% - Accent2 2 2 2 9" xfId="20459"/>
    <cellStyle name="40% - Accent2 2 2 3" xfId="3148"/>
    <cellStyle name="40% - Accent2 2 2 3 2" xfId="3149"/>
    <cellStyle name="40% - Accent2 2 2 3 2 2" xfId="3150"/>
    <cellStyle name="40% - Accent2 2 2 3 2 2 2" xfId="16821"/>
    <cellStyle name="40% - Accent2 2 2 3 2 2 2 2" xfId="30228"/>
    <cellStyle name="40% - Accent2 2 2 3 2 2 3" xfId="20475"/>
    <cellStyle name="40% - Accent2 2 2 3 2 3" xfId="10998"/>
    <cellStyle name="40% - Accent2 2 2 3 2 3 2" xfId="24940"/>
    <cellStyle name="40% - Accent2 2 2 3 2 4" xfId="20474"/>
    <cellStyle name="40% - Accent2 2 2 3 3" xfId="3151"/>
    <cellStyle name="40% - Accent2 2 2 3 3 2" xfId="12209"/>
    <cellStyle name="40% - Accent2 2 2 3 3 2 2" xfId="25921"/>
    <cellStyle name="40% - Accent2 2 2 3 3 3" xfId="20476"/>
    <cellStyle name="40% - Accent2 2 2 3 4" xfId="3152"/>
    <cellStyle name="40% - Accent2 2 2 3 4 2" xfId="13773"/>
    <cellStyle name="40% - Accent2 2 2 3 4 2 2" xfId="27322"/>
    <cellStyle name="40% - Accent2 2 2 3 4 3" xfId="20477"/>
    <cellStyle name="40% - Accent2 2 2 3 5" xfId="3153"/>
    <cellStyle name="40% - Accent2 2 2 3 5 2" xfId="14354"/>
    <cellStyle name="40% - Accent2 2 2 3 5 2 2" xfId="27903"/>
    <cellStyle name="40% - Accent2 2 2 3 5 3" xfId="20478"/>
    <cellStyle name="40% - Accent2 2 2 3 6" xfId="3154"/>
    <cellStyle name="40% - Accent2 2 2 3 6 2" xfId="16240"/>
    <cellStyle name="40% - Accent2 2 2 3 6 2 2" xfId="29647"/>
    <cellStyle name="40% - Accent2 2 2 3 6 3" xfId="20479"/>
    <cellStyle name="40% - Accent2 2 2 3 7" xfId="9271"/>
    <cellStyle name="40% - Accent2 2 2 3 7 2" xfId="23746"/>
    <cellStyle name="40% - Accent2 2 2 3 8" xfId="20473"/>
    <cellStyle name="40% - Accent2 2 2 4" xfId="3155"/>
    <cellStyle name="40% - Accent2 2 2 4 2" xfId="3156"/>
    <cellStyle name="40% - Accent2 2 2 4 2 2" xfId="17168"/>
    <cellStyle name="40% - Accent2 2 2 4 2 2 2" xfId="30527"/>
    <cellStyle name="40% - Accent2 2 2 4 2 3" xfId="20481"/>
    <cellStyle name="40% - Accent2 2 2 4 3" xfId="10995"/>
    <cellStyle name="40% - Accent2 2 2 4 3 2" xfId="24937"/>
    <cellStyle name="40% - Accent2 2 2 4 4" xfId="20480"/>
    <cellStyle name="40% - Accent2 2 2 5" xfId="3157"/>
    <cellStyle name="40% - Accent2 2 2 5 2" xfId="3158"/>
    <cellStyle name="40% - Accent2 2 2 5 2 2" xfId="17257"/>
    <cellStyle name="40% - Accent2 2 2 5 2 2 2" xfId="30616"/>
    <cellStyle name="40% - Accent2 2 2 5 2 3" xfId="20483"/>
    <cellStyle name="40% - Accent2 2 2 5 3" xfId="11907"/>
    <cellStyle name="40% - Accent2 2 2 5 3 2" xfId="25622"/>
    <cellStyle name="40% - Accent2 2 2 5 4" xfId="20482"/>
    <cellStyle name="40% - Accent2 2 2 6" xfId="3159"/>
    <cellStyle name="40% - Accent2 2 2 6 2" xfId="3160"/>
    <cellStyle name="40% - Accent2 2 2 6 2 2" xfId="16532"/>
    <cellStyle name="40% - Accent2 2 2 6 2 2 2" xfId="29939"/>
    <cellStyle name="40% - Accent2 2 2 6 2 3" xfId="20485"/>
    <cellStyle name="40% - Accent2 2 2 6 3" xfId="13484"/>
    <cellStyle name="40% - Accent2 2 2 6 3 2" xfId="27033"/>
    <cellStyle name="40% - Accent2 2 2 6 4" xfId="20484"/>
    <cellStyle name="40% - Accent2 2 2 7" xfId="3161"/>
    <cellStyle name="40% - Accent2 2 2 7 2" xfId="14065"/>
    <cellStyle name="40% - Accent2 2 2 7 2 2" xfId="27614"/>
    <cellStyle name="40% - Accent2 2 2 7 3" xfId="20486"/>
    <cellStyle name="40% - Accent2 2 2 8" xfId="3162"/>
    <cellStyle name="40% - Accent2 2 2 8 2" xfId="15951"/>
    <cellStyle name="40% - Accent2 2 2 8 2 2" xfId="29358"/>
    <cellStyle name="40% - Accent2 2 2 8 3" xfId="20487"/>
    <cellStyle name="40% - Accent2 2 2 9" xfId="9268"/>
    <cellStyle name="40% - Accent2 2 2 9 2" xfId="23743"/>
    <cellStyle name="40% - Accent2 2 3" xfId="3163"/>
    <cellStyle name="40% - Accent2 2 3 2" xfId="3164"/>
    <cellStyle name="40% - Accent2 2 3 2 2" xfId="3165"/>
    <cellStyle name="40% - Accent2 2 3 2 2 2" xfId="3166"/>
    <cellStyle name="40% - Accent2 2 3 2 2 2 2" xfId="16918"/>
    <cellStyle name="40% - Accent2 2 3 2 2 2 2 2" xfId="30325"/>
    <cellStyle name="40% - Accent2 2 3 2 2 2 3" xfId="20491"/>
    <cellStyle name="40% - Accent2 2 3 2 2 3" xfId="11000"/>
    <cellStyle name="40% - Accent2 2 3 2 2 3 2" xfId="24942"/>
    <cellStyle name="40% - Accent2 2 3 2 2 4" xfId="20490"/>
    <cellStyle name="40% - Accent2 2 3 2 3" xfId="3167"/>
    <cellStyle name="40% - Accent2 2 3 2 3 2" xfId="12306"/>
    <cellStyle name="40% - Accent2 2 3 2 3 2 2" xfId="26018"/>
    <cellStyle name="40% - Accent2 2 3 2 3 3" xfId="20492"/>
    <cellStyle name="40% - Accent2 2 3 2 4" xfId="3168"/>
    <cellStyle name="40% - Accent2 2 3 2 4 2" xfId="13870"/>
    <cellStyle name="40% - Accent2 2 3 2 4 2 2" xfId="27419"/>
    <cellStyle name="40% - Accent2 2 3 2 4 3" xfId="20493"/>
    <cellStyle name="40% - Accent2 2 3 2 5" xfId="3169"/>
    <cellStyle name="40% - Accent2 2 3 2 5 2" xfId="14451"/>
    <cellStyle name="40% - Accent2 2 3 2 5 2 2" xfId="28000"/>
    <cellStyle name="40% - Accent2 2 3 2 5 3" xfId="20494"/>
    <cellStyle name="40% - Accent2 2 3 2 6" xfId="3170"/>
    <cellStyle name="40% - Accent2 2 3 2 6 2" xfId="16337"/>
    <cellStyle name="40% - Accent2 2 3 2 6 2 2" xfId="29744"/>
    <cellStyle name="40% - Accent2 2 3 2 6 3" xfId="20495"/>
    <cellStyle name="40% - Accent2 2 3 2 7" xfId="9273"/>
    <cellStyle name="40% - Accent2 2 3 2 7 2" xfId="23748"/>
    <cellStyle name="40% - Accent2 2 3 2 8" xfId="20489"/>
    <cellStyle name="40% - Accent2 2 3 3" xfId="3171"/>
    <cellStyle name="40% - Accent2 2 3 3 2" xfId="3172"/>
    <cellStyle name="40% - Accent2 2 3 3 2 2" xfId="16629"/>
    <cellStyle name="40% - Accent2 2 3 3 2 2 2" xfId="30036"/>
    <cellStyle name="40% - Accent2 2 3 3 2 3" xfId="20497"/>
    <cellStyle name="40% - Accent2 2 3 3 3" xfId="10999"/>
    <cellStyle name="40% - Accent2 2 3 3 3 2" xfId="24941"/>
    <cellStyle name="40% - Accent2 2 3 3 4" xfId="20496"/>
    <cellStyle name="40% - Accent2 2 3 4" xfId="3173"/>
    <cellStyle name="40% - Accent2 2 3 4 2" xfId="12006"/>
    <cellStyle name="40% - Accent2 2 3 4 2 2" xfId="25721"/>
    <cellStyle name="40% - Accent2 2 3 4 3" xfId="20498"/>
    <cellStyle name="40% - Accent2 2 3 5" xfId="3174"/>
    <cellStyle name="40% - Accent2 2 3 5 2" xfId="13581"/>
    <cellStyle name="40% - Accent2 2 3 5 2 2" xfId="27130"/>
    <cellStyle name="40% - Accent2 2 3 5 3" xfId="20499"/>
    <cellStyle name="40% - Accent2 2 3 6" xfId="3175"/>
    <cellStyle name="40% - Accent2 2 3 6 2" xfId="14162"/>
    <cellStyle name="40% - Accent2 2 3 6 2 2" xfId="27711"/>
    <cellStyle name="40% - Accent2 2 3 6 3" xfId="20500"/>
    <cellStyle name="40% - Accent2 2 3 7" xfId="3176"/>
    <cellStyle name="40% - Accent2 2 3 7 2" xfId="16048"/>
    <cellStyle name="40% - Accent2 2 3 7 2 2" xfId="29455"/>
    <cellStyle name="40% - Accent2 2 3 7 3" xfId="20501"/>
    <cellStyle name="40% - Accent2 2 3 8" xfId="9272"/>
    <cellStyle name="40% - Accent2 2 3 8 2" xfId="23747"/>
    <cellStyle name="40% - Accent2 2 3 9" xfId="20488"/>
    <cellStyle name="40% - Accent2 2 4" xfId="3177"/>
    <cellStyle name="40% - Accent2 2 4 2" xfId="3178"/>
    <cellStyle name="40% - Accent2 2 4 2 2" xfId="3179"/>
    <cellStyle name="40% - Accent2 2 4 2 2 2" xfId="16775"/>
    <cellStyle name="40% - Accent2 2 4 2 2 2 2" xfId="30182"/>
    <cellStyle name="40% - Accent2 2 4 2 2 3" xfId="20504"/>
    <cellStyle name="40% - Accent2 2 4 2 3" xfId="11001"/>
    <cellStyle name="40% - Accent2 2 4 2 3 2" xfId="24943"/>
    <cellStyle name="40% - Accent2 2 4 2 4" xfId="20503"/>
    <cellStyle name="40% - Accent2 2 4 3" xfId="3180"/>
    <cellStyle name="40% - Accent2 2 4 3 2" xfId="12163"/>
    <cellStyle name="40% - Accent2 2 4 3 2 2" xfId="25875"/>
    <cellStyle name="40% - Accent2 2 4 3 3" xfId="20505"/>
    <cellStyle name="40% - Accent2 2 4 4" xfId="3181"/>
    <cellStyle name="40% - Accent2 2 4 4 2" xfId="13727"/>
    <cellStyle name="40% - Accent2 2 4 4 2 2" xfId="27276"/>
    <cellStyle name="40% - Accent2 2 4 4 3" xfId="20506"/>
    <cellStyle name="40% - Accent2 2 4 5" xfId="3182"/>
    <cellStyle name="40% - Accent2 2 4 5 2" xfId="14308"/>
    <cellStyle name="40% - Accent2 2 4 5 2 2" xfId="27857"/>
    <cellStyle name="40% - Accent2 2 4 5 3" xfId="20507"/>
    <cellStyle name="40% - Accent2 2 4 6" xfId="3183"/>
    <cellStyle name="40% - Accent2 2 4 6 2" xfId="16194"/>
    <cellStyle name="40% - Accent2 2 4 6 2 2" xfId="29601"/>
    <cellStyle name="40% - Accent2 2 4 6 3" xfId="20508"/>
    <cellStyle name="40% - Accent2 2 4 7" xfId="9274"/>
    <cellStyle name="40% - Accent2 2 4 7 2" xfId="23749"/>
    <cellStyle name="40% - Accent2 2 4 8" xfId="20502"/>
    <cellStyle name="40% - Accent2 2 5" xfId="3184"/>
    <cellStyle name="40% - Accent2 2 5 2" xfId="3185"/>
    <cellStyle name="40% - Accent2 2 5 2 2" xfId="12622"/>
    <cellStyle name="40% - Accent2 2 5 2 2 2" xfId="26334"/>
    <cellStyle name="40% - Accent2 2 5 2 3" xfId="20510"/>
    <cellStyle name="40% - Accent2 2 5 3" xfId="3186"/>
    <cellStyle name="40% - Accent2 2 5 3 2" xfId="15165"/>
    <cellStyle name="40% - Accent2 2 5 3 2 2" xfId="28714"/>
    <cellStyle name="40% - Accent2 2 5 3 3" xfId="20511"/>
    <cellStyle name="40% - Accent2 2 5 4" xfId="3187"/>
    <cellStyle name="40% - Accent2 2 5 4 2" xfId="17014"/>
    <cellStyle name="40% - Accent2 2 5 4 2 2" xfId="30421"/>
    <cellStyle name="40% - Accent2 2 5 4 3" xfId="20512"/>
    <cellStyle name="40% - Accent2 2 5 5" xfId="10535"/>
    <cellStyle name="40% - Accent2 2 5 5 2" xfId="24477"/>
    <cellStyle name="40% - Accent2 2 5 6" xfId="20509"/>
    <cellStyle name="40% - Accent2 2 6" xfId="3188"/>
    <cellStyle name="40% - Accent2 2 6 2" xfId="3189"/>
    <cellStyle name="40% - Accent2 2 6 2 2" xfId="12739"/>
    <cellStyle name="40% - Accent2 2 6 2 2 2" xfId="26451"/>
    <cellStyle name="40% - Accent2 2 6 2 3" xfId="20514"/>
    <cellStyle name="40% - Accent2 2 6 3" xfId="3190"/>
    <cellStyle name="40% - Accent2 2 6 3 2" xfId="15166"/>
    <cellStyle name="40% - Accent2 2 6 3 2 2" xfId="28715"/>
    <cellStyle name="40% - Accent2 2 6 3 3" xfId="20515"/>
    <cellStyle name="40% - Accent2 2 6 4" xfId="3191"/>
    <cellStyle name="40% - Accent2 2 6 4 2" xfId="17122"/>
    <cellStyle name="40% - Accent2 2 6 4 2 2" xfId="30481"/>
    <cellStyle name="40% - Accent2 2 6 4 3" xfId="20516"/>
    <cellStyle name="40% - Accent2 2 6 5" xfId="10994"/>
    <cellStyle name="40% - Accent2 2 6 5 2" xfId="24936"/>
    <cellStyle name="40% - Accent2 2 6 6" xfId="20513"/>
    <cellStyle name="40% - Accent2 2 7" xfId="3192"/>
    <cellStyle name="40% - Accent2 2 7 2" xfId="3193"/>
    <cellStyle name="40% - Accent2 2 7 2 2" xfId="17211"/>
    <cellStyle name="40% - Accent2 2 7 2 2 2" xfId="30570"/>
    <cellStyle name="40% - Accent2 2 7 2 3" xfId="20518"/>
    <cellStyle name="40% - Accent2 2 7 3" xfId="11839"/>
    <cellStyle name="40% - Accent2 2 7 3 2" xfId="25554"/>
    <cellStyle name="40% - Accent2 2 7 4" xfId="20517"/>
    <cellStyle name="40% - Accent2 2 8" xfId="3194"/>
    <cellStyle name="40% - Accent2 2 8 2" xfId="3195"/>
    <cellStyle name="40% - Accent2 2 8 2 2" xfId="16486"/>
    <cellStyle name="40% - Accent2 2 8 2 2 2" xfId="29893"/>
    <cellStyle name="40% - Accent2 2 8 2 3" xfId="20520"/>
    <cellStyle name="40% - Accent2 2 8 3" xfId="13438"/>
    <cellStyle name="40% - Accent2 2 8 3 2" xfId="26987"/>
    <cellStyle name="40% - Accent2 2 8 4" xfId="20519"/>
    <cellStyle name="40% - Accent2 2 9" xfId="3196"/>
    <cellStyle name="40% - Accent2 2 9 2" xfId="14019"/>
    <cellStyle name="40% - Accent2 2 9 2 2" xfId="27568"/>
    <cellStyle name="40% - Accent2 2 9 3" xfId="20521"/>
    <cellStyle name="40% - Accent2 3" xfId="3197"/>
    <cellStyle name="40% - Accent2 3 10" xfId="20522"/>
    <cellStyle name="40% - Accent2 3 2" xfId="3198"/>
    <cellStyle name="40% - Accent2 3 2 2" xfId="3199"/>
    <cellStyle name="40% - Accent2 3 2 2 2" xfId="3200"/>
    <cellStyle name="40% - Accent2 3 2 2 2 2" xfId="3201"/>
    <cellStyle name="40% - Accent2 3 2 2 2 2 2" xfId="16941"/>
    <cellStyle name="40% - Accent2 3 2 2 2 2 2 2" xfId="30348"/>
    <cellStyle name="40% - Accent2 3 2 2 2 2 3" xfId="20526"/>
    <cellStyle name="40% - Accent2 3 2 2 2 3" xfId="11004"/>
    <cellStyle name="40% - Accent2 3 2 2 2 3 2" xfId="24946"/>
    <cellStyle name="40% - Accent2 3 2 2 2 4" xfId="20525"/>
    <cellStyle name="40% - Accent2 3 2 2 3" xfId="3202"/>
    <cellStyle name="40% - Accent2 3 2 2 3 2" xfId="12329"/>
    <cellStyle name="40% - Accent2 3 2 2 3 2 2" xfId="26041"/>
    <cellStyle name="40% - Accent2 3 2 2 3 3" xfId="20527"/>
    <cellStyle name="40% - Accent2 3 2 2 4" xfId="3203"/>
    <cellStyle name="40% - Accent2 3 2 2 4 2" xfId="13893"/>
    <cellStyle name="40% - Accent2 3 2 2 4 2 2" xfId="27442"/>
    <cellStyle name="40% - Accent2 3 2 2 4 3" xfId="20528"/>
    <cellStyle name="40% - Accent2 3 2 2 5" xfId="3204"/>
    <cellStyle name="40% - Accent2 3 2 2 5 2" xfId="14474"/>
    <cellStyle name="40% - Accent2 3 2 2 5 2 2" xfId="28023"/>
    <cellStyle name="40% - Accent2 3 2 2 5 3" xfId="20529"/>
    <cellStyle name="40% - Accent2 3 2 2 6" xfId="3205"/>
    <cellStyle name="40% - Accent2 3 2 2 6 2" xfId="16360"/>
    <cellStyle name="40% - Accent2 3 2 2 6 2 2" xfId="29767"/>
    <cellStyle name="40% - Accent2 3 2 2 6 3" xfId="20530"/>
    <cellStyle name="40% - Accent2 3 2 2 7" xfId="9277"/>
    <cellStyle name="40% - Accent2 3 2 2 7 2" xfId="23752"/>
    <cellStyle name="40% - Accent2 3 2 2 8" xfId="20524"/>
    <cellStyle name="40% - Accent2 3 2 3" xfId="3206"/>
    <cellStyle name="40% - Accent2 3 2 3 2" xfId="3207"/>
    <cellStyle name="40% - Accent2 3 2 3 2 2" xfId="16652"/>
    <cellStyle name="40% - Accent2 3 2 3 2 2 2" xfId="30059"/>
    <cellStyle name="40% - Accent2 3 2 3 2 3" xfId="20532"/>
    <cellStyle name="40% - Accent2 3 2 3 3" xfId="11003"/>
    <cellStyle name="40% - Accent2 3 2 3 3 2" xfId="24945"/>
    <cellStyle name="40% - Accent2 3 2 3 4" xfId="20531"/>
    <cellStyle name="40% - Accent2 3 2 4" xfId="3208"/>
    <cellStyle name="40% - Accent2 3 2 4 2" xfId="12029"/>
    <cellStyle name="40% - Accent2 3 2 4 2 2" xfId="25744"/>
    <cellStyle name="40% - Accent2 3 2 4 3" xfId="20533"/>
    <cellStyle name="40% - Accent2 3 2 5" xfId="3209"/>
    <cellStyle name="40% - Accent2 3 2 5 2" xfId="13604"/>
    <cellStyle name="40% - Accent2 3 2 5 2 2" xfId="27153"/>
    <cellStyle name="40% - Accent2 3 2 5 3" xfId="20534"/>
    <cellStyle name="40% - Accent2 3 2 6" xfId="3210"/>
    <cellStyle name="40% - Accent2 3 2 6 2" xfId="14185"/>
    <cellStyle name="40% - Accent2 3 2 6 2 2" xfId="27734"/>
    <cellStyle name="40% - Accent2 3 2 6 3" xfId="20535"/>
    <cellStyle name="40% - Accent2 3 2 7" xfId="3211"/>
    <cellStyle name="40% - Accent2 3 2 7 2" xfId="16071"/>
    <cellStyle name="40% - Accent2 3 2 7 2 2" xfId="29478"/>
    <cellStyle name="40% - Accent2 3 2 7 3" xfId="20536"/>
    <cellStyle name="40% - Accent2 3 2 8" xfId="9276"/>
    <cellStyle name="40% - Accent2 3 2 8 2" xfId="23751"/>
    <cellStyle name="40% - Accent2 3 2 9" xfId="20523"/>
    <cellStyle name="40% - Accent2 3 3" xfId="3212"/>
    <cellStyle name="40% - Accent2 3 3 2" xfId="3213"/>
    <cellStyle name="40% - Accent2 3 3 2 2" xfId="3214"/>
    <cellStyle name="40% - Accent2 3 3 2 2 2" xfId="16798"/>
    <cellStyle name="40% - Accent2 3 3 2 2 2 2" xfId="30205"/>
    <cellStyle name="40% - Accent2 3 3 2 2 3" xfId="20539"/>
    <cellStyle name="40% - Accent2 3 3 2 3" xfId="11005"/>
    <cellStyle name="40% - Accent2 3 3 2 3 2" xfId="24947"/>
    <cellStyle name="40% - Accent2 3 3 2 4" xfId="20538"/>
    <cellStyle name="40% - Accent2 3 3 3" xfId="3215"/>
    <cellStyle name="40% - Accent2 3 3 3 2" xfId="12186"/>
    <cellStyle name="40% - Accent2 3 3 3 2 2" xfId="25898"/>
    <cellStyle name="40% - Accent2 3 3 3 3" xfId="20540"/>
    <cellStyle name="40% - Accent2 3 3 4" xfId="3216"/>
    <cellStyle name="40% - Accent2 3 3 4 2" xfId="13750"/>
    <cellStyle name="40% - Accent2 3 3 4 2 2" xfId="27299"/>
    <cellStyle name="40% - Accent2 3 3 4 3" xfId="20541"/>
    <cellStyle name="40% - Accent2 3 3 5" xfId="3217"/>
    <cellStyle name="40% - Accent2 3 3 5 2" xfId="14331"/>
    <cellStyle name="40% - Accent2 3 3 5 2 2" xfId="27880"/>
    <cellStyle name="40% - Accent2 3 3 5 3" xfId="20542"/>
    <cellStyle name="40% - Accent2 3 3 6" xfId="3218"/>
    <cellStyle name="40% - Accent2 3 3 6 2" xfId="16217"/>
    <cellStyle name="40% - Accent2 3 3 6 2 2" xfId="29624"/>
    <cellStyle name="40% - Accent2 3 3 6 3" xfId="20543"/>
    <cellStyle name="40% - Accent2 3 3 7" xfId="9278"/>
    <cellStyle name="40% - Accent2 3 3 7 2" xfId="23753"/>
    <cellStyle name="40% - Accent2 3 3 8" xfId="20537"/>
    <cellStyle name="40% - Accent2 3 4" xfId="3219"/>
    <cellStyle name="40% - Accent2 3 4 2" xfId="3220"/>
    <cellStyle name="40% - Accent2 3 4 2 2" xfId="17145"/>
    <cellStyle name="40% - Accent2 3 4 2 2 2" xfId="30504"/>
    <cellStyle name="40% - Accent2 3 4 2 3" xfId="20545"/>
    <cellStyle name="40% - Accent2 3 4 3" xfId="11002"/>
    <cellStyle name="40% - Accent2 3 4 3 2" xfId="24944"/>
    <cellStyle name="40% - Accent2 3 4 4" xfId="20544"/>
    <cellStyle name="40% - Accent2 3 5" xfId="3221"/>
    <cellStyle name="40% - Accent2 3 5 2" xfId="3222"/>
    <cellStyle name="40% - Accent2 3 5 2 2" xfId="17234"/>
    <cellStyle name="40% - Accent2 3 5 2 2 2" xfId="30593"/>
    <cellStyle name="40% - Accent2 3 5 2 3" xfId="20547"/>
    <cellStyle name="40% - Accent2 3 5 3" xfId="11881"/>
    <cellStyle name="40% - Accent2 3 5 3 2" xfId="25596"/>
    <cellStyle name="40% - Accent2 3 5 4" xfId="20546"/>
    <cellStyle name="40% - Accent2 3 6" xfId="3223"/>
    <cellStyle name="40% - Accent2 3 6 2" xfId="3224"/>
    <cellStyle name="40% - Accent2 3 6 2 2" xfId="16509"/>
    <cellStyle name="40% - Accent2 3 6 2 2 2" xfId="29916"/>
    <cellStyle name="40% - Accent2 3 6 2 3" xfId="20549"/>
    <cellStyle name="40% - Accent2 3 6 3" xfId="13461"/>
    <cellStyle name="40% - Accent2 3 6 3 2" xfId="27010"/>
    <cellStyle name="40% - Accent2 3 6 4" xfId="20548"/>
    <cellStyle name="40% - Accent2 3 7" xfId="3225"/>
    <cellStyle name="40% - Accent2 3 7 2" xfId="14042"/>
    <cellStyle name="40% - Accent2 3 7 2 2" xfId="27591"/>
    <cellStyle name="40% - Accent2 3 7 3" xfId="20550"/>
    <cellStyle name="40% - Accent2 3 8" xfId="3226"/>
    <cellStyle name="40% - Accent2 3 8 2" xfId="15928"/>
    <cellStyle name="40% - Accent2 3 8 2 2" xfId="29335"/>
    <cellStyle name="40% - Accent2 3 8 3" xfId="20551"/>
    <cellStyle name="40% - Accent2 3 9" xfId="9275"/>
    <cellStyle name="40% - Accent2 3 9 2" xfId="23750"/>
    <cellStyle name="40% - Accent2 4" xfId="3227"/>
    <cellStyle name="40% - Accent2 4 10" xfId="20552"/>
    <cellStyle name="40% - Accent2 4 2" xfId="3228"/>
    <cellStyle name="40% - Accent2 4 2 2" xfId="3229"/>
    <cellStyle name="40% - Accent2 4 2 2 2" xfId="3230"/>
    <cellStyle name="40% - Accent2 4 2 2 2 2" xfId="3231"/>
    <cellStyle name="40% - Accent2 4 2 2 2 2 2" xfId="16899"/>
    <cellStyle name="40% - Accent2 4 2 2 2 2 2 2" xfId="30306"/>
    <cellStyle name="40% - Accent2 4 2 2 2 2 3" xfId="20556"/>
    <cellStyle name="40% - Accent2 4 2 2 2 3" xfId="11008"/>
    <cellStyle name="40% - Accent2 4 2 2 2 3 2" xfId="24950"/>
    <cellStyle name="40% - Accent2 4 2 2 2 4" xfId="20555"/>
    <cellStyle name="40% - Accent2 4 2 2 3" xfId="3232"/>
    <cellStyle name="40% - Accent2 4 2 2 3 2" xfId="12287"/>
    <cellStyle name="40% - Accent2 4 2 2 3 2 2" xfId="25999"/>
    <cellStyle name="40% - Accent2 4 2 2 3 3" xfId="20557"/>
    <cellStyle name="40% - Accent2 4 2 2 4" xfId="3233"/>
    <cellStyle name="40% - Accent2 4 2 2 4 2" xfId="13851"/>
    <cellStyle name="40% - Accent2 4 2 2 4 2 2" xfId="27400"/>
    <cellStyle name="40% - Accent2 4 2 2 4 3" xfId="20558"/>
    <cellStyle name="40% - Accent2 4 2 2 5" xfId="3234"/>
    <cellStyle name="40% - Accent2 4 2 2 5 2" xfId="14432"/>
    <cellStyle name="40% - Accent2 4 2 2 5 2 2" xfId="27981"/>
    <cellStyle name="40% - Accent2 4 2 2 5 3" xfId="20559"/>
    <cellStyle name="40% - Accent2 4 2 2 6" xfId="3235"/>
    <cellStyle name="40% - Accent2 4 2 2 6 2" xfId="16318"/>
    <cellStyle name="40% - Accent2 4 2 2 6 2 2" xfId="29725"/>
    <cellStyle name="40% - Accent2 4 2 2 6 3" xfId="20560"/>
    <cellStyle name="40% - Accent2 4 2 2 7" xfId="9281"/>
    <cellStyle name="40% - Accent2 4 2 2 7 2" xfId="23756"/>
    <cellStyle name="40% - Accent2 4 2 2 8" xfId="20554"/>
    <cellStyle name="40% - Accent2 4 2 3" xfId="3236"/>
    <cellStyle name="40% - Accent2 4 2 3 2" xfId="3237"/>
    <cellStyle name="40% - Accent2 4 2 3 2 2" xfId="16610"/>
    <cellStyle name="40% - Accent2 4 2 3 2 2 2" xfId="30017"/>
    <cellStyle name="40% - Accent2 4 2 3 2 3" xfId="20562"/>
    <cellStyle name="40% - Accent2 4 2 3 3" xfId="11007"/>
    <cellStyle name="40% - Accent2 4 2 3 3 2" xfId="24949"/>
    <cellStyle name="40% - Accent2 4 2 3 4" xfId="20561"/>
    <cellStyle name="40% - Accent2 4 2 4" xfId="3238"/>
    <cellStyle name="40% - Accent2 4 2 4 2" xfId="11987"/>
    <cellStyle name="40% - Accent2 4 2 4 2 2" xfId="25702"/>
    <cellStyle name="40% - Accent2 4 2 4 3" xfId="20563"/>
    <cellStyle name="40% - Accent2 4 2 5" xfId="3239"/>
    <cellStyle name="40% - Accent2 4 2 5 2" xfId="13562"/>
    <cellStyle name="40% - Accent2 4 2 5 2 2" xfId="27111"/>
    <cellStyle name="40% - Accent2 4 2 5 3" xfId="20564"/>
    <cellStyle name="40% - Accent2 4 2 6" xfId="3240"/>
    <cellStyle name="40% - Accent2 4 2 6 2" xfId="14143"/>
    <cellStyle name="40% - Accent2 4 2 6 2 2" xfId="27692"/>
    <cellStyle name="40% - Accent2 4 2 6 3" xfId="20565"/>
    <cellStyle name="40% - Accent2 4 2 7" xfId="3241"/>
    <cellStyle name="40% - Accent2 4 2 7 2" xfId="16029"/>
    <cellStyle name="40% - Accent2 4 2 7 2 2" xfId="29436"/>
    <cellStyle name="40% - Accent2 4 2 7 3" xfId="20566"/>
    <cellStyle name="40% - Accent2 4 2 8" xfId="9280"/>
    <cellStyle name="40% - Accent2 4 2 8 2" xfId="23755"/>
    <cellStyle name="40% - Accent2 4 2 9" xfId="20553"/>
    <cellStyle name="40% - Accent2 4 3" xfId="3242"/>
    <cellStyle name="40% - Accent2 4 3 2" xfId="3243"/>
    <cellStyle name="40% - Accent2 4 3 2 2" xfId="3244"/>
    <cellStyle name="40% - Accent2 4 3 2 2 2" xfId="16759"/>
    <cellStyle name="40% - Accent2 4 3 2 2 2 2" xfId="30166"/>
    <cellStyle name="40% - Accent2 4 3 2 2 3" xfId="20569"/>
    <cellStyle name="40% - Accent2 4 3 2 3" xfId="11009"/>
    <cellStyle name="40% - Accent2 4 3 2 3 2" xfId="24951"/>
    <cellStyle name="40% - Accent2 4 3 2 4" xfId="20568"/>
    <cellStyle name="40% - Accent2 4 3 3" xfId="3245"/>
    <cellStyle name="40% - Accent2 4 3 3 2" xfId="12147"/>
    <cellStyle name="40% - Accent2 4 3 3 2 2" xfId="25859"/>
    <cellStyle name="40% - Accent2 4 3 3 3" xfId="20570"/>
    <cellStyle name="40% - Accent2 4 3 4" xfId="3246"/>
    <cellStyle name="40% - Accent2 4 3 4 2" xfId="13711"/>
    <cellStyle name="40% - Accent2 4 3 4 2 2" xfId="27260"/>
    <cellStyle name="40% - Accent2 4 3 4 3" xfId="20571"/>
    <cellStyle name="40% - Accent2 4 3 5" xfId="3247"/>
    <cellStyle name="40% - Accent2 4 3 5 2" xfId="14292"/>
    <cellStyle name="40% - Accent2 4 3 5 2 2" xfId="27841"/>
    <cellStyle name="40% - Accent2 4 3 5 3" xfId="20572"/>
    <cellStyle name="40% - Accent2 4 3 6" xfId="3248"/>
    <cellStyle name="40% - Accent2 4 3 6 2" xfId="16178"/>
    <cellStyle name="40% - Accent2 4 3 6 2 2" xfId="29585"/>
    <cellStyle name="40% - Accent2 4 3 6 3" xfId="20573"/>
    <cellStyle name="40% - Accent2 4 3 7" xfId="9282"/>
    <cellStyle name="40% - Accent2 4 3 7 2" xfId="23757"/>
    <cellStyle name="40% - Accent2 4 3 8" xfId="20567"/>
    <cellStyle name="40% - Accent2 4 4" xfId="3249"/>
    <cellStyle name="40% - Accent2 4 4 2" xfId="3250"/>
    <cellStyle name="40% - Accent2 4 4 2 2" xfId="16467"/>
    <cellStyle name="40% - Accent2 4 4 2 2 2" xfId="29874"/>
    <cellStyle name="40% - Accent2 4 4 2 3" xfId="20575"/>
    <cellStyle name="40% - Accent2 4 4 3" xfId="11006"/>
    <cellStyle name="40% - Accent2 4 4 3 2" xfId="24948"/>
    <cellStyle name="40% - Accent2 4 4 4" xfId="20574"/>
    <cellStyle name="40% - Accent2 4 5" xfId="3251"/>
    <cellStyle name="40% - Accent2 4 5 2" xfId="11818"/>
    <cellStyle name="40% - Accent2 4 5 2 2" xfId="25533"/>
    <cellStyle name="40% - Accent2 4 5 3" xfId="20576"/>
    <cellStyle name="40% - Accent2 4 6" xfId="3252"/>
    <cellStyle name="40% - Accent2 4 6 2" xfId="13419"/>
    <cellStyle name="40% - Accent2 4 6 2 2" xfId="26968"/>
    <cellStyle name="40% - Accent2 4 6 3" xfId="20577"/>
    <cellStyle name="40% - Accent2 4 7" xfId="3253"/>
    <cellStyle name="40% - Accent2 4 7 2" xfId="14000"/>
    <cellStyle name="40% - Accent2 4 7 2 2" xfId="27549"/>
    <cellStyle name="40% - Accent2 4 7 3" xfId="20578"/>
    <cellStyle name="40% - Accent2 4 8" xfId="3254"/>
    <cellStyle name="40% - Accent2 4 8 2" xfId="15886"/>
    <cellStyle name="40% - Accent2 4 8 2 2" xfId="29293"/>
    <cellStyle name="40% - Accent2 4 8 3" xfId="20579"/>
    <cellStyle name="40% - Accent2 4 9" xfId="9279"/>
    <cellStyle name="40% - Accent2 4 9 2" xfId="23754"/>
    <cellStyle name="40% - Accent2 5" xfId="3255"/>
    <cellStyle name="40% - Accent2 5 10" xfId="20580"/>
    <cellStyle name="40% - Accent2 5 2" xfId="3256"/>
    <cellStyle name="40% - Accent2 5 2 2" xfId="3257"/>
    <cellStyle name="40% - Accent2 5 2 2 2" xfId="3258"/>
    <cellStyle name="40% - Accent2 5 2 2 2 2" xfId="3259"/>
    <cellStyle name="40% - Accent2 5 2 2 2 2 2" xfId="16882"/>
    <cellStyle name="40% - Accent2 5 2 2 2 2 2 2" xfId="30289"/>
    <cellStyle name="40% - Accent2 5 2 2 2 2 3" xfId="20584"/>
    <cellStyle name="40% - Accent2 5 2 2 2 3" xfId="11012"/>
    <cellStyle name="40% - Accent2 5 2 2 2 3 2" xfId="24954"/>
    <cellStyle name="40% - Accent2 5 2 2 2 4" xfId="20583"/>
    <cellStyle name="40% - Accent2 5 2 2 3" xfId="3260"/>
    <cellStyle name="40% - Accent2 5 2 2 3 2" xfId="12270"/>
    <cellStyle name="40% - Accent2 5 2 2 3 2 2" xfId="25982"/>
    <cellStyle name="40% - Accent2 5 2 2 3 3" xfId="20585"/>
    <cellStyle name="40% - Accent2 5 2 2 4" xfId="3261"/>
    <cellStyle name="40% - Accent2 5 2 2 4 2" xfId="13834"/>
    <cellStyle name="40% - Accent2 5 2 2 4 2 2" xfId="27383"/>
    <cellStyle name="40% - Accent2 5 2 2 4 3" xfId="20586"/>
    <cellStyle name="40% - Accent2 5 2 2 5" xfId="3262"/>
    <cellStyle name="40% - Accent2 5 2 2 5 2" xfId="14415"/>
    <cellStyle name="40% - Accent2 5 2 2 5 2 2" xfId="27964"/>
    <cellStyle name="40% - Accent2 5 2 2 5 3" xfId="20587"/>
    <cellStyle name="40% - Accent2 5 2 2 6" xfId="3263"/>
    <cellStyle name="40% - Accent2 5 2 2 6 2" xfId="16301"/>
    <cellStyle name="40% - Accent2 5 2 2 6 2 2" xfId="29708"/>
    <cellStyle name="40% - Accent2 5 2 2 6 3" xfId="20588"/>
    <cellStyle name="40% - Accent2 5 2 2 7" xfId="9285"/>
    <cellStyle name="40% - Accent2 5 2 2 7 2" xfId="23760"/>
    <cellStyle name="40% - Accent2 5 2 2 8" xfId="20582"/>
    <cellStyle name="40% - Accent2 5 2 3" xfId="3264"/>
    <cellStyle name="40% - Accent2 5 2 3 2" xfId="3265"/>
    <cellStyle name="40% - Accent2 5 2 3 2 2" xfId="16593"/>
    <cellStyle name="40% - Accent2 5 2 3 2 2 2" xfId="30000"/>
    <cellStyle name="40% - Accent2 5 2 3 2 3" xfId="20590"/>
    <cellStyle name="40% - Accent2 5 2 3 3" xfId="11011"/>
    <cellStyle name="40% - Accent2 5 2 3 3 2" xfId="24953"/>
    <cellStyle name="40% - Accent2 5 2 3 4" xfId="20589"/>
    <cellStyle name="40% - Accent2 5 2 4" xfId="3266"/>
    <cellStyle name="40% - Accent2 5 2 4 2" xfId="11970"/>
    <cellStyle name="40% - Accent2 5 2 4 2 2" xfId="25685"/>
    <cellStyle name="40% - Accent2 5 2 4 3" xfId="20591"/>
    <cellStyle name="40% - Accent2 5 2 5" xfId="3267"/>
    <cellStyle name="40% - Accent2 5 2 5 2" xfId="13545"/>
    <cellStyle name="40% - Accent2 5 2 5 2 2" xfId="27094"/>
    <cellStyle name="40% - Accent2 5 2 5 3" xfId="20592"/>
    <cellStyle name="40% - Accent2 5 2 6" xfId="3268"/>
    <cellStyle name="40% - Accent2 5 2 6 2" xfId="14126"/>
    <cellStyle name="40% - Accent2 5 2 6 2 2" xfId="27675"/>
    <cellStyle name="40% - Accent2 5 2 6 3" xfId="20593"/>
    <cellStyle name="40% - Accent2 5 2 7" xfId="3269"/>
    <cellStyle name="40% - Accent2 5 2 7 2" xfId="16012"/>
    <cellStyle name="40% - Accent2 5 2 7 2 2" xfId="29419"/>
    <cellStyle name="40% - Accent2 5 2 7 3" xfId="20594"/>
    <cellStyle name="40% - Accent2 5 2 8" xfId="9284"/>
    <cellStyle name="40% - Accent2 5 2 8 2" xfId="23759"/>
    <cellStyle name="40% - Accent2 5 2 9" xfId="20581"/>
    <cellStyle name="40% - Accent2 5 3" xfId="3270"/>
    <cellStyle name="40% - Accent2 5 3 2" xfId="3271"/>
    <cellStyle name="40% - Accent2 5 3 2 2" xfId="3272"/>
    <cellStyle name="40% - Accent2 5 3 2 2 2" xfId="16742"/>
    <cellStyle name="40% - Accent2 5 3 2 2 2 2" xfId="30149"/>
    <cellStyle name="40% - Accent2 5 3 2 2 3" xfId="20597"/>
    <cellStyle name="40% - Accent2 5 3 2 3" xfId="11013"/>
    <cellStyle name="40% - Accent2 5 3 2 3 2" xfId="24955"/>
    <cellStyle name="40% - Accent2 5 3 2 4" xfId="20596"/>
    <cellStyle name="40% - Accent2 5 3 3" xfId="3273"/>
    <cellStyle name="40% - Accent2 5 3 3 2" xfId="12130"/>
    <cellStyle name="40% - Accent2 5 3 3 2 2" xfId="25842"/>
    <cellStyle name="40% - Accent2 5 3 3 3" xfId="20598"/>
    <cellStyle name="40% - Accent2 5 3 4" xfId="3274"/>
    <cellStyle name="40% - Accent2 5 3 4 2" xfId="13694"/>
    <cellStyle name="40% - Accent2 5 3 4 2 2" xfId="27243"/>
    <cellStyle name="40% - Accent2 5 3 4 3" xfId="20599"/>
    <cellStyle name="40% - Accent2 5 3 5" xfId="3275"/>
    <cellStyle name="40% - Accent2 5 3 5 2" xfId="14275"/>
    <cellStyle name="40% - Accent2 5 3 5 2 2" xfId="27824"/>
    <cellStyle name="40% - Accent2 5 3 5 3" xfId="20600"/>
    <cellStyle name="40% - Accent2 5 3 6" xfId="3276"/>
    <cellStyle name="40% - Accent2 5 3 6 2" xfId="16161"/>
    <cellStyle name="40% - Accent2 5 3 6 2 2" xfId="29568"/>
    <cellStyle name="40% - Accent2 5 3 6 3" xfId="20601"/>
    <cellStyle name="40% - Accent2 5 3 7" xfId="9286"/>
    <cellStyle name="40% - Accent2 5 3 7 2" xfId="23761"/>
    <cellStyle name="40% - Accent2 5 3 8" xfId="20595"/>
    <cellStyle name="40% - Accent2 5 4" xfId="3277"/>
    <cellStyle name="40% - Accent2 5 4 2" xfId="3278"/>
    <cellStyle name="40% - Accent2 5 4 2 2" xfId="16450"/>
    <cellStyle name="40% - Accent2 5 4 2 2 2" xfId="29857"/>
    <cellStyle name="40% - Accent2 5 4 2 3" xfId="20603"/>
    <cellStyle name="40% - Accent2 5 4 3" xfId="11010"/>
    <cellStyle name="40% - Accent2 5 4 3 2" xfId="24952"/>
    <cellStyle name="40% - Accent2 5 4 4" xfId="20602"/>
    <cellStyle name="40% - Accent2 5 5" xfId="3279"/>
    <cellStyle name="40% - Accent2 5 5 2" xfId="11801"/>
    <cellStyle name="40% - Accent2 5 5 2 2" xfId="25516"/>
    <cellStyle name="40% - Accent2 5 5 3" xfId="20604"/>
    <cellStyle name="40% - Accent2 5 6" xfId="3280"/>
    <cellStyle name="40% - Accent2 5 6 2" xfId="13402"/>
    <cellStyle name="40% - Accent2 5 6 2 2" xfId="26951"/>
    <cellStyle name="40% - Accent2 5 6 3" xfId="20605"/>
    <cellStyle name="40% - Accent2 5 7" xfId="3281"/>
    <cellStyle name="40% - Accent2 5 7 2" xfId="13983"/>
    <cellStyle name="40% - Accent2 5 7 2 2" xfId="27532"/>
    <cellStyle name="40% - Accent2 5 7 3" xfId="20606"/>
    <cellStyle name="40% - Accent2 5 8" xfId="3282"/>
    <cellStyle name="40% - Accent2 5 8 2" xfId="15869"/>
    <cellStyle name="40% - Accent2 5 8 2 2" xfId="29276"/>
    <cellStyle name="40% - Accent2 5 8 3" xfId="20607"/>
    <cellStyle name="40% - Accent2 5 9" xfId="9283"/>
    <cellStyle name="40% - Accent2 5 9 2" xfId="23758"/>
    <cellStyle name="40% - Accent2 6" xfId="3283"/>
    <cellStyle name="40% - Accent2 6 10" xfId="20608"/>
    <cellStyle name="40% - Accent2 6 2" xfId="3284"/>
    <cellStyle name="40% - Accent2 6 2 2" xfId="3285"/>
    <cellStyle name="40% - Accent2 6 2 2 2" xfId="3286"/>
    <cellStyle name="40% - Accent2 6 2 2 2 2" xfId="3287"/>
    <cellStyle name="40% - Accent2 6 2 2 2 2 2" xfId="16988"/>
    <cellStyle name="40% - Accent2 6 2 2 2 2 2 2" xfId="30395"/>
    <cellStyle name="40% - Accent2 6 2 2 2 2 3" xfId="20612"/>
    <cellStyle name="40% - Accent2 6 2 2 2 3" xfId="11016"/>
    <cellStyle name="40% - Accent2 6 2 2 2 3 2" xfId="24958"/>
    <cellStyle name="40% - Accent2 6 2 2 2 4" xfId="20611"/>
    <cellStyle name="40% - Accent2 6 2 2 3" xfId="3288"/>
    <cellStyle name="40% - Accent2 6 2 2 3 2" xfId="12376"/>
    <cellStyle name="40% - Accent2 6 2 2 3 2 2" xfId="26088"/>
    <cellStyle name="40% - Accent2 6 2 2 3 3" xfId="20613"/>
    <cellStyle name="40% - Accent2 6 2 2 4" xfId="3289"/>
    <cellStyle name="40% - Accent2 6 2 2 4 2" xfId="13940"/>
    <cellStyle name="40% - Accent2 6 2 2 4 2 2" xfId="27489"/>
    <cellStyle name="40% - Accent2 6 2 2 4 3" xfId="20614"/>
    <cellStyle name="40% - Accent2 6 2 2 5" xfId="3290"/>
    <cellStyle name="40% - Accent2 6 2 2 5 2" xfId="14521"/>
    <cellStyle name="40% - Accent2 6 2 2 5 2 2" xfId="28070"/>
    <cellStyle name="40% - Accent2 6 2 2 5 3" xfId="20615"/>
    <cellStyle name="40% - Accent2 6 2 2 6" xfId="3291"/>
    <cellStyle name="40% - Accent2 6 2 2 6 2" xfId="16407"/>
    <cellStyle name="40% - Accent2 6 2 2 6 2 2" xfId="29814"/>
    <cellStyle name="40% - Accent2 6 2 2 6 3" xfId="20616"/>
    <cellStyle name="40% - Accent2 6 2 2 7" xfId="9289"/>
    <cellStyle name="40% - Accent2 6 2 2 7 2" xfId="23764"/>
    <cellStyle name="40% - Accent2 6 2 2 8" xfId="20610"/>
    <cellStyle name="40% - Accent2 6 2 3" xfId="3292"/>
    <cellStyle name="40% - Accent2 6 2 3 2" xfId="3293"/>
    <cellStyle name="40% - Accent2 6 2 3 2 2" xfId="16699"/>
    <cellStyle name="40% - Accent2 6 2 3 2 2 2" xfId="30106"/>
    <cellStyle name="40% - Accent2 6 2 3 2 3" xfId="20618"/>
    <cellStyle name="40% - Accent2 6 2 3 3" xfId="11015"/>
    <cellStyle name="40% - Accent2 6 2 3 3 2" xfId="24957"/>
    <cellStyle name="40% - Accent2 6 2 3 4" xfId="20617"/>
    <cellStyle name="40% - Accent2 6 2 4" xfId="3294"/>
    <cellStyle name="40% - Accent2 6 2 4 2" xfId="12076"/>
    <cellStyle name="40% - Accent2 6 2 4 2 2" xfId="25791"/>
    <cellStyle name="40% - Accent2 6 2 4 3" xfId="20619"/>
    <cellStyle name="40% - Accent2 6 2 5" xfId="3295"/>
    <cellStyle name="40% - Accent2 6 2 5 2" xfId="13651"/>
    <cellStyle name="40% - Accent2 6 2 5 2 2" xfId="27200"/>
    <cellStyle name="40% - Accent2 6 2 5 3" xfId="20620"/>
    <cellStyle name="40% - Accent2 6 2 6" xfId="3296"/>
    <cellStyle name="40% - Accent2 6 2 6 2" xfId="14232"/>
    <cellStyle name="40% - Accent2 6 2 6 2 2" xfId="27781"/>
    <cellStyle name="40% - Accent2 6 2 6 3" xfId="20621"/>
    <cellStyle name="40% - Accent2 6 2 7" xfId="3297"/>
    <cellStyle name="40% - Accent2 6 2 7 2" xfId="16118"/>
    <cellStyle name="40% - Accent2 6 2 7 2 2" xfId="29525"/>
    <cellStyle name="40% - Accent2 6 2 7 3" xfId="20622"/>
    <cellStyle name="40% - Accent2 6 2 8" xfId="9288"/>
    <cellStyle name="40% - Accent2 6 2 8 2" xfId="23763"/>
    <cellStyle name="40% - Accent2 6 2 9" xfId="20609"/>
    <cellStyle name="40% - Accent2 6 3" xfId="3298"/>
    <cellStyle name="40% - Accent2 6 3 2" xfId="3299"/>
    <cellStyle name="40% - Accent2 6 3 2 2" xfId="3300"/>
    <cellStyle name="40% - Accent2 6 3 2 2 2" xfId="16845"/>
    <cellStyle name="40% - Accent2 6 3 2 2 2 2" xfId="30252"/>
    <cellStyle name="40% - Accent2 6 3 2 2 3" xfId="20625"/>
    <cellStyle name="40% - Accent2 6 3 2 3" xfId="11017"/>
    <cellStyle name="40% - Accent2 6 3 2 3 2" xfId="24959"/>
    <cellStyle name="40% - Accent2 6 3 2 4" xfId="20624"/>
    <cellStyle name="40% - Accent2 6 3 3" xfId="3301"/>
    <cellStyle name="40% - Accent2 6 3 3 2" xfId="12233"/>
    <cellStyle name="40% - Accent2 6 3 3 2 2" xfId="25945"/>
    <cellStyle name="40% - Accent2 6 3 3 3" xfId="20626"/>
    <cellStyle name="40% - Accent2 6 3 4" xfId="3302"/>
    <cellStyle name="40% - Accent2 6 3 4 2" xfId="13797"/>
    <cellStyle name="40% - Accent2 6 3 4 2 2" xfId="27346"/>
    <cellStyle name="40% - Accent2 6 3 4 3" xfId="20627"/>
    <cellStyle name="40% - Accent2 6 3 5" xfId="3303"/>
    <cellStyle name="40% - Accent2 6 3 5 2" xfId="14378"/>
    <cellStyle name="40% - Accent2 6 3 5 2 2" xfId="27927"/>
    <cellStyle name="40% - Accent2 6 3 5 3" xfId="20628"/>
    <cellStyle name="40% - Accent2 6 3 6" xfId="3304"/>
    <cellStyle name="40% - Accent2 6 3 6 2" xfId="16264"/>
    <cellStyle name="40% - Accent2 6 3 6 2 2" xfId="29671"/>
    <cellStyle name="40% - Accent2 6 3 6 3" xfId="20629"/>
    <cellStyle name="40% - Accent2 6 3 7" xfId="9290"/>
    <cellStyle name="40% - Accent2 6 3 7 2" xfId="23765"/>
    <cellStyle name="40% - Accent2 6 3 8" xfId="20623"/>
    <cellStyle name="40% - Accent2 6 4" xfId="3305"/>
    <cellStyle name="40% - Accent2 6 4 2" xfId="3306"/>
    <cellStyle name="40% - Accent2 6 4 2 2" xfId="16556"/>
    <cellStyle name="40% - Accent2 6 4 2 2 2" xfId="29963"/>
    <cellStyle name="40% - Accent2 6 4 2 3" xfId="20631"/>
    <cellStyle name="40% - Accent2 6 4 3" xfId="11014"/>
    <cellStyle name="40% - Accent2 6 4 3 2" xfId="24956"/>
    <cellStyle name="40% - Accent2 6 4 4" xfId="20630"/>
    <cellStyle name="40% - Accent2 6 5" xfId="3307"/>
    <cellStyle name="40% - Accent2 6 5 2" xfId="11931"/>
    <cellStyle name="40% - Accent2 6 5 2 2" xfId="25646"/>
    <cellStyle name="40% - Accent2 6 5 3" xfId="20632"/>
    <cellStyle name="40% - Accent2 6 6" xfId="3308"/>
    <cellStyle name="40% - Accent2 6 6 2" xfId="13508"/>
    <cellStyle name="40% - Accent2 6 6 2 2" xfId="27057"/>
    <cellStyle name="40% - Accent2 6 6 3" xfId="20633"/>
    <cellStyle name="40% - Accent2 6 7" xfId="3309"/>
    <cellStyle name="40% - Accent2 6 7 2" xfId="14089"/>
    <cellStyle name="40% - Accent2 6 7 2 2" xfId="27638"/>
    <cellStyle name="40% - Accent2 6 7 3" xfId="20634"/>
    <cellStyle name="40% - Accent2 6 8" xfId="3310"/>
    <cellStyle name="40% - Accent2 6 8 2" xfId="15975"/>
    <cellStyle name="40% - Accent2 6 8 2 2" xfId="29382"/>
    <cellStyle name="40% - Accent2 6 8 3" xfId="20635"/>
    <cellStyle name="40% - Accent2 6 9" xfId="9287"/>
    <cellStyle name="40% - Accent2 6 9 2" xfId="23762"/>
    <cellStyle name="40% - Accent2 7" xfId="3311"/>
    <cellStyle name="40% - Accent2 7 2" xfId="3312"/>
    <cellStyle name="40% - Accent2 7 2 2" xfId="3313"/>
    <cellStyle name="40% - Accent2 7 2 2 2" xfId="3314"/>
    <cellStyle name="40% - Accent2 7 2 2 2 2" xfId="16861"/>
    <cellStyle name="40% - Accent2 7 2 2 2 2 2" xfId="30268"/>
    <cellStyle name="40% - Accent2 7 2 2 2 3" xfId="20639"/>
    <cellStyle name="40% - Accent2 7 2 2 3" xfId="11019"/>
    <cellStyle name="40% - Accent2 7 2 2 3 2" xfId="24961"/>
    <cellStyle name="40% - Accent2 7 2 2 4" xfId="20638"/>
    <cellStyle name="40% - Accent2 7 2 3" xfId="3315"/>
    <cellStyle name="40% - Accent2 7 2 3 2" xfId="12249"/>
    <cellStyle name="40% - Accent2 7 2 3 2 2" xfId="25961"/>
    <cellStyle name="40% - Accent2 7 2 3 3" xfId="20640"/>
    <cellStyle name="40% - Accent2 7 2 4" xfId="3316"/>
    <cellStyle name="40% - Accent2 7 2 4 2" xfId="13813"/>
    <cellStyle name="40% - Accent2 7 2 4 2 2" xfId="27362"/>
    <cellStyle name="40% - Accent2 7 2 4 3" xfId="20641"/>
    <cellStyle name="40% - Accent2 7 2 5" xfId="3317"/>
    <cellStyle name="40% - Accent2 7 2 5 2" xfId="14394"/>
    <cellStyle name="40% - Accent2 7 2 5 2 2" xfId="27943"/>
    <cellStyle name="40% - Accent2 7 2 5 3" xfId="20642"/>
    <cellStyle name="40% - Accent2 7 2 6" xfId="3318"/>
    <cellStyle name="40% - Accent2 7 2 6 2" xfId="16280"/>
    <cellStyle name="40% - Accent2 7 2 6 2 2" xfId="29687"/>
    <cellStyle name="40% - Accent2 7 2 6 3" xfId="20643"/>
    <cellStyle name="40% - Accent2 7 2 7" xfId="9292"/>
    <cellStyle name="40% - Accent2 7 2 7 2" xfId="23767"/>
    <cellStyle name="40% - Accent2 7 2 8" xfId="20637"/>
    <cellStyle name="40% - Accent2 7 3" xfId="3319"/>
    <cellStyle name="40% - Accent2 7 3 2" xfId="3320"/>
    <cellStyle name="40% - Accent2 7 3 2 2" xfId="16572"/>
    <cellStyle name="40% - Accent2 7 3 2 2 2" xfId="29979"/>
    <cellStyle name="40% - Accent2 7 3 2 3" xfId="20645"/>
    <cellStyle name="40% - Accent2 7 3 3" xfId="11018"/>
    <cellStyle name="40% - Accent2 7 3 3 2" xfId="24960"/>
    <cellStyle name="40% - Accent2 7 3 4" xfId="20644"/>
    <cellStyle name="40% - Accent2 7 4" xfId="3321"/>
    <cellStyle name="40% - Accent2 7 4 2" xfId="11947"/>
    <cellStyle name="40% - Accent2 7 4 2 2" xfId="25662"/>
    <cellStyle name="40% - Accent2 7 4 3" xfId="20646"/>
    <cellStyle name="40% - Accent2 7 5" xfId="3322"/>
    <cellStyle name="40% - Accent2 7 5 2" xfId="13524"/>
    <cellStyle name="40% - Accent2 7 5 2 2" xfId="27073"/>
    <cellStyle name="40% - Accent2 7 5 3" xfId="20647"/>
    <cellStyle name="40% - Accent2 7 6" xfId="3323"/>
    <cellStyle name="40% - Accent2 7 6 2" xfId="14105"/>
    <cellStyle name="40% - Accent2 7 6 2 2" xfId="27654"/>
    <cellStyle name="40% - Accent2 7 6 3" xfId="20648"/>
    <cellStyle name="40% - Accent2 7 7" xfId="3324"/>
    <cellStyle name="40% - Accent2 7 7 2" xfId="15991"/>
    <cellStyle name="40% - Accent2 7 7 2 2" xfId="29398"/>
    <cellStyle name="40% - Accent2 7 7 3" xfId="20649"/>
    <cellStyle name="40% - Accent2 7 8" xfId="9291"/>
    <cellStyle name="40% - Accent2 7 8 2" xfId="23766"/>
    <cellStyle name="40% - Accent2 7 9" xfId="20636"/>
    <cellStyle name="40% - Accent2 8" xfId="3325"/>
    <cellStyle name="40% - Accent2 8 2" xfId="3326"/>
    <cellStyle name="40% - Accent2 8 2 2" xfId="3327"/>
    <cellStyle name="40% - Accent2 8 2 2 2" xfId="16719"/>
    <cellStyle name="40% - Accent2 8 2 2 2 2" xfId="30126"/>
    <cellStyle name="40% - Accent2 8 2 2 3" xfId="20652"/>
    <cellStyle name="40% - Accent2 8 2 3" xfId="11020"/>
    <cellStyle name="40% - Accent2 8 2 3 2" xfId="24962"/>
    <cellStyle name="40% - Accent2 8 2 4" xfId="20651"/>
    <cellStyle name="40% - Accent2 8 3" xfId="3328"/>
    <cellStyle name="40% - Accent2 8 3 2" xfId="12097"/>
    <cellStyle name="40% - Accent2 8 3 2 2" xfId="25811"/>
    <cellStyle name="40% - Accent2 8 3 3" xfId="20653"/>
    <cellStyle name="40% - Accent2 8 4" xfId="3329"/>
    <cellStyle name="40% - Accent2 8 4 2" xfId="13671"/>
    <cellStyle name="40% - Accent2 8 4 2 2" xfId="27220"/>
    <cellStyle name="40% - Accent2 8 4 3" xfId="20654"/>
    <cellStyle name="40% - Accent2 8 5" xfId="3330"/>
    <cellStyle name="40% - Accent2 8 5 2" xfId="14252"/>
    <cellStyle name="40% - Accent2 8 5 2 2" xfId="27801"/>
    <cellStyle name="40% - Accent2 8 5 3" xfId="20655"/>
    <cellStyle name="40% - Accent2 8 6" xfId="3331"/>
    <cellStyle name="40% - Accent2 8 6 2" xfId="16138"/>
    <cellStyle name="40% - Accent2 8 6 2 2" xfId="29545"/>
    <cellStyle name="40% - Accent2 8 6 3" xfId="20656"/>
    <cellStyle name="40% - Accent2 8 7" xfId="9293"/>
    <cellStyle name="40% - Accent2 8 7 2" xfId="23768"/>
    <cellStyle name="40% - Accent2 8 8" xfId="20650"/>
    <cellStyle name="40% - Accent2 9" xfId="3332"/>
    <cellStyle name="40% - Accent2 9 2" xfId="3333"/>
    <cellStyle name="40% - Accent2 9 2 2" xfId="11717"/>
    <cellStyle name="40% - Accent2 9 2 2 2" xfId="25437"/>
    <cellStyle name="40% - Accent2 9 2 3" xfId="20658"/>
    <cellStyle name="40% - Accent2 9 3" xfId="3334"/>
    <cellStyle name="40% - Accent2 9 3 2" xfId="12534"/>
    <cellStyle name="40% - Accent2 9 3 2 2" xfId="26246"/>
    <cellStyle name="40% - Accent2 9 3 3" xfId="20659"/>
    <cellStyle name="40% - Accent2 9 4" xfId="3335"/>
    <cellStyle name="40% - Accent2 9 4 2" xfId="15167"/>
    <cellStyle name="40% - Accent2 9 4 2 2" xfId="28716"/>
    <cellStyle name="40% - Accent2 9 4 3" xfId="20660"/>
    <cellStyle name="40% - Accent2 9 5" xfId="3336"/>
    <cellStyle name="40% - Accent2 9 5 2" xfId="17103"/>
    <cellStyle name="40% - Accent2 9 5 2 2" xfId="30462"/>
    <cellStyle name="40% - Accent2 9 5 3" xfId="20661"/>
    <cellStyle name="40% - Accent2 9 6" xfId="10469"/>
    <cellStyle name="40% - Accent2 9 6 2" xfId="24428"/>
    <cellStyle name="40% - Accent2 9 7" xfId="20657"/>
    <cellStyle name="40% - Accent3" xfId="37" builtinId="39" customBuiltin="1"/>
    <cellStyle name="40% - Accent3 10" xfId="3337"/>
    <cellStyle name="40% - Accent3 10 2" xfId="3338"/>
    <cellStyle name="40% - Accent3 10 2 2" xfId="3339"/>
    <cellStyle name="40% - Accent3 10 2 2 2" xfId="12792"/>
    <cellStyle name="40% - Accent3 10 2 2 2 2" xfId="26504"/>
    <cellStyle name="40% - Accent3 10 2 2 3" xfId="20664"/>
    <cellStyle name="40% - Accent3 10 2 3" xfId="3340"/>
    <cellStyle name="40% - Accent3 10 2 3 2" xfId="15170"/>
    <cellStyle name="40% - Accent3 10 2 3 2 2" xfId="28719"/>
    <cellStyle name="40% - Accent3 10 2 3 3" xfId="20665"/>
    <cellStyle name="40% - Accent3 10 2 4" xfId="11022"/>
    <cellStyle name="40% - Accent3 10 2 4 2" xfId="24964"/>
    <cellStyle name="40% - Accent3 10 2 5" xfId="20663"/>
    <cellStyle name="40% - Accent3 10 3" xfId="3341"/>
    <cellStyle name="40% - Accent3 10 3 2" xfId="12706"/>
    <cellStyle name="40% - Accent3 10 3 2 2" xfId="26418"/>
    <cellStyle name="40% - Accent3 10 3 3" xfId="20666"/>
    <cellStyle name="40% - Accent3 10 4" xfId="3342"/>
    <cellStyle name="40% - Accent3 10 4 2" xfId="15169"/>
    <cellStyle name="40% - Accent3 10 4 2 2" xfId="28718"/>
    <cellStyle name="40% - Accent3 10 4 3" xfId="20667"/>
    <cellStyle name="40% - Accent3 10 5" xfId="3343"/>
    <cellStyle name="40% - Accent3 10 5 2" xfId="17193"/>
    <cellStyle name="40% - Accent3 10 5 2 2" xfId="30552"/>
    <cellStyle name="40% - Accent3 10 5 3" xfId="20668"/>
    <cellStyle name="40% - Accent3 10 6" xfId="9295"/>
    <cellStyle name="40% - Accent3 10 6 2" xfId="23770"/>
    <cellStyle name="40% - Accent3 10 7" xfId="20662"/>
    <cellStyle name="40% - Accent3 11" xfId="3344"/>
    <cellStyle name="40% - Accent3 11 2" xfId="3345"/>
    <cellStyle name="40% - Accent3 11 2 2" xfId="11023"/>
    <cellStyle name="40% - Accent3 11 2 2 2" xfId="24965"/>
    <cellStyle name="40% - Accent3 11 2 3" xfId="20670"/>
    <cellStyle name="40% - Accent3 11 3" xfId="3346"/>
    <cellStyle name="40% - Accent3 11 3 2" xfId="12625"/>
    <cellStyle name="40% - Accent3 11 3 2 2" xfId="26337"/>
    <cellStyle name="40% - Accent3 11 3 3" xfId="20671"/>
    <cellStyle name="40% - Accent3 11 4" xfId="3347"/>
    <cellStyle name="40% - Accent3 11 4 2" xfId="15171"/>
    <cellStyle name="40% - Accent3 11 4 2 2" xfId="28720"/>
    <cellStyle name="40% - Accent3 11 4 3" xfId="20672"/>
    <cellStyle name="40% - Accent3 11 5" xfId="3348"/>
    <cellStyle name="40% - Accent3 11 5 2" xfId="17282"/>
    <cellStyle name="40% - Accent3 11 5 2 2" xfId="30641"/>
    <cellStyle name="40% - Accent3 11 5 3" xfId="20673"/>
    <cellStyle name="40% - Accent3 11 6" xfId="9296"/>
    <cellStyle name="40% - Accent3 11 6 2" xfId="23771"/>
    <cellStyle name="40% - Accent3 11 7" xfId="20669"/>
    <cellStyle name="40% - Accent3 12" xfId="3349"/>
    <cellStyle name="40% - Accent3 12 2" xfId="3350"/>
    <cellStyle name="40% - Accent3 12 2 2" xfId="3351"/>
    <cellStyle name="40% - Accent3 12 2 2 2" xfId="11025"/>
    <cellStyle name="40% - Accent3 12 2 2 2 2" xfId="24967"/>
    <cellStyle name="40% - Accent3 12 2 2 3" xfId="20676"/>
    <cellStyle name="40% - Accent3 12 2 3" xfId="3352"/>
    <cellStyle name="40% - Accent3 12 2 3 2" xfId="12637"/>
    <cellStyle name="40% - Accent3 12 2 3 2 2" xfId="26349"/>
    <cellStyle name="40% - Accent3 12 2 3 3" xfId="20677"/>
    <cellStyle name="40% - Accent3 12 2 4" xfId="3353"/>
    <cellStyle name="40% - Accent3 12 2 4 2" xfId="15173"/>
    <cellStyle name="40% - Accent3 12 2 4 2 2" xfId="28722"/>
    <cellStyle name="40% - Accent3 12 2 4 3" xfId="20678"/>
    <cellStyle name="40% - Accent3 12 2 5" xfId="9298"/>
    <cellStyle name="40% - Accent3 12 2 5 2" xfId="23773"/>
    <cellStyle name="40% - Accent3 12 2 6" xfId="20675"/>
    <cellStyle name="40% - Accent3 12 3" xfId="3354"/>
    <cellStyle name="40% - Accent3 12 3 2" xfId="11024"/>
    <cellStyle name="40% - Accent3 12 3 2 2" xfId="24966"/>
    <cellStyle name="40% - Accent3 12 3 3" xfId="20679"/>
    <cellStyle name="40% - Accent3 12 4" xfId="3355"/>
    <cellStyle name="40% - Accent3 12 4 2" xfId="11894"/>
    <cellStyle name="40% - Accent3 12 4 2 2" xfId="25609"/>
    <cellStyle name="40% - Accent3 12 4 3" xfId="20680"/>
    <cellStyle name="40% - Accent3 12 5" xfId="3356"/>
    <cellStyle name="40% - Accent3 12 5 2" xfId="15172"/>
    <cellStyle name="40% - Accent3 12 5 2 2" xfId="28721"/>
    <cellStyle name="40% - Accent3 12 5 3" xfId="20681"/>
    <cellStyle name="40% - Accent3 12 6" xfId="3357"/>
    <cellStyle name="40% - Accent3 12 6 2" xfId="16434"/>
    <cellStyle name="40% - Accent3 12 6 2 2" xfId="29841"/>
    <cellStyle name="40% - Accent3 12 6 3" xfId="20682"/>
    <cellStyle name="40% - Accent3 12 7" xfId="9297"/>
    <cellStyle name="40% - Accent3 12 7 2" xfId="23772"/>
    <cellStyle name="40% - Accent3 12 8" xfId="20674"/>
    <cellStyle name="40% - Accent3 13" xfId="3358"/>
    <cellStyle name="40% - Accent3 13 2" xfId="3359"/>
    <cellStyle name="40% - Accent3 13 2 2" xfId="11026"/>
    <cellStyle name="40% - Accent3 13 2 2 2" xfId="24968"/>
    <cellStyle name="40% - Accent3 13 2 3" xfId="20684"/>
    <cellStyle name="40% - Accent3 13 3" xfId="3360"/>
    <cellStyle name="40% - Accent3 13 3 2" xfId="11890"/>
    <cellStyle name="40% - Accent3 13 3 2 2" xfId="25605"/>
    <cellStyle name="40% - Accent3 13 3 3" xfId="20685"/>
    <cellStyle name="40% - Accent3 13 4" xfId="3361"/>
    <cellStyle name="40% - Accent3 13 4 2" xfId="15174"/>
    <cellStyle name="40% - Accent3 13 4 2 2" xfId="28723"/>
    <cellStyle name="40% - Accent3 13 4 3" xfId="20686"/>
    <cellStyle name="40% - Accent3 13 5" xfId="9299"/>
    <cellStyle name="40% - Accent3 13 5 2" xfId="23774"/>
    <cellStyle name="40% - Accent3 13 6" xfId="20683"/>
    <cellStyle name="40% - Accent3 14" xfId="3362"/>
    <cellStyle name="40% - Accent3 14 2" xfId="3363"/>
    <cellStyle name="40% - Accent3 14 2 2" xfId="11027"/>
    <cellStyle name="40% - Accent3 14 2 2 2" xfId="24969"/>
    <cellStyle name="40% - Accent3 14 2 3" xfId="20688"/>
    <cellStyle name="40% - Accent3 14 3" xfId="3364"/>
    <cellStyle name="40% - Accent3 14 3 2" xfId="12629"/>
    <cellStyle name="40% - Accent3 14 3 2 2" xfId="26341"/>
    <cellStyle name="40% - Accent3 14 3 3" xfId="20689"/>
    <cellStyle name="40% - Accent3 14 4" xfId="3365"/>
    <cellStyle name="40% - Accent3 14 4 2" xfId="15175"/>
    <cellStyle name="40% - Accent3 14 4 2 2" xfId="28724"/>
    <cellStyle name="40% - Accent3 14 4 3" xfId="20690"/>
    <cellStyle name="40% - Accent3 14 5" xfId="9300"/>
    <cellStyle name="40% - Accent3 14 5 2" xfId="23775"/>
    <cellStyle name="40% - Accent3 14 6" xfId="20687"/>
    <cellStyle name="40% - Accent3 15" xfId="3366"/>
    <cellStyle name="40% - Accent3 15 2" xfId="3367"/>
    <cellStyle name="40% - Accent3 15 2 2" xfId="11028"/>
    <cellStyle name="40% - Accent3 15 2 2 2" xfId="24970"/>
    <cellStyle name="40% - Accent3 15 2 3" xfId="20692"/>
    <cellStyle name="40% - Accent3 15 3" xfId="3368"/>
    <cellStyle name="40% - Accent3 15 3 2" xfId="12571"/>
    <cellStyle name="40% - Accent3 15 3 2 2" xfId="26283"/>
    <cellStyle name="40% - Accent3 15 3 3" xfId="20693"/>
    <cellStyle name="40% - Accent3 15 4" xfId="3369"/>
    <cellStyle name="40% - Accent3 15 4 2" xfId="15176"/>
    <cellStyle name="40% - Accent3 15 4 2 2" xfId="28725"/>
    <cellStyle name="40% - Accent3 15 4 3" xfId="20694"/>
    <cellStyle name="40% - Accent3 15 5" xfId="9301"/>
    <cellStyle name="40% - Accent3 15 5 2" xfId="23776"/>
    <cellStyle name="40% - Accent3 15 6" xfId="20691"/>
    <cellStyle name="40% - Accent3 16" xfId="3370"/>
    <cellStyle name="40% - Accent3 16 2" xfId="3371"/>
    <cellStyle name="40% - Accent3 16 2 2" xfId="11029"/>
    <cellStyle name="40% - Accent3 16 2 2 2" xfId="24971"/>
    <cellStyle name="40% - Accent3 16 2 3" xfId="20696"/>
    <cellStyle name="40% - Accent3 16 3" xfId="3372"/>
    <cellStyle name="40% - Accent3 16 3 2" xfId="11862"/>
    <cellStyle name="40% - Accent3 16 3 2 2" xfId="25577"/>
    <cellStyle name="40% - Accent3 16 3 3" xfId="20697"/>
    <cellStyle name="40% - Accent3 16 4" xfId="3373"/>
    <cellStyle name="40% - Accent3 16 4 2" xfId="15177"/>
    <cellStyle name="40% - Accent3 16 4 2 2" xfId="28726"/>
    <cellStyle name="40% - Accent3 16 4 3" xfId="20698"/>
    <cellStyle name="40% - Accent3 16 5" xfId="9302"/>
    <cellStyle name="40% - Accent3 16 5 2" xfId="23777"/>
    <cellStyle name="40% - Accent3 16 6" xfId="20695"/>
    <cellStyle name="40% - Accent3 17" xfId="3374"/>
    <cellStyle name="40% - Accent3 17 2" xfId="3375"/>
    <cellStyle name="40% - Accent3 17 2 2" xfId="11030"/>
    <cellStyle name="40% - Accent3 17 2 2 2" xfId="24972"/>
    <cellStyle name="40% - Accent3 17 2 3" xfId="20700"/>
    <cellStyle name="40% - Accent3 17 3" xfId="3376"/>
    <cellStyle name="40% - Accent3 17 3 2" xfId="11793"/>
    <cellStyle name="40% - Accent3 17 3 2 2" xfId="25508"/>
    <cellStyle name="40% - Accent3 17 3 3" xfId="20701"/>
    <cellStyle name="40% - Accent3 17 4" xfId="3377"/>
    <cellStyle name="40% - Accent3 17 4 2" xfId="15178"/>
    <cellStyle name="40% - Accent3 17 4 2 2" xfId="28727"/>
    <cellStyle name="40% - Accent3 17 4 3" xfId="20702"/>
    <cellStyle name="40% - Accent3 17 5" xfId="9303"/>
    <cellStyle name="40% - Accent3 17 5 2" xfId="23778"/>
    <cellStyle name="40% - Accent3 17 6" xfId="20699"/>
    <cellStyle name="40% - Accent3 18" xfId="3378"/>
    <cellStyle name="40% - Accent3 18 2" xfId="3379"/>
    <cellStyle name="40% - Accent3 18 2 2" xfId="11031"/>
    <cellStyle name="40% - Accent3 18 2 2 2" xfId="24973"/>
    <cellStyle name="40% - Accent3 18 2 3" xfId="20704"/>
    <cellStyle name="40% - Accent3 18 3" xfId="3380"/>
    <cellStyle name="40% - Accent3 18 3 2" xfId="12617"/>
    <cellStyle name="40% - Accent3 18 3 2 2" xfId="26329"/>
    <cellStyle name="40% - Accent3 18 3 3" xfId="20705"/>
    <cellStyle name="40% - Accent3 18 4" xfId="3381"/>
    <cellStyle name="40% - Accent3 18 4 2" xfId="15179"/>
    <cellStyle name="40% - Accent3 18 4 2 2" xfId="28728"/>
    <cellStyle name="40% - Accent3 18 4 3" xfId="20706"/>
    <cellStyle name="40% - Accent3 18 5" xfId="9304"/>
    <cellStyle name="40% - Accent3 18 5 2" xfId="23779"/>
    <cellStyle name="40% - Accent3 18 6" xfId="20703"/>
    <cellStyle name="40% - Accent3 19" xfId="3382"/>
    <cellStyle name="40% - Accent3 19 2" xfId="3383"/>
    <cellStyle name="40% - Accent3 19 2 2" xfId="11718"/>
    <cellStyle name="40% - Accent3 19 2 2 2" xfId="25438"/>
    <cellStyle name="40% - Accent3 19 2 3" xfId="20708"/>
    <cellStyle name="40% - Accent3 19 3" xfId="3384"/>
    <cellStyle name="40% - Accent3 19 3 2" xfId="12807"/>
    <cellStyle name="40% - Accent3 19 3 2 2" xfId="26519"/>
    <cellStyle name="40% - Accent3 19 3 3" xfId="20709"/>
    <cellStyle name="40% - Accent3 19 4" xfId="3385"/>
    <cellStyle name="40% - Accent3 19 4 2" xfId="15180"/>
    <cellStyle name="40% - Accent3 19 4 2 2" xfId="28729"/>
    <cellStyle name="40% - Accent3 19 4 3" xfId="20710"/>
    <cellStyle name="40% - Accent3 19 5" xfId="10470"/>
    <cellStyle name="40% - Accent3 19 5 2" xfId="24429"/>
    <cellStyle name="40% - Accent3 19 6" xfId="20707"/>
    <cellStyle name="40% - Accent3 2" xfId="3386"/>
    <cellStyle name="40% - Accent3 2 10" xfId="3387"/>
    <cellStyle name="40% - Accent3 2 10 2" xfId="3388"/>
    <cellStyle name="40% - Accent3 2 10 2 2" xfId="15182"/>
    <cellStyle name="40% - Accent3 2 10 2 2 2" xfId="28731"/>
    <cellStyle name="40% - Accent3 2 10 2 3" xfId="20713"/>
    <cellStyle name="40% - Accent3 2 10 3" xfId="11841"/>
    <cellStyle name="40% - Accent3 2 10 3 2" xfId="25556"/>
    <cellStyle name="40% - Accent3 2 10 4" xfId="20712"/>
    <cellStyle name="40% - Accent3 2 11" xfId="3389"/>
    <cellStyle name="40% - Accent3 2 11 2" xfId="11751"/>
    <cellStyle name="40% - Accent3 2 11 2 2" xfId="25466"/>
    <cellStyle name="40% - Accent3 2 11 3" xfId="20714"/>
    <cellStyle name="40% - Accent3 2 12" xfId="3390"/>
    <cellStyle name="40% - Accent3 2 12 2" xfId="13440"/>
    <cellStyle name="40% - Accent3 2 12 2 2" xfId="26989"/>
    <cellStyle name="40% - Accent3 2 12 3" xfId="20715"/>
    <cellStyle name="40% - Accent3 2 13" xfId="3391"/>
    <cellStyle name="40% - Accent3 2 13 2" xfId="14021"/>
    <cellStyle name="40% - Accent3 2 13 2 2" xfId="27570"/>
    <cellStyle name="40% - Accent3 2 13 3" xfId="20716"/>
    <cellStyle name="40% - Accent3 2 14" xfId="3392"/>
    <cellStyle name="40% - Accent3 2 14 2" xfId="15181"/>
    <cellStyle name="40% - Accent3 2 14 2 2" xfId="28730"/>
    <cellStyle name="40% - Accent3 2 14 3" xfId="20717"/>
    <cellStyle name="40% - Accent3 2 15" xfId="3393"/>
    <cellStyle name="40% - Accent3 2 15 2" xfId="15907"/>
    <cellStyle name="40% - Accent3 2 15 2 2" xfId="29314"/>
    <cellStyle name="40% - Accent3 2 15 3" xfId="20718"/>
    <cellStyle name="40% - Accent3 2 16" xfId="9305"/>
    <cellStyle name="40% - Accent3 2 16 2" xfId="23780"/>
    <cellStyle name="40% - Accent3 2 17" xfId="20711"/>
    <cellStyle name="40% - Accent3 2 18" xfId="33071"/>
    <cellStyle name="40% - Accent3 2 2" xfId="3394"/>
    <cellStyle name="40% - Accent3 2 2 10" xfId="3395"/>
    <cellStyle name="40% - Accent3 2 2 10 2" xfId="15183"/>
    <cellStyle name="40% - Accent3 2 2 10 2 2" xfId="28732"/>
    <cellStyle name="40% - Accent3 2 2 10 3" xfId="20720"/>
    <cellStyle name="40% - Accent3 2 2 11" xfId="3396"/>
    <cellStyle name="40% - Accent3 2 2 11 2" xfId="15953"/>
    <cellStyle name="40% - Accent3 2 2 11 2 2" xfId="29360"/>
    <cellStyle name="40% - Accent3 2 2 11 3" xfId="20721"/>
    <cellStyle name="40% - Accent3 2 2 12" xfId="9306"/>
    <cellStyle name="40% - Accent3 2 2 12 2" xfId="23781"/>
    <cellStyle name="40% - Accent3 2 2 13" xfId="20719"/>
    <cellStyle name="40% - Accent3 2 2 2" xfId="3397"/>
    <cellStyle name="40% - Accent3 2 2 2 10" xfId="3398"/>
    <cellStyle name="40% - Accent3 2 2 2 10 2" xfId="16096"/>
    <cellStyle name="40% - Accent3 2 2 2 10 2 2" xfId="29503"/>
    <cellStyle name="40% - Accent3 2 2 2 10 3" xfId="20723"/>
    <cellStyle name="40% - Accent3 2 2 2 11" xfId="9307"/>
    <cellStyle name="40% - Accent3 2 2 2 11 2" xfId="23782"/>
    <cellStyle name="40% - Accent3 2 2 2 12" xfId="20722"/>
    <cellStyle name="40% - Accent3 2 2 2 2" xfId="3399"/>
    <cellStyle name="40% - Accent3 2 2 2 2 10" xfId="9308"/>
    <cellStyle name="40% - Accent3 2 2 2 2 10 2" xfId="23783"/>
    <cellStyle name="40% - Accent3 2 2 2 2 11" xfId="20724"/>
    <cellStyle name="40% - Accent3 2 2 2 2 2" xfId="3400"/>
    <cellStyle name="40% - Accent3 2 2 2 2 2 2" xfId="3401"/>
    <cellStyle name="40% - Accent3 2 2 2 2 2 2 2" xfId="11036"/>
    <cellStyle name="40% - Accent3 2 2 2 2 2 2 2 2" xfId="24978"/>
    <cellStyle name="40% - Accent3 2 2 2 2 2 2 3" xfId="20726"/>
    <cellStyle name="40% - Accent3 2 2 2 2 2 3" xfId="3402"/>
    <cellStyle name="40% - Accent3 2 2 2 2 2 3 2" xfId="12670"/>
    <cellStyle name="40% - Accent3 2 2 2 2 2 3 2 2" xfId="26382"/>
    <cellStyle name="40% - Accent3 2 2 2 2 2 3 3" xfId="20727"/>
    <cellStyle name="40% - Accent3 2 2 2 2 2 4" xfId="3403"/>
    <cellStyle name="40% - Accent3 2 2 2 2 2 4 2" xfId="15186"/>
    <cellStyle name="40% - Accent3 2 2 2 2 2 4 2 2" xfId="28735"/>
    <cellStyle name="40% - Accent3 2 2 2 2 2 4 3" xfId="20728"/>
    <cellStyle name="40% - Accent3 2 2 2 2 2 5" xfId="3404"/>
    <cellStyle name="40% - Accent3 2 2 2 2 2 5 2" xfId="16966"/>
    <cellStyle name="40% - Accent3 2 2 2 2 2 5 2 2" xfId="30373"/>
    <cellStyle name="40% - Accent3 2 2 2 2 2 5 3" xfId="20729"/>
    <cellStyle name="40% - Accent3 2 2 2 2 2 6" xfId="9309"/>
    <cellStyle name="40% - Accent3 2 2 2 2 2 6 2" xfId="23784"/>
    <cellStyle name="40% - Accent3 2 2 2 2 2 7" xfId="20725"/>
    <cellStyle name="40% - Accent3 2 2 2 2 3" xfId="3405"/>
    <cellStyle name="40% - Accent3 2 2 2 2 3 2" xfId="3406"/>
    <cellStyle name="40% - Accent3 2 2 2 2 3 2 2" xfId="15187"/>
    <cellStyle name="40% - Accent3 2 2 2 2 3 2 2 2" xfId="28736"/>
    <cellStyle name="40% - Accent3 2 2 2 2 3 2 3" xfId="20731"/>
    <cellStyle name="40% - Accent3 2 2 2 2 3 3" xfId="11035"/>
    <cellStyle name="40% - Accent3 2 2 2 2 3 3 2" xfId="24977"/>
    <cellStyle name="40% - Accent3 2 2 2 2 3 4" xfId="20730"/>
    <cellStyle name="40% - Accent3 2 2 2 2 4" xfId="3407"/>
    <cellStyle name="40% - Accent3 2 2 2 2 4 2" xfId="12354"/>
    <cellStyle name="40% - Accent3 2 2 2 2 4 2 2" xfId="26066"/>
    <cellStyle name="40% - Accent3 2 2 2 2 4 3" xfId="20732"/>
    <cellStyle name="40% - Accent3 2 2 2 2 5" xfId="3408"/>
    <cellStyle name="40% - Accent3 2 2 2 2 5 2" xfId="12633"/>
    <cellStyle name="40% - Accent3 2 2 2 2 5 2 2" xfId="26345"/>
    <cellStyle name="40% - Accent3 2 2 2 2 5 3" xfId="20733"/>
    <cellStyle name="40% - Accent3 2 2 2 2 6" xfId="3409"/>
    <cellStyle name="40% - Accent3 2 2 2 2 6 2" xfId="13918"/>
    <cellStyle name="40% - Accent3 2 2 2 2 6 2 2" xfId="27467"/>
    <cellStyle name="40% - Accent3 2 2 2 2 6 3" xfId="20734"/>
    <cellStyle name="40% - Accent3 2 2 2 2 7" xfId="3410"/>
    <cellStyle name="40% - Accent3 2 2 2 2 7 2" xfId="14499"/>
    <cellStyle name="40% - Accent3 2 2 2 2 7 2 2" xfId="28048"/>
    <cellStyle name="40% - Accent3 2 2 2 2 7 3" xfId="20735"/>
    <cellStyle name="40% - Accent3 2 2 2 2 8" xfId="3411"/>
    <cellStyle name="40% - Accent3 2 2 2 2 8 2" xfId="15185"/>
    <cellStyle name="40% - Accent3 2 2 2 2 8 2 2" xfId="28734"/>
    <cellStyle name="40% - Accent3 2 2 2 2 8 3" xfId="20736"/>
    <cellStyle name="40% - Accent3 2 2 2 2 9" xfId="3412"/>
    <cellStyle name="40% - Accent3 2 2 2 2 9 2" xfId="16385"/>
    <cellStyle name="40% - Accent3 2 2 2 2 9 2 2" xfId="29792"/>
    <cellStyle name="40% - Accent3 2 2 2 2 9 3" xfId="20737"/>
    <cellStyle name="40% - Accent3 2 2 2 3" xfId="3413"/>
    <cellStyle name="40% - Accent3 2 2 2 3 2" xfId="3414"/>
    <cellStyle name="40% - Accent3 2 2 2 3 2 2" xfId="11037"/>
    <cellStyle name="40% - Accent3 2 2 2 3 2 2 2" xfId="24979"/>
    <cellStyle name="40% - Accent3 2 2 2 3 2 3" xfId="20739"/>
    <cellStyle name="40% - Accent3 2 2 2 3 3" xfId="3415"/>
    <cellStyle name="40% - Accent3 2 2 2 3 3 2" xfId="12492"/>
    <cellStyle name="40% - Accent3 2 2 2 3 3 2 2" xfId="26204"/>
    <cellStyle name="40% - Accent3 2 2 2 3 3 3" xfId="20740"/>
    <cellStyle name="40% - Accent3 2 2 2 3 4" xfId="3416"/>
    <cellStyle name="40% - Accent3 2 2 2 3 4 2" xfId="15188"/>
    <cellStyle name="40% - Accent3 2 2 2 3 4 2 2" xfId="28737"/>
    <cellStyle name="40% - Accent3 2 2 2 3 4 3" xfId="20741"/>
    <cellStyle name="40% - Accent3 2 2 2 3 5" xfId="3417"/>
    <cellStyle name="40% - Accent3 2 2 2 3 5 2" xfId="16677"/>
    <cellStyle name="40% - Accent3 2 2 2 3 5 2 2" xfId="30084"/>
    <cellStyle name="40% - Accent3 2 2 2 3 5 3" xfId="20742"/>
    <cellStyle name="40% - Accent3 2 2 2 3 6" xfId="9310"/>
    <cellStyle name="40% - Accent3 2 2 2 3 6 2" xfId="23785"/>
    <cellStyle name="40% - Accent3 2 2 2 3 7" xfId="20738"/>
    <cellStyle name="40% - Accent3 2 2 2 4" xfId="3418"/>
    <cellStyle name="40% - Accent3 2 2 2 4 2" xfId="3419"/>
    <cellStyle name="40% - Accent3 2 2 2 4 2 2" xfId="15189"/>
    <cellStyle name="40% - Accent3 2 2 2 4 2 2 2" xfId="28738"/>
    <cellStyle name="40% - Accent3 2 2 2 4 2 3" xfId="20744"/>
    <cellStyle name="40% - Accent3 2 2 2 4 3" xfId="11034"/>
    <cellStyle name="40% - Accent3 2 2 2 4 3 2" xfId="24976"/>
    <cellStyle name="40% - Accent3 2 2 2 4 4" xfId="20743"/>
    <cellStyle name="40% - Accent3 2 2 2 5" xfId="3420"/>
    <cellStyle name="40% - Accent3 2 2 2 5 2" xfId="12054"/>
    <cellStyle name="40% - Accent3 2 2 2 5 2 2" xfId="25769"/>
    <cellStyle name="40% - Accent3 2 2 2 5 3" xfId="20745"/>
    <cellStyle name="40% - Accent3 2 2 2 6" xfId="3421"/>
    <cellStyle name="40% - Accent3 2 2 2 6 2" xfId="12468"/>
    <cellStyle name="40% - Accent3 2 2 2 6 2 2" xfId="26180"/>
    <cellStyle name="40% - Accent3 2 2 2 6 3" xfId="20746"/>
    <cellStyle name="40% - Accent3 2 2 2 7" xfId="3422"/>
    <cellStyle name="40% - Accent3 2 2 2 7 2" xfId="13629"/>
    <cellStyle name="40% - Accent3 2 2 2 7 2 2" xfId="27178"/>
    <cellStyle name="40% - Accent3 2 2 2 7 3" xfId="20747"/>
    <cellStyle name="40% - Accent3 2 2 2 8" xfId="3423"/>
    <cellStyle name="40% - Accent3 2 2 2 8 2" xfId="14210"/>
    <cellStyle name="40% - Accent3 2 2 2 8 2 2" xfId="27759"/>
    <cellStyle name="40% - Accent3 2 2 2 8 3" xfId="20748"/>
    <cellStyle name="40% - Accent3 2 2 2 9" xfId="3424"/>
    <cellStyle name="40% - Accent3 2 2 2 9 2" xfId="15184"/>
    <cellStyle name="40% - Accent3 2 2 2 9 2 2" xfId="28733"/>
    <cellStyle name="40% - Accent3 2 2 2 9 3" xfId="20749"/>
    <cellStyle name="40% - Accent3 2 2 3" xfId="3425"/>
    <cellStyle name="40% - Accent3 2 2 3 10" xfId="9311"/>
    <cellStyle name="40% - Accent3 2 2 3 10 2" xfId="23786"/>
    <cellStyle name="40% - Accent3 2 2 3 11" xfId="20750"/>
    <cellStyle name="40% - Accent3 2 2 3 2" xfId="3426"/>
    <cellStyle name="40% - Accent3 2 2 3 2 2" xfId="3427"/>
    <cellStyle name="40% - Accent3 2 2 3 2 2 2" xfId="11039"/>
    <cellStyle name="40% - Accent3 2 2 3 2 2 2 2" xfId="24981"/>
    <cellStyle name="40% - Accent3 2 2 3 2 2 3" xfId="20752"/>
    <cellStyle name="40% - Accent3 2 2 3 2 3" xfId="3428"/>
    <cellStyle name="40% - Accent3 2 2 3 2 3 2" xfId="12725"/>
    <cellStyle name="40% - Accent3 2 2 3 2 3 2 2" xfId="26437"/>
    <cellStyle name="40% - Accent3 2 2 3 2 3 3" xfId="20753"/>
    <cellStyle name="40% - Accent3 2 2 3 2 4" xfId="3429"/>
    <cellStyle name="40% - Accent3 2 2 3 2 4 2" xfId="15191"/>
    <cellStyle name="40% - Accent3 2 2 3 2 4 2 2" xfId="28740"/>
    <cellStyle name="40% - Accent3 2 2 3 2 4 3" xfId="20754"/>
    <cellStyle name="40% - Accent3 2 2 3 2 5" xfId="3430"/>
    <cellStyle name="40% - Accent3 2 2 3 2 5 2" xfId="16823"/>
    <cellStyle name="40% - Accent3 2 2 3 2 5 2 2" xfId="30230"/>
    <cellStyle name="40% - Accent3 2 2 3 2 5 3" xfId="20755"/>
    <cellStyle name="40% - Accent3 2 2 3 2 6" xfId="9312"/>
    <cellStyle name="40% - Accent3 2 2 3 2 6 2" xfId="23787"/>
    <cellStyle name="40% - Accent3 2 2 3 2 7" xfId="20751"/>
    <cellStyle name="40% - Accent3 2 2 3 3" xfId="3431"/>
    <cellStyle name="40% - Accent3 2 2 3 3 2" xfId="3432"/>
    <cellStyle name="40% - Accent3 2 2 3 3 2 2" xfId="15192"/>
    <cellStyle name="40% - Accent3 2 2 3 3 2 2 2" xfId="28741"/>
    <cellStyle name="40% - Accent3 2 2 3 3 2 3" xfId="20757"/>
    <cellStyle name="40% - Accent3 2 2 3 3 3" xfId="11038"/>
    <cellStyle name="40% - Accent3 2 2 3 3 3 2" xfId="24980"/>
    <cellStyle name="40% - Accent3 2 2 3 3 4" xfId="20756"/>
    <cellStyle name="40% - Accent3 2 2 3 4" xfId="3433"/>
    <cellStyle name="40% - Accent3 2 2 3 4 2" xfId="12211"/>
    <cellStyle name="40% - Accent3 2 2 3 4 2 2" xfId="25923"/>
    <cellStyle name="40% - Accent3 2 2 3 4 3" xfId="20758"/>
    <cellStyle name="40% - Accent3 2 2 3 5" xfId="3434"/>
    <cellStyle name="40% - Accent3 2 2 3 5 2" xfId="12501"/>
    <cellStyle name="40% - Accent3 2 2 3 5 2 2" xfId="26213"/>
    <cellStyle name="40% - Accent3 2 2 3 5 3" xfId="20759"/>
    <cellStyle name="40% - Accent3 2 2 3 6" xfId="3435"/>
    <cellStyle name="40% - Accent3 2 2 3 6 2" xfId="13775"/>
    <cellStyle name="40% - Accent3 2 2 3 6 2 2" xfId="27324"/>
    <cellStyle name="40% - Accent3 2 2 3 6 3" xfId="20760"/>
    <cellStyle name="40% - Accent3 2 2 3 7" xfId="3436"/>
    <cellStyle name="40% - Accent3 2 2 3 7 2" xfId="14356"/>
    <cellStyle name="40% - Accent3 2 2 3 7 2 2" xfId="27905"/>
    <cellStyle name="40% - Accent3 2 2 3 7 3" xfId="20761"/>
    <cellStyle name="40% - Accent3 2 2 3 8" xfId="3437"/>
    <cellStyle name="40% - Accent3 2 2 3 8 2" xfId="15190"/>
    <cellStyle name="40% - Accent3 2 2 3 8 2 2" xfId="28739"/>
    <cellStyle name="40% - Accent3 2 2 3 8 3" xfId="20762"/>
    <cellStyle name="40% - Accent3 2 2 3 9" xfId="3438"/>
    <cellStyle name="40% - Accent3 2 2 3 9 2" xfId="16242"/>
    <cellStyle name="40% - Accent3 2 2 3 9 2 2" xfId="29649"/>
    <cellStyle name="40% - Accent3 2 2 3 9 3" xfId="20763"/>
    <cellStyle name="40% - Accent3 2 2 4" xfId="3439"/>
    <cellStyle name="40% - Accent3 2 2 4 2" xfId="3440"/>
    <cellStyle name="40% - Accent3 2 2 4 2 2" xfId="11040"/>
    <cellStyle name="40% - Accent3 2 2 4 2 2 2" xfId="24982"/>
    <cellStyle name="40% - Accent3 2 2 4 2 3" xfId="20765"/>
    <cellStyle name="40% - Accent3 2 2 4 3" xfId="3441"/>
    <cellStyle name="40% - Accent3 2 2 4 3 2" xfId="12391"/>
    <cellStyle name="40% - Accent3 2 2 4 3 2 2" xfId="26103"/>
    <cellStyle name="40% - Accent3 2 2 4 3 3" xfId="20766"/>
    <cellStyle name="40% - Accent3 2 2 4 4" xfId="3442"/>
    <cellStyle name="40% - Accent3 2 2 4 4 2" xfId="15193"/>
    <cellStyle name="40% - Accent3 2 2 4 4 2 2" xfId="28742"/>
    <cellStyle name="40% - Accent3 2 2 4 4 3" xfId="20767"/>
    <cellStyle name="40% - Accent3 2 2 4 5" xfId="3443"/>
    <cellStyle name="40% - Accent3 2 2 4 5 2" xfId="17170"/>
    <cellStyle name="40% - Accent3 2 2 4 5 2 2" xfId="30529"/>
    <cellStyle name="40% - Accent3 2 2 4 5 3" xfId="20768"/>
    <cellStyle name="40% - Accent3 2 2 4 6" xfId="9313"/>
    <cellStyle name="40% - Accent3 2 2 4 6 2" xfId="23788"/>
    <cellStyle name="40% - Accent3 2 2 4 7" xfId="20764"/>
    <cellStyle name="40% - Accent3 2 2 5" xfId="3444"/>
    <cellStyle name="40% - Accent3 2 2 5 2" xfId="3445"/>
    <cellStyle name="40% - Accent3 2 2 5 2 2" xfId="15194"/>
    <cellStyle name="40% - Accent3 2 2 5 2 2 2" xfId="28743"/>
    <cellStyle name="40% - Accent3 2 2 5 2 3" xfId="20770"/>
    <cellStyle name="40% - Accent3 2 2 5 3" xfId="3446"/>
    <cellStyle name="40% - Accent3 2 2 5 3 2" xfId="17259"/>
    <cellStyle name="40% - Accent3 2 2 5 3 2 2" xfId="30618"/>
    <cellStyle name="40% - Accent3 2 2 5 3 3" xfId="20771"/>
    <cellStyle name="40% - Accent3 2 2 5 4" xfId="11033"/>
    <cellStyle name="40% - Accent3 2 2 5 4 2" xfId="24975"/>
    <cellStyle name="40% - Accent3 2 2 5 5" xfId="20769"/>
    <cellStyle name="40% - Accent3 2 2 6" xfId="3447"/>
    <cellStyle name="40% - Accent3 2 2 6 2" xfId="3448"/>
    <cellStyle name="40% - Accent3 2 2 6 2 2" xfId="16534"/>
    <cellStyle name="40% - Accent3 2 2 6 2 2 2" xfId="29941"/>
    <cellStyle name="40% - Accent3 2 2 6 2 3" xfId="20773"/>
    <cellStyle name="40% - Accent3 2 2 6 3" xfId="11909"/>
    <cellStyle name="40% - Accent3 2 2 6 3 2" xfId="25624"/>
    <cellStyle name="40% - Accent3 2 2 6 4" xfId="20772"/>
    <cellStyle name="40% - Accent3 2 2 7" xfId="3449"/>
    <cellStyle name="40% - Accent3 2 2 7 2" xfId="12399"/>
    <cellStyle name="40% - Accent3 2 2 7 2 2" xfId="26111"/>
    <cellStyle name="40% - Accent3 2 2 7 3" xfId="20774"/>
    <cellStyle name="40% - Accent3 2 2 8" xfId="3450"/>
    <cellStyle name="40% - Accent3 2 2 8 2" xfId="13486"/>
    <cellStyle name="40% - Accent3 2 2 8 2 2" xfId="27035"/>
    <cellStyle name="40% - Accent3 2 2 8 3" xfId="20775"/>
    <cellStyle name="40% - Accent3 2 2 9" xfId="3451"/>
    <cellStyle name="40% - Accent3 2 2 9 2" xfId="14067"/>
    <cellStyle name="40% - Accent3 2 2 9 2 2" xfId="27616"/>
    <cellStyle name="40% - Accent3 2 2 9 3" xfId="20776"/>
    <cellStyle name="40% - Accent3 2 3" xfId="3452"/>
    <cellStyle name="40% - Accent3 2 3 10" xfId="3453"/>
    <cellStyle name="40% - Accent3 2 3 10 2" xfId="16050"/>
    <cellStyle name="40% - Accent3 2 3 10 2 2" xfId="29457"/>
    <cellStyle name="40% - Accent3 2 3 10 3" xfId="20778"/>
    <cellStyle name="40% - Accent3 2 3 11" xfId="9314"/>
    <cellStyle name="40% - Accent3 2 3 11 2" xfId="23789"/>
    <cellStyle name="40% - Accent3 2 3 12" xfId="20777"/>
    <cellStyle name="40% - Accent3 2 3 2" xfId="3454"/>
    <cellStyle name="40% - Accent3 2 3 2 10" xfId="9315"/>
    <cellStyle name="40% - Accent3 2 3 2 10 2" xfId="23790"/>
    <cellStyle name="40% - Accent3 2 3 2 11" xfId="20779"/>
    <cellStyle name="40% - Accent3 2 3 2 2" xfId="3455"/>
    <cellStyle name="40% - Accent3 2 3 2 2 2" xfId="3456"/>
    <cellStyle name="40% - Accent3 2 3 2 2 2 2" xfId="11043"/>
    <cellStyle name="40% - Accent3 2 3 2 2 2 2 2" xfId="24985"/>
    <cellStyle name="40% - Accent3 2 3 2 2 2 3" xfId="20781"/>
    <cellStyle name="40% - Accent3 2 3 2 2 3" xfId="3457"/>
    <cellStyle name="40% - Accent3 2 3 2 2 3 2" xfId="12430"/>
    <cellStyle name="40% - Accent3 2 3 2 2 3 2 2" xfId="26142"/>
    <cellStyle name="40% - Accent3 2 3 2 2 3 3" xfId="20782"/>
    <cellStyle name="40% - Accent3 2 3 2 2 4" xfId="3458"/>
    <cellStyle name="40% - Accent3 2 3 2 2 4 2" xfId="15197"/>
    <cellStyle name="40% - Accent3 2 3 2 2 4 2 2" xfId="28746"/>
    <cellStyle name="40% - Accent3 2 3 2 2 4 3" xfId="20783"/>
    <cellStyle name="40% - Accent3 2 3 2 2 5" xfId="3459"/>
    <cellStyle name="40% - Accent3 2 3 2 2 5 2" xfId="16920"/>
    <cellStyle name="40% - Accent3 2 3 2 2 5 2 2" xfId="30327"/>
    <cellStyle name="40% - Accent3 2 3 2 2 5 3" xfId="20784"/>
    <cellStyle name="40% - Accent3 2 3 2 2 6" xfId="9316"/>
    <cellStyle name="40% - Accent3 2 3 2 2 6 2" xfId="23791"/>
    <cellStyle name="40% - Accent3 2 3 2 2 7" xfId="20780"/>
    <cellStyle name="40% - Accent3 2 3 2 3" xfId="3460"/>
    <cellStyle name="40% - Accent3 2 3 2 3 2" xfId="3461"/>
    <cellStyle name="40% - Accent3 2 3 2 3 2 2" xfId="15198"/>
    <cellStyle name="40% - Accent3 2 3 2 3 2 2 2" xfId="28747"/>
    <cellStyle name="40% - Accent3 2 3 2 3 2 3" xfId="20786"/>
    <cellStyle name="40% - Accent3 2 3 2 3 3" xfId="11042"/>
    <cellStyle name="40% - Accent3 2 3 2 3 3 2" xfId="24984"/>
    <cellStyle name="40% - Accent3 2 3 2 3 4" xfId="20785"/>
    <cellStyle name="40% - Accent3 2 3 2 4" xfId="3462"/>
    <cellStyle name="40% - Accent3 2 3 2 4 2" xfId="12308"/>
    <cellStyle name="40% - Accent3 2 3 2 4 2 2" xfId="26020"/>
    <cellStyle name="40% - Accent3 2 3 2 4 3" xfId="20787"/>
    <cellStyle name="40% - Accent3 2 3 2 5" xfId="3463"/>
    <cellStyle name="40% - Accent3 2 3 2 5 2" xfId="12574"/>
    <cellStyle name="40% - Accent3 2 3 2 5 2 2" xfId="26286"/>
    <cellStyle name="40% - Accent3 2 3 2 5 3" xfId="20788"/>
    <cellStyle name="40% - Accent3 2 3 2 6" xfId="3464"/>
    <cellStyle name="40% - Accent3 2 3 2 6 2" xfId="13872"/>
    <cellStyle name="40% - Accent3 2 3 2 6 2 2" xfId="27421"/>
    <cellStyle name="40% - Accent3 2 3 2 6 3" xfId="20789"/>
    <cellStyle name="40% - Accent3 2 3 2 7" xfId="3465"/>
    <cellStyle name="40% - Accent3 2 3 2 7 2" xfId="14453"/>
    <cellStyle name="40% - Accent3 2 3 2 7 2 2" xfId="28002"/>
    <cellStyle name="40% - Accent3 2 3 2 7 3" xfId="20790"/>
    <cellStyle name="40% - Accent3 2 3 2 8" xfId="3466"/>
    <cellStyle name="40% - Accent3 2 3 2 8 2" xfId="15196"/>
    <cellStyle name="40% - Accent3 2 3 2 8 2 2" xfId="28745"/>
    <cellStyle name="40% - Accent3 2 3 2 8 3" xfId="20791"/>
    <cellStyle name="40% - Accent3 2 3 2 9" xfId="3467"/>
    <cellStyle name="40% - Accent3 2 3 2 9 2" xfId="16339"/>
    <cellStyle name="40% - Accent3 2 3 2 9 2 2" xfId="29746"/>
    <cellStyle name="40% - Accent3 2 3 2 9 3" xfId="20792"/>
    <cellStyle name="40% - Accent3 2 3 3" xfId="3468"/>
    <cellStyle name="40% - Accent3 2 3 3 2" xfId="3469"/>
    <cellStyle name="40% - Accent3 2 3 3 2 2" xfId="11044"/>
    <cellStyle name="40% - Accent3 2 3 3 2 2 2" xfId="24986"/>
    <cellStyle name="40% - Accent3 2 3 3 2 3" xfId="20794"/>
    <cellStyle name="40% - Accent3 2 3 3 3" xfId="3470"/>
    <cellStyle name="40% - Accent3 2 3 3 3 2" xfId="12813"/>
    <cellStyle name="40% - Accent3 2 3 3 3 2 2" xfId="26525"/>
    <cellStyle name="40% - Accent3 2 3 3 3 3" xfId="20795"/>
    <cellStyle name="40% - Accent3 2 3 3 4" xfId="3471"/>
    <cellStyle name="40% - Accent3 2 3 3 4 2" xfId="15199"/>
    <cellStyle name="40% - Accent3 2 3 3 4 2 2" xfId="28748"/>
    <cellStyle name="40% - Accent3 2 3 3 4 3" xfId="20796"/>
    <cellStyle name="40% - Accent3 2 3 3 5" xfId="3472"/>
    <cellStyle name="40% - Accent3 2 3 3 5 2" xfId="16631"/>
    <cellStyle name="40% - Accent3 2 3 3 5 2 2" xfId="30038"/>
    <cellStyle name="40% - Accent3 2 3 3 5 3" xfId="20797"/>
    <cellStyle name="40% - Accent3 2 3 3 6" xfId="9317"/>
    <cellStyle name="40% - Accent3 2 3 3 6 2" xfId="23792"/>
    <cellStyle name="40% - Accent3 2 3 3 7" xfId="20793"/>
    <cellStyle name="40% - Accent3 2 3 4" xfId="3473"/>
    <cellStyle name="40% - Accent3 2 3 4 2" xfId="3474"/>
    <cellStyle name="40% - Accent3 2 3 4 2 2" xfId="15200"/>
    <cellStyle name="40% - Accent3 2 3 4 2 2 2" xfId="28749"/>
    <cellStyle name="40% - Accent3 2 3 4 2 3" xfId="20799"/>
    <cellStyle name="40% - Accent3 2 3 4 3" xfId="11041"/>
    <cellStyle name="40% - Accent3 2 3 4 3 2" xfId="24983"/>
    <cellStyle name="40% - Accent3 2 3 4 4" xfId="20798"/>
    <cellStyle name="40% - Accent3 2 3 5" xfId="3475"/>
    <cellStyle name="40% - Accent3 2 3 5 2" xfId="12008"/>
    <cellStyle name="40% - Accent3 2 3 5 2 2" xfId="25723"/>
    <cellStyle name="40% - Accent3 2 3 5 3" xfId="20800"/>
    <cellStyle name="40% - Accent3 2 3 6" xfId="3476"/>
    <cellStyle name="40% - Accent3 2 3 6 2" xfId="12618"/>
    <cellStyle name="40% - Accent3 2 3 6 2 2" xfId="26330"/>
    <cellStyle name="40% - Accent3 2 3 6 3" xfId="20801"/>
    <cellStyle name="40% - Accent3 2 3 7" xfId="3477"/>
    <cellStyle name="40% - Accent3 2 3 7 2" xfId="13583"/>
    <cellStyle name="40% - Accent3 2 3 7 2 2" xfId="27132"/>
    <cellStyle name="40% - Accent3 2 3 7 3" xfId="20802"/>
    <cellStyle name="40% - Accent3 2 3 8" xfId="3478"/>
    <cellStyle name="40% - Accent3 2 3 8 2" xfId="14164"/>
    <cellStyle name="40% - Accent3 2 3 8 2 2" xfId="27713"/>
    <cellStyle name="40% - Accent3 2 3 8 3" xfId="20803"/>
    <cellStyle name="40% - Accent3 2 3 9" xfId="3479"/>
    <cellStyle name="40% - Accent3 2 3 9 2" xfId="15195"/>
    <cellStyle name="40% - Accent3 2 3 9 2 2" xfId="28744"/>
    <cellStyle name="40% - Accent3 2 3 9 3" xfId="20804"/>
    <cellStyle name="40% - Accent3 2 4" xfId="3480"/>
    <cellStyle name="40% - Accent3 2 4 10" xfId="9318"/>
    <cellStyle name="40% - Accent3 2 4 10 2" xfId="23793"/>
    <cellStyle name="40% - Accent3 2 4 11" xfId="20805"/>
    <cellStyle name="40% - Accent3 2 4 2" xfId="3481"/>
    <cellStyle name="40% - Accent3 2 4 2 2" xfId="3482"/>
    <cellStyle name="40% - Accent3 2 4 2 2 2" xfId="11046"/>
    <cellStyle name="40% - Accent3 2 4 2 2 2 2" xfId="24988"/>
    <cellStyle name="40% - Accent3 2 4 2 2 3" xfId="20807"/>
    <cellStyle name="40% - Accent3 2 4 2 3" xfId="3483"/>
    <cellStyle name="40% - Accent3 2 4 2 3 2" xfId="12815"/>
    <cellStyle name="40% - Accent3 2 4 2 3 2 2" xfId="26527"/>
    <cellStyle name="40% - Accent3 2 4 2 3 3" xfId="20808"/>
    <cellStyle name="40% - Accent3 2 4 2 4" xfId="3484"/>
    <cellStyle name="40% - Accent3 2 4 2 4 2" xfId="15202"/>
    <cellStyle name="40% - Accent3 2 4 2 4 2 2" xfId="28751"/>
    <cellStyle name="40% - Accent3 2 4 2 4 3" xfId="20809"/>
    <cellStyle name="40% - Accent3 2 4 2 5" xfId="3485"/>
    <cellStyle name="40% - Accent3 2 4 2 5 2" xfId="16777"/>
    <cellStyle name="40% - Accent3 2 4 2 5 2 2" xfId="30184"/>
    <cellStyle name="40% - Accent3 2 4 2 5 3" xfId="20810"/>
    <cellStyle name="40% - Accent3 2 4 2 6" xfId="9319"/>
    <cellStyle name="40% - Accent3 2 4 2 6 2" xfId="23794"/>
    <cellStyle name="40% - Accent3 2 4 2 7" xfId="20806"/>
    <cellStyle name="40% - Accent3 2 4 3" xfId="3486"/>
    <cellStyle name="40% - Accent3 2 4 3 2" xfId="3487"/>
    <cellStyle name="40% - Accent3 2 4 3 2 2" xfId="15203"/>
    <cellStyle name="40% - Accent3 2 4 3 2 2 2" xfId="28752"/>
    <cellStyle name="40% - Accent3 2 4 3 2 3" xfId="20812"/>
    <cellStyle name="40% - Accent3 2 4 3 3" xfId="11045"/>
    <cellStyle name="40% - Accent3 2 4 3 3 2" xfId="24987"/>
    <cellStyle name="40% - Accent3 2 4 3 4" xfId="20811"/>
    <cellStyle name="40% - Accent3 2 4 4" xfId="3488"/>
    <cellStyle name="40% - Accent3 2 4 4 2" xfId="12165"/>
    <cellStyle name="40% - Accent3 2 4 4 2 2" xfId="25877"/>
    <cellStyle name="40% - Accent3 2 4 4 3" xfId="20813"/>
    <cellStyle name="40% - Accent3 2 4 5" xfId="3489"/>
    <cellStyle name="40% - Accent3 2 4 5 2" xfId="12814"/>
    <cellStyle name="40% - Accent3 2 4 5 2 2" xfId="26526"/>
    <cellStyle name="40% - Accent3 2 4 5 3" xfId="20814"/>
    <cellStyle name="40% - Accent3 2 4 6" xfId="3490"/>
    <cellStyle name="40% - Accent3 2 4 6 2" xfId="13729"/>
    <cellStyle name="40% - Accent3 2 4 6 2 2" xfId="27278"/>
    <cellStyle name="40% - Accent3 2 4 6 3" xfId="20815"/>
    <cellStyle name="40% - Accent3 2 4 7" xfId="3491"/>
    <cellStyle name="40% - Accent3 2 4 7 2" xfId="14310"/>
    <cellStyle name="40% - Accent3 2 4 7 2 2" xfId="27859"/>
    <cellStyle name="40% - Accent3 2 4 7 3" xfId="20816"/>
    <cellStyle name="40% - Accent3 2 4 8" xfId="3492"/>
    <cellStyle name="40% - Accent3 2 4 8 2" xfId="15201"/>
    <cellStyle name="40% - Accent3 2 4 8 2 2" xfId="28750"/>
    <cellStyle name="40% - Accent3 2 4 8 3" xfId="20817"/>
    <cellStyle name="40% - Accent3 2 4 9" xfId="3493"/>
    <cellStyle name="40% - Accent3 2 4 9 2" xfId="16196"/>
    <cellStyle name="40% - Accent3 2 4 9 2 2" xfId="29603"/>
    <cellStyle name="40% - Accent3 2 4 9 3" xfId="20818"/>
    <cellStyle name="40% - Accent3 2 5" xfId="3494"/>
    <cellStyle name="40% - Accent3 2 5 2" xfId="3495"/>
    <cellStyle name="40% - Accent3 2 5 2 2" xfId="3496"/>
    <cellStyle name="40% - Accent3 2 5 2 2 2" xfId="11048"/>
    <cellStyle name="40% - Accent3 2 5 2 2 2 2" xfId="24990"/>
    <cellStyle name="40% - Accent3 2 5 2 2 3" xfId="20821"/>
    <cellStyle name="40% - Accent3 2 5 2 3" xfId="3497"/>
    <cellStyle name="40% - Accent3 2 5 2 3 2" xfId="12817"/>
    <cellStyle name="40% - Accent3 2 5 2 3 2 2" xfId="26529"/>
    <cellStyle name="40% - Accent3 2 5 2 3 3" xfId="20822"/>
    <cellStyle name="40% - Accent3 2 5 2 4" xfId="3498"/>
    <cellStyle name="40% - Accent3 2 5 2 4 2" xfId="15205"/>
    <cellStyle name="40% - Accent3 2 5 2 4 2 2" xfId="28754"/>
    <cellStyle name="40% - Accent3 2 5 2 4 3" xfId="20823"/>
    <cellStyle name="40% - Accent3 2 5 2 5" xfId="9321"/>
    <cellStyle name="40% - Accent3 2 5 2 5 2" xfId="23796"/>
    <cellStyle name="40% - Accent3 2 5 2 6" xfId="20820"/>
    <cellStyle name="40% - Accent3 2 5 3" xfId="3499"/>
    <cellStyle name="40% - Accent3 2 5 3 2" xfId="11047"/>
    <cellStyle name="40% - Accent3 2 5 3 2 2" xfId="24989"/>
    <cellStyle name="40% - Accent3 2 5 3 3" xfId="20824"/>
    <cellStyle name="40% - Accent3 2 5 4" xfId="3500"/>
    <cellStyle name="40% - Accent3 2 5 4 2" xfId="12816"/>
    <cellStyle name="40% - Accent3 2 5 4 2 2" xfId="26528"/>
    <cellStyle name="40% - Accent3 2 5 4 3" xfId="20825"/>
    <cellStyle name="40% - Accent3 2 5 5" xfId="3501"/>
    <cellStyle name="40% - Accent3 2 5 5 2" xfId="15204"/>
    <cellStyle name="40% - Accent3 2 5 5 2 2" xfId="28753"/>
    <cellStyle name="40% - Accent3 2 5 5 3" xfId="20826"/>
    <cellStyle name="40% - Accent3 2 5 6" xfId="3502"/>
    <cellStyle name="40% - Accent3 2 5 6 2" xfId="17015"/>
    <cellStyle name="40% - Accent3 2 5 6 2 2" xfId="30422"/>
    <cellStyle name="40% - Accent3 2 5 6 3" xfId="20827"/>
    <cellStyle name="40% - Accent3 2 5 7" xfId="9320"/>
    <cellStyle name="40% - Accent3 2 5 7 2" xfId="23795"/>
    <cellStyle name="40% - Accent3 2 5 8" xfId="20819"/>
    <cellStyle name="40% - Accent3 2 6" xfId="3503"/>
    <cellStyle name="40% - Accent3 2 6 2" xfId="3504"/>
    <cellStyle name="40% - Accent3 2 6 2 2" xfId="11049"/>
    <cellStyle name="40% - Accent3 2 6 2 2 2" xfId="24991"/>
    <cellStyle name="40% - Accent3 2 6 2 3" xfId="20829"/>
    <cellStyle name="40% - Accent3 2 6 3" xfId="3505"/>
    <cellStyle name="40% - Accent3 2 6 3 2" xfId="12818"/>
    <cellStyle name="40% - Accent3 2 6 3 2 2" xfId="26530"/>
    <cellStyle name="40% - Accent3 2 6 3 3" xfId="20830"/>
    <cellStyle name="40% - Accent3 2 6 4" xfId="3506"/>
    <cellStyle name="40% - Accent3 2 6 4 2" xfId="15206"/>
    <cellStyle name="40% - Accent3 2 6 4 2 2" xfId="28755"/>
    <cellStyle name="40% - Accent3 2 6 4 3" xfId="20831"/>
    <cellStyle name="40% - Accent3 2 6 5" xfId="3507"/>
    <cellStyle name="40% - Accent3 2 6 5 2" xfId="17124"/>
    <cellStyle name="40% - Accent3 2 6 5 2 2" xfId="30483"/>
    <cellStyle name="40% - Accent3 2 6 5 3" xfId="20832"/>
    <cellStyle name="40% - Accent3 2 6 6" xfId="9322"/>
    <cellStyle name="40% - Accent3 2 6 6 2" xfId="23797"/>
    <cellStyle name="40% - Accent3 2 6 7" xfId="20828"/>
    <cellStyle name="40% - Accent3 2 7" xfId="3508"/>
    <cellStyle name="40% - Accent3 2 7 2" xfId="3509"/>
    <cellStyle name="40% - Accent3 2 7 2 2" xfId="11050"/>
    <cellStyle name="40% - Accent3 2 7 2 2 2" xfId="24992"/>
    <cellStyle name="40% - Accent3 2 7 2 3" xfId="20834"/>
    <cellStyle name="40% - Accent3 2 7 3" xfId="3510"/>
    <cellStyle name="40% - Accent3 2 7 3 2" xfId="12819"/>
    <cellStyle name="40% - Accent3 2 7 3 2 2" xfId="26531"/>
    <cellStyle name="40% - Accent3 2 7 3 3" xfId="20835"/>
    <cellStyle name="40% - Accent3 2 7 4" xfId="3511"/>
    <cellStyle name="40% - Accent3 2 7 4 2" xfId="15207"/>
    <cellStyle name="40% - Accent3 2 7 4 2 2" xfId="28756"/>
    <cellStyle name="40% - Accent3 2 7 4 3" xfId="20836"/>
    <cellStyle name="40% - Accent3 2 7 5" xfId="3512"/>
    <cellStyle name="40% - Accent3 2 7 5 2" xfId="17213"/>
    <cellStyle name="40% - Accent3 2 7 5 2 2" xfId="30572"/>
    <cellStyle name="40% - Accent3 2 7 5 3" xfId="20837"/>
    <cellStyle name="40% - Accent3 2 7 6" xfId="9323"/>
    <cellStyle name="40% - Accent3 2 7 6 2" xfId="23798"/>
    <cellStyle name="40% - Accent3 2 7 7" xfId="20833"/>
    <cellStyle name="40% - Accent3 2 8" xfId="3513"/>
    <cellStyle name="40% - Accent3 2 8 2" xfId="3514"/>
    <cellStyle name="40% - Accent3 2 8 2 2" xfId="12820"/>
    <cellStyle name="40% - Accent3 2 8 2 2 2" xfId="26532"/>
    <cellStyle name="40% - Accent3 2 8 2 3" xfId="20839"/>
    <cellStyle name="40% - Accent3 2 8 3" xfId="3515"/>
    <cellStyle name="40% - Accent3 2 8 3 2" xfId="15208"/>
    <cellStyle name="40% - Accent3 2 8 3 2 2" xfId="28757"/>
    <cellStyle name="40% - Accent3 2 8 3 3" xfId="20840"/>
    <cellStyle name="40% - Accent3 2 8 4" xfId="3516"/>
    <cellStyle name="40% - Accent3 2 8 4 2" xfId="16488"/>
    <cellStyle name="40% - Accent3 2 8 4 2 2" xfId="29895"/>
    <cellStyle name="40% - Accent3 2 8 4 3" xfId="20841"/>
    <cellStyle name="40% - Accent3 2 8 5" xfId="10536"/>
    <cellStyle name="40% - Accent3 2 8 5 2" xfId="24478"/>
    <cellStyle name="40% - Accent3 2 8 6" xfId="20838"/>
    <cellStyle name="40% - Accent3 2 9" xfId="3517"/>
    <cellStyle name="40% - Accent3 2 9 2" xfId="3518"/>
    <cellStyle name="40% - Accent3 2 9 2 2" xfId="12821"/>
    <cellStyle name="40% - Accent3 2 9 2 2 2" xfId="26533"/>
    <cellStyle name="40% - Accent3 2 9 2 3" xfId="20843"/>
    <cellStyle name="40% - Accent3 2 9 3" xfId="3519"/>
    <cellStyle name="40% - Accent3 2 9 3 2" xfId="15209"/>
    <cellStyle name="40% - Accent3 2 9 3 2 2" xfId="28758"/>
    <cellStyle name="40% - Accent3 2 9 3 3" xfId="20844"/>
    <cellStyle name="40% - Accent3 2 9 4" xfId="11032"/>
    <cellStyle name="40% - Accent3 2 9 4 2" xfId="24974"/>
    <cellStyle name="40% - Accent3 2 9 5" xfId="20842"/>
    <cellStyle name="40% - Accent3 20" xfId="3520"/>
    <cellStyle name="40% - Accent3 20 2" xfId="3521"/>
    <cellStyle name="40% - Accent3 20 2 2" xfId="12822"/>
    <cellStyle name="40% - Accent3 20 2 2 2" xfId="26534"/>
    <cellStyle name="40% - Accent3 20 2 3" xfId="20846"/>
    <cellStyle name="40% - Accent3 20 3" xfId="3522"/>
    <cellStyle name="40% - Accent3 20 3 2" xfId="15210"/>
    <cellStyle name="40% - Accent3 20 3 2 2" xfId="28759"/>
    <cellStyle name="40% - Accent3 20 3 3" xfId="20847"/>
    <cellStyle name="40% - Accent3 20 4" xfId="10511"/>
    <cellStyle name="40% - Accent3 20 4 2" xfId="24459"/>
    <cellStyle name="40% - Accent3 20 5" xfId="20845"/>
    <cellStyle name="40% - Accent3 21" xfId="3523"/>
    <cellStyle name="40% - Accent3 21 2" xfId="3524"/>
    <cellStyle name="40% - Accent3 21 2 2" xfId="12823"/>
    <cellStyle name="40% - Accent3 21 2 2 2" xfId="26535"/>
    <cellStyle name="40% - Accent3 21 2 3" xfId="20849"/>
    <cellStyle name="40% - Accent3 21 3" xfId="3525"/>
    <cellStyle name="40% - Accent3 21 3 2" xfId="15211"/>
    <cellStyle name="40% - Accent3 21 3 2 2" xfId="28760"/>
    <cellStyle name="40% - Accent3 21 3 3" xfId="20850"/>
    <cellStyle name="40% - Accent3 21 4" xfId="11021"/>
    <cellStyle name="40% - Accent3 21 4 2" xfId="24963"/>
    <cellStyle name="40% - Accent3 21 5" xfId="20848"/>
    <cellStyle name="40% - Accent3 22" xfId="3526"/>
    <cellStyle name="40% - Accent3 22 2" xfId="11747"/>
    <cellStyle name="40% - Accent3 22 2 2" xfId="25462"/>
    <cellStyle name="40% - Accent3 22 3" xfId="20851"/>
    <cellStyle name="40% - Accent3 23" xfId="3527"/>
    <cellStyle name="40% - Accent3 23 2" xfId="12494"/>
    <cellStyle name="40% - Accent3 23 2 2" xfId="26206"/>
    <cellStyle name="40% - Accent3 23 3" xfId="20852"/>
    <cellStyle name="40% - Accent3 24" xfId="3528"/>
    <cellStyle name="40% - Accent3 24 2" xfId="13386"/>
    <cellStyle name="40% - Accent3 24 2 2" xfId="26935"/>
    <cellStyle name="40% - Accent3 24 3" xfId="20853"/>
    <cellStyle name="40% - Accent3 25" xfId="3529"/>
    <cellStyle name="40% - Accent3 25 2" xfId="13967"/>
    <cellStyle name="40% - Accent3 25 2 2" xfId="27516"/>
    <cellStyle name="40% - Accent3 25 3" xfId="20854"/>
    <cellStyle name="40% - Accent3 26" xfId="3530"/>
    <cellStyle name="40% - Accent3 26 2" xfId="15168"/>
    <cellStyle name="40% - Accent3 26 2 2" xfId="28717"/>
    <cellStyle name="40% - Accent3 26 3" xfId="20855"/>
    <cellStyle name="40% - Accent3 27" xfId="3531"/>
    <cellStyle name="40% - Accent3 27 2" xfId="15833"/>
    <cellStyle name="40% - Accent3 27 2 2" xfId="29240"/>
    <cellStyle name="40% - Accent3 27 3" xfId="20856"/>
    <cellStyle name="40% - Accent3 28" xfId="3532"/>
    <cellStyle name="40% - Accent3 28 2" xfId="15853"/>
    <cellStyle name="40% - Accent3 28 2 2" xfId="29260"/>
    <cellStyle name="40% - Accent3 28 3" xfId="20857"/>
    <cellStyle name="40% - Accent3 29" xfId="3533"/>
    <cellStyle name="40% - Accent3 29 2" xfId="9294"/>
    <cellStyle name="40% - Accent3 29 2 2" xfId="23769"/>
    <cellStyle name="40% - Accent3 29 3" xfId="20858"/>
    <cellStyle name="40% - Accent3 3" xfId="3534"/>
    <cellStyle name="40% - Accent3 3 10" xfId="3535"/>
    <cellStyle name="40% - Accent3 3 10 2" xfId="14044"/>
    <cellStyle name="40% - Accent3 3 10 2 2" xfId="27593"/>
    <cellStyle name="40% - Accent3 3 10 3" xfId="20860"/>
    <cellStyle name="40% - Accent3 3 11" xfId="3536"/>
    <cellStyle name="40% - Accent3 3 11 2" xfId="15212"/>
    <cellStyle name="40% - Accent3 3 11 2 2" xfId="28761"/>
    <cellStyle name="40% - Accent3 3 11 3" xfId="20861"/>
    <cellStyle name="40% - Accent3 3 12" xfId="3537"/>
    <cellStyle name="40% - Accent3 3 12 2" xfId="15930"/>
    <cellStyle name="40% - Accent3 3 12 2 2" xfId="29337"/>
    <cellStyle name="40% - Accent3 3 12 3" xfId="20862"/>
    <cellStyle name="40% - Accent3 3 13" xfId="9324"/>
    <cellStyle name="40% - Accent3 3 13 2" xfId="23799"/>
    <cellStyle name="40% - Accent3 3 14" xfId="20859"/>
    <cellStyle name="40% - Accent3 3 2" xfId="3538"/>
    <cellStyle name="40% - Accent3 3 2 10" xfId="3539"/>
    <cellStyle name="40% - Accent3 3 2 10 2" xfId="16073"/>
    <cellStyle name="40% - Accent3 3 2 10 2 2" xfId="29480"/>
    <cellStyle name="40% - Accent3 3 2 10 3" xfId="20864"/>
    <cellStyle name="40% - Accent3 3 2 11" xfId="9325"/>
    <cellStyle name="40% - Accent3 3 2 11 2" xfId="23800"/>
    <cellStyle name="40% - Accent3 3 2 12" xfId="20863"/>
    <cellStyle name="40% - Accent3 3 2 2" xfId="3540"/>
    <cellStyle name="40% - Accent3 3 2 2 10" xfId="9326"/>
    <cellStyle name="40% - Accent3 3 2 2 10 2" xfId="23801"/>
    <cellStyle name="40% - Accent3 3 2 2 11" xfId="20865"/>
    <cellStyle name="40% - Accent3 3 2 2 2" xfId="3541"/>
    <cellStyle name="40% - Accent3 3 2 2 2 2" xfId="3542"/>
    <cellStyle name="40% - Accent3 3 2 2 2 2 2" xfId="11054"/>
    <cellStyle name="40% - Accent3 3 2 2 2 2 2 2" xfId="24996"/>
    <cellStyle name="40% - Accent3 3 2 2 2 2 3" xfId="20867"/>
    <cellStyle name="40% - Accent3 3 2 2 2 3" xfId="3543"/>
    <cellStyle name="40% - Accent3 3 2 2 2 3 2" xfId="12827"/>
    <cellStyle name="40% - Accent3 3 2 2 2 3 2 2" xfId="26539"/>
    <cellStyle name="40% - Accent3 3 2 2 2 3 3" xfId="20868"/>
    <cellStyle name="40% - Accent3 3 2 2 2 4" xfId="3544"/>
    <cellStyle name="40% - Accent3 3 2 2 2 4 2" xfId="15215"/>
    <cellStyle name="40% - Accent3 3 2 2 2 4 2 2" xfId="28764"/>
    <cellStyle name="40% - Accent3 3 2 2 2 4 3" xfId="20869"/>
    <cellStyle name="40% - Accent3 3 2 2 2 5" xfId="3545"/>
    <cellStyle name="40% - Accent3 3 2 2 2 5 2" xfId="16943"/>
    <cellStyle name="40% - Accent3 3 2 2 2 5 2 2" xfId="30350"/>
    <cellStyle name="40% - Accent3 3 2 2 2 5 3" xfId="20870"/>
    <cellStyle name="40% - Accent3 3 2 2 2 6" xfId="9327"/>
    <cellStyle name="40% - Accent3 3 2 2 2 6 2" xfId="23802"/>
    <cellStyle name="40% - Accent3 3 2 2 2 7" xfId="20866"/>
    <cellStyle name="40% - Accent3 3 2 2 3" xfId="3546"/>
    <cellStyle name="40% - Accent3 3 2 2 3 2" xfId="3547"/>
    <cellStyle name="40% - Accent3 3 2 2 3 2 2" xfId="15216"/>
    <cellStyle name="40% - Accent3 3 2 2 3 2 2 2" xfId="28765"/>
    <cellStyle name="40% - Accent3 3 2 2 3 2 3" xfId="20872"/>
    <cellStyle name="40% - Accent3 3 2 2 3 3" xfId="11053"/>
    <cellStyle name="40% - Accent3 3 2 2 3 3 2" xfId="24995"/>
    <cellStyle name="40% - Accent3 3 2 2 3 4" xfId="20871"/>
    <cellStyle name="40% - Accent3 3 2 2 4" xfId="3548"/>
    <cellStyle name="40% - Accent3 3 2 2 4 2" xfId="12331"/>
    <cellStyle name="40% - Accent3 3 2 2 4 2 2" xfId="26043"/>
    <cellStyle name="40% - Accent3 3 2 2 4 3" xfId="20873"/>
    <cellStyle name="40% - Accent3 3 2 2 5" xfId="3549"/>
    <cellStyle name="40% - Accent3 3 2 2 5 2" xfId="12826"/>
    <cellStyle name="40% - Accent3 3 2 2 5 2 2" xfId="26538"/>
    <cellStyle name="40% - Accent3 3 2 2 5 3" xfId="20874"/>
    <cellStyle name="40% - Accent3 3 2 2 6" xfId="3550"/>
    <cellStyle name="40% - Accent3 3 2 2 6 2" xfId="13895"/>
    <cellStyle name="40% - Accent3 3 2 2 6 2 2" xfId="27444"/>
    <cellStyle name="40% - Accent3 3 2 2 6 3" xfId="20875"/>
    <cellStyle name="40% - Accent3 3 2 2 7" xfId="3551"/>
    <cellStyle name="40% - Accent3 3 2 2 7 2" xfId="14476"/>
    <cellStyle name="40% - Accent3 3 2 2 7 2 2" xfId="28025"/>
    <cellStyle name="40% - Accent3 3 2 2 7 3" xfId="20876"/>
    <cellStyle name="40% - Accent3 3 2 2 8" xfId="3552"/>
    <cellStyle name="40% - Accent3 3 2 2 8 2" xfId="15214"/>
    <cellStyle name="40% - Accent3 3 2 2 8 2 2" xfId="28763"/>
    <cellStyle name="40% - Accent3 3 2 2 8 3" xfId="20877"/>
    <cellStyle name="40% - Accent3 3 2 2 9" xfId="3553"/>
    <cellStyle name="40% - Accent3 3 2 2 9 2" xfId="16362"/>
    <cellStyle name="40% - Accent3 3 2 2 9 2 2" xfId="29769"/>
    <cellStyle name="40% - Accent3 3 2 2 9 3" xfId="20878"/>
    <cellStyle name="40% - Accent3 3 2 3" xfId="3554"/>
    <cellStyle name="40% - Accent3 3 2 3 2" xfId="3555"/>
    <cellStyle name="40% - Accent3 3 2 3 2 2" xfId="11055"/>
    <cellStyle name="40% - Accent3 3 2 3 2 2 2" xfId="24997"/>
    <cellStyle name="40% - Accent3 3 2 3 2 3" xfId="20880"/>
    <cellStyle name="40% - Accent3 3 2 3 3" xfId="3556"/>
    <cellStyle name="40% - Accent3 3 2 3 3 2" xfId="12828"/>
    <cellStyle name="40% - Accent3 3 2 3 3 2 2" xfId="26540"/>
    <cellStyle name="40% - Accent3 3 2 3 3 3" xfId="20881"/>
    <cellStyle name="40% - Accent3 3 2 3 4" xfId="3557"/>
    <cellStyle name="40% - Accent3 3 2 3 4 2" xfId="15217"/>
    <cellStyle name="40% - Accent3 3 2 3 4 2 2" xfId="28766"/>
    <cellStyle name="40% - Accent3 3 2 3 4 3" xfId="20882"/>
    <cellStyle name="40% - Accent3 3 2 3 5" xfId="3558"/>
    <cellStyle name="40% - Accent3 3 2 3 5 2" xfId="16654"/>
    <cellStyle name="40% - Accent3 3 2 3 5 2 2" xfId="30061"/>
    <cellStyle name="40% - Accent3 3 2 3 5 3" xfId="20883"/>
    <cellStyle name="40% - Accent3 3 2 3 6" xfId="9328"/>
    <cellStyle name="40% - Accent3 3 2 3 6 2" xfId="23803"/>
    <cellStyle name="40% - Accent3 3 2 3 7" xfId="20879"/>
    <cellStyle name="40% - Accent3 3 2 4" xfId="3559"/>
    <cellStyle name="40% - Accent3 3 2 4 2" xfId="3560"/>
    <cellStyle name="40% - Accent3 3 2 4 2 2" xfId="15218"/>
    <cellStyle name="40% - Accent3 3 2 4 2 2 2" xfId="28767"/>
    <cellStyle name="40% - Accent3 3 2 4 2 3" xfId="20885"/>
    <cellStyle name="40% - Accent3 3 2 4 3" xfId="11052"/>
    <cellStyle name="40% - Accent3 3 2 4 3 2" xfId="24994"/>
    <cellStyle name="40% - Accent3 3 2 4 4" xfId="20884"/>
    <cellStyle name="40% - Accent3 3 2 5" xfId="3561"/>
    <cellStyle name="40% - Accent3 3 2 5 2" xfId="12031"/>
    <cellStyle name="40% - Accent3 3 2 5 2 2" xfId="25746"/>
    <cellStyle name="40% - Accent3 3 2 5 3" xfId="20886"/>
    <cellStyle name="40% - Accent3 3 2 6" xfId="3562"/>
    <cellStyle name="40% - Accent3 3 2 6 2" xfId="12825"/>
    <cellStyle name="40% - Accent3 3 2 6 2 2" xfId="26537"/>
    <cellStyle name="40% - Accent3 3 2 6 3" xfId="20887"/>
    <cellStyle name="40% - Accent3 3 2 7" xfId="3563"/>
    <cellStyle name="40% - Accent3 3 2 7 2" xfId="13606"/>
    <cellStyle name="40% - Accent3 3 2 7 2 2" xfId="27155"/>
    <cellStyle name="40% - Accent3 3 2 7 3" xfId="20888"/>
    <cellStyle name="40% - Accent3 3 2 8" xfId="3564"/>
    <cellStyle name="40% - Accent3 3 2 8 2" xfId="14187"/>
    <cellStyle name="40% - Accent3 3 2 8 2 2" xfId="27736"/>
    <cellStyle name="40% - Accent3 3 2 8 3" xfId="20889"/>
    <cellStyle name="40% - Accent3 3 2 9" xfId="3565"/>
    <cellStyle name="40% - Accent3 3 2 9 2" xfId="15213"/>
    <cellStyle name="40% - Accent3 3 2 9 2 2" xfId="28762"/>
    <cellStyle name="40% - Accent3 3 2 9 3" xfId="20890"/>
    <cellStyle name="40% - Accent3 3 3" xfId="3566"/>
    <cellStyle name="40% - Accent3 3 3 10" xfId="9329"/>
    <cellStyle name="40% - Accent3 3 3 10 2" xfId="23804"/>
    <cellStyle name="40% - Accent3 3 3 11" xfId="20891"/>
    <cellStyle name="40% - Accent3 3 3 2" xfId="3567"/>
    <cellStyle name="40% - Accent3 3 3 2 2" xfId="3568"/>
    <cellStyle name="40% - Accent3 3 3 2 2 2" xfId="11057"/>
    <cellStyle name="40% - Accent3 3 3 2 2 2 2" xfId="24999"/>
    <cellStyle name="40% - Accent3 3 3 2 2 3" xfId="20893"/>
    <cellStyle name="40% - Accent3 3 3 2 3" xfId="3569"/>
    <cellStyle name="40% - Accent3 3 3 2 3 2" xfId="12830"/>
    <cellStyle name="40% - Accent3 3 3 2 3 2 2" xfId="26542"/>
    <cellStyle name="40% - Accent3 3 3 2 3 3" xfId="20894"/>
    <cellStyle name="40% - Accent3 3 3 2 4" xfId="3570"/>
    <cellStyle name="40% - Accent3 3 3 2 4 2" xfId="15220"/>
    <cellStyle name="40% - Accent3 3 3 2 4 2 2" xfId="28769"/>
    <cellStyle name="40% - Accent3 3 3 2 4 3" xfId="20895"/>
    <cellStyle name="40% - Accent3 3 3 2 5" xfId="3571"/>
    <cellStyle name="40% - Accent3 3 3 2 5 2" xfId="16800"/>
    <cellStyle name="40% - Accent3 3 3 2 5 2 2" xfId="30207"/>
    <cellStyle name="40% - Accent3 3 3 2 5 3" xfId="20896"/>
    <cellStyle name="40% - Accent3 3 3 2 6" xfId="9330"/>
    <cellStyle name="40% - Accent3 3 3 2 6 2" xfId="23805"/>
    <cellStyle name="40% - Accent3 3 3 2 7" xfId="20892"/>
    <cellStyle name="40% - Accent3 3 3 3" xfId="3572"/>
    <cellStyle name="40% - Accent3 3 3 3 2" xfId="3573"/>
    <cellStyle name="40% - Accent3 3 3 3 2 2" xfId="15221"/>
    <cellStyle name="40% - Accent3 3 3 3 2 2 2" xfId="28770"/>
    <cellStyle name="40% - Accent3 3 3 3 2 3" xfId="20898"/>
    <cellStyle name="40% - Accent3 3 3 3 3" xfId="11056"/>
    <cellStyle name="40% - Accent3 3 3 3 3 2" xfId="24998"/>
    <cellStyle name="40% - Accent3 3 3 3 4" xfId="20897"/>
    <cellStyle name="40% - Accent3 3 3 4" xfId="3574"/>
    <cellStyle name="40% - Accent3 3 3 4 2" xfId="12188"/>
    <cellStyle name="40% - Accent3 3 3 4 2 2" xfId="25900"/>
    <cellStyle name="40% - Accent3 3 3 4 3" xfId="20899"/>
    <cellStyle name="40% - Accent3 3 3 5" xfId="3575"/>
    <cellStyle name="40% - Accent3 3 3 5 2" xfId="12829"/>
    <cellStyle name="40% - Accent3 3 3 5 2 2" xfId="26541"/>
    <cellStyle name="40% - Accent3 3 3 5 3" xfId="20900"/>
    <cellStyle name="40% - Accent3 3 3 6" xfId="3576"/>
    <cellStyle name="40% - Accent3 3 3 6 2" xfId="13752"/>
    <cellStyle name="40% - Accent3 3 3 6 2 2" xfId="27301"/>
    <cellStyle name="40% - Accent3 3 3 6 3" xfId="20901"/>
    <cellStyle name="40% - Accent3 3 3 7" xfId="3577"/>
    <cellStyle name="40% - Accent3 3 3 7 2" xfId="14333"/>
    <cellStyle name="40% - Accent3 3 3 7 2 2" xfId="27882"/>
    <cellStyle name="40% - Accent3 3 3 7 3" xfId="20902"/>
    <cellStyle name="40% - Accent3 3 3 8" xfId="3578"/>
    <cellStyle name="40% - Accent3 3 3 8 2" xfId="15219"/>
    <cellStyle name="40% - Accent3 3 3 8 2 2" xfId="28768"/>
    <cellStyle name="40% - Accent3 3 3 8 3" xfId="20903"/>
    <cellStyle name="40% - Accent3 3 3 9" xfId="3579"/>
    <cellStyle name="40% - Accent3 3 3 9 2" xfId="16219"/>
    <cellStyle name="40% - Accent3 3 3 9 2 2" xfId="29626"/>
    <cellStyle name="40% - Accent3 3 3 9 3" xfId="20904"/>
    <cellStyle name="40% - Accent3 3 4" xfId="3580"/>
    <cellStyle name="40% - Accent3 3 4 2" xfId="3581"/>
    <cellStyle name="40% - Accent3 3 4 2 2" xfId="11058"/>
    <cellStyle name="40% - Accent3 3 4 2 2 2" xfId="25000"/>
    <cellStyle name="40% - Accent3 3 4 2 3" xfId="20906"/>
    <cellStyle name="40% - Accent3 3 4 3" xfId="3582"/>
    <cellStyle name="40% - Accent3 3 4 3 2" xfId="12831"/>
    <cellStyle name="40% - Accent3 3 4 3 2 2" xfId="26543"/>
    <cellStyle name="40% - Accent3 3 4 3 3" xfId="20907"/>
    <cellStyle name="40% - Accent3 3 4 4" xfId="3583"/>
    <cellStyle name="40% - Accent3 3 4 4 2" xfId="15222"/>
    <cellStyle name="40% - Accent3 3 4 4 2 2" xfId="28771"/>
    <cellStyle name="40% - Accent3 3 4 4 3" xfId="20908"/>
    <cellStyle name="40% - Accent3 3 4 5" xfId="3584"/>
    <cellStyle name="40% - Accent3 3 4 5 2" xfId="17147"/>
    <cellStyle name="40% - Accent3 3 4 5 2 2" xfId="30506"/>
    <cellStyle name="40% - Accent3 3 4 5 3" xfId="20909"/>
    <cellStyle name="40% - Accent3 3 4 6" xfId="9331"/>
    <cellStyle name="40% - Accent3 3 4 6 2" xfId="23806"/>
    <cellStyle name="40% - Accent3 3 4 7" xfId="20905"/>
    <cellStyle name="40% - Accent3 3 5" xfId="3585"/>
    <cellStyle name="40% - Accent3 3 5 2" xfId="3586"/>
    <cellStyle name="40% - Accent3 3 5 2 2" xfId="11059"/>
    <cellStyle name="40% - Accent3 3 5 2 2 2" xfId="25001"/>
    <cellStyle name="40% - Accent3 3 5 2 3" xfId="20911"/>
    <cellStyle name="40% - Accent3 3 5 3" xfId="3587"/>
    <cellStyle name="40% - Accent3 3 5 3 2" xfId="12832"/>
    <cellStyle name="40% - Accent3 3 5 3 2 2" xfId="26544"/>
    <cellStyle name="40% - Accent3 3 5 3 3" xfId="20912"/>
    <cellStyle name="40% - Accent3 3 5 4" xfId="3588"/>
    <cellStyle name="40% - Accent3 3 5 4 2" xfId="15223"/>
    <cellStyle name="40% - Accent3 3 5 4 2 2" xfId="28772"/>
    <cellStyle name="40% - Accent3 3 5 4 3" xfId="20913"/>
    <cellStyle name="40% - Accent3 3 5 5" xfId="3589"/>
    <cellStyle name="40% - Accent3 3 5 5 2" xfId="17236"/>
    <cellStyle name="40% - Accent3 3 5 5 2 2" xfId="30595"/>
    <cellStyle name="40% - Accent3 3 5 5 3" xfId="20914"/>
    <cellStyle name="40% - Accent3 3 5 6" xfId="9332"/>
    <cellStyle name="40% - Accent3 3 5 6 2" xfId="23807"/>
    <cellStyle name="40% - Accent3 3 5 7" xfId="20910"/>
    <cellStyle name="40% - Accent3 3 6" xfId="3590"/>
    <cellStyle name="40% - Accent3 3 6 2" xfId="3591"/>
    <cellStyle name="40% - Accent3 3 6 2 2" xfId="15224"/>
    <cellStyle name="40% - Accent3 3 6 2 2 2" xfId="28773"/>
    <cellStyle name="40% - Accent3 3 6 2 3" xfId="20916"/>
    <cellStyle name="40% - Accent3 3 6 3" xfId="3592"/>
    <cellStyle name="40% - Accent3 3 6 3 2" xfId="16511"/>
    <cellStyle name="40% - Accent3 3 6 3 2 2" xfId="29918"/>
    <cellStyle name="40% - Accent3 3 6 3 3" xfId="20917"/>
    <cellStyle name="40% - Accent3 3 6 4" xfId="11051"/>
    <cellStyle name="40% - Accent3 3 6 4 2" xfId="24993"/>
    <cellStyle name="40% - Accent3 3 6 5" xfId="20915"/>
    <cellStyle name="40% - Accent3 3 7" xfId="3593"/>
    <cellStyle name="40% - Accent3 3 7 2" xfId="11883"/>
    <cellStyle name="40% - Accent3 3 7 2 2" xfId="25598"/>
    <cellStyle name="40% - Accent3 3 7 3" xfId="20918"/>
    <cellStyle name="40% - Accent3 3 8" xfId="3594"/>
    <cellStyle name="40% - Accent3 3 8 2" xfId="12824"/>
    <cellStyle name="40% - Accent3 3 8 2 2" xfId="26536"/>
    <cellStyle name="40% - Accent3 3 8 3" xfId="20919"/>
    <cellStyle name="40% - Accent3 3 9" xfId="3595"/>
    <cellStyle name="40% - Accent3 3 9 2" xfId="13463"/>
    <cellStyle name="40% - Accent3 3 9 2 2" xfId="27012"/>
    <cellStyle name="40% - Accent3 3 9 3" xfId="20920"/>
    <cellStyle name="40% - Accent3 30" xfId="23254"/>
    <cellStyle name="40% - Accent3 4" xfId="3596"/>
    <cellStyle name="40% - Accent3 4 10" xfId="3597"/>
    <cellStyle name="40% - Accent3 4 10 2" xfId="15225"/>
    <cellStyle name="40% - Accent3 4 10 2 2" xfId="28774"/>
    <cellStyle name="40% - Accent3 4 10 3" xfId="20922"/>
    <cellStyle name="40% - Accent3 4 11" xfId="3598"/>
    <cellStyle name="40% - Accent3 4 11 2" xfId="15887"/>
    <cellStyle name="40% - Accent3 4 11 2 2" xfId="29294"/>
    <cellStyle name="40% - Accent3 4 11 3" xfId="20923"/>
    <cellStyle name="40% - Accent3 4 12" xfId="9333"/>
    <cellStyle name="40% - Accent3 4 12 2" xfId="23808"/>
    <cellStyle name="40% - Accent3 4 13" xfId="20921"/>
    <cellStyle name="40% - Accent3 4 2" xfId="3599"/>
    <cellStyle name="40% - Accent3 4 2 10" xfId="3600"/>
    <cellStyle name="40% - Accent3 4 2 10 2" xfId="16030"/>
    <cellStyle name="40% - Accent3 4 2 10 2 2" xfId="29437"/>
    <cellStyle name="40% - Accent3 4 2 10 3" xfId="20925"/>
    <cellStyle name="40% - Accent3 4 2 11" xfId="9334"/>
    <cellStyle name="40% - Accent3 4 2 11 2" xfId="23809"/>
    <cellStyle name="40% - Accent3 4 2 12" xfId="20924"/>
    <cellStyle name="40% - Accent3 4 2 2" xfId="3601"/>
    <cellStyle name="40% - Accent3 4 2 2 10" xfId="9335"/>
    <cellStyle name="40% - Accent3 4 2 2 10 2" xfId="23810"/>
    <cellStyle name="40% - Accent3 4 2 2 11" xfId="20926"/>
    <cellStyle name="40% - Accent3 4 2 2 2" xfId="3602"/>
    <cellStyle name="40% - Accent3 4 2 2 2 2" xfId="3603"/>
    <cellStyle name="40% - Accent3 4 2 2 2 2 2" xfId="11063"/>
    <cellStyle name="40% - Accent3 4 2 2 2 2 2 2" xfId="25005"/>
    <cellStyle name="40% - Accent3 4 2 2 2 2 3" xfId="20928"/>
    <cellStyle name="40% - Accent3 4 2 2 2 3" xfId="3604"/>
    <cellStyle name="40% - Accent3 4 2 2 2 3 2" xfId="12836"/>
    <cellStyle name="40% - Accent3 4 2 2 2 3 2 2" xfId="26548"/>
    <cellStyle name="40% - Accent3 4 2 2 2 3 3" xfId="20929"/>
    <cellStyle name="40% - Accent3 4 2 2 2 4" xfId="3605"/>
    <cellStyle name="40% - Accent3 4 2 2 2 4 2" xfId="15228"/>
    <cellStyle name="40% - Accent3 4 2 2 2 4 2 2" xfId="28777"/>
    <cellStyle name="40% - Accent3 4 2 2 2 4 3" xfId="20930"/>
    <cellStyle name="40% - Accent3 4 2 2 2 5" xfId="3606"/>
    <cellStyle name="40% - Accent3 4 2 2 2 5 2" xfId="16900"/>
    <cellStyle name="40% - Accent3 4 2 2 2 5 2 2" xfId="30307"/>
    <cellStyle name="40% - Accent3 4 2 2 2 5 3" xfId="20931"/>
    <cellStyle name="40% - Accent3 4 2 2 2 6" xfId="9336"/>
    <cellStyle name="40% - Accent3 4 2 2 2 6 2" xfId="23811"/>
    <cellStyle name="40% - Accent3 4 2 2 2 7" xfId="20927"/>
    <cellStyle name="40% - Accent3 4 2 2 3" xfId="3607"/>
    <cellStyle name="40% - Accent3 4 2 2 3 2" xfId="3608"/>
    <cellStyle name="40% - Accent3 4 2 2 3 2 2" xfId="15229"/>
    <cellStyle name="40% - Accent3 4 2 2 3 2 2 2" xfId="28778"/>
    <cellStyle name="40% - Accent3 4 2 2 3 2 3" xfId="20933"/>
    <cellStyle name="40% - Accent3 4 2 2 3 3" xfId="11062"/>
    <cellStyle name="40% - Accent3 4 2 2 3 3 2" xfId="25004"/>
    <cellStyle name="40% - Accent3 4 2 2 3 4" xfId="20932"/>
    <cellStyle name="40% - Accent3 4 2 2 4" xfId="3609"/>
    <cellStyle name="40% - Accent3 4 2 2 4 2" xfId="12288"/>
    <cellStyle name="40% - Accent3 4 2 2 4 2 2" xfId="26000"/>
    <cellStyle name="40% - Accent3 4 2 2 4 3" xfId="20934"/>
    <cellStyle name="40% - Accent3 4 2 2 5" xfId="3610"/>
    <cellStyle name="40% - Accent3 4 2 2 5 2" xfId="12835"/>
    <cellStyle name="40% - Accent3 4 2 2 5 2 2" xfId="26547"/>
    <cellStyle name="40% - Accent3 4 2 2 5 3" xfId="20935"/>
    <cellStyle name="40% - Accent3 4 2 2 6" xfId="3611"/>
    <cellStyle name="40% - Accent3 4 2 2 6 2" xfId="13852"/>
    <cellStyle name="40% - Accent3 4 2 2 6 2 2" xfId="27401"/>
    <cellStyle name="40% - Accent3 4 2 2 6 3" xfId="20936"/>
    <cellStyle name="40% - Accent3 4 2 2 7" xfId="3612"/>
    <cellStyle name="40% - Accent3 4 2 2 7 2" xfId="14433"/>
    <cellStyle name="40% - Accent3 4 2 2 7 2 2" xfId="27982"/>
    <cellStyle name="40% - Accent3 4 2 2 7 3" xfId="20937"/>
    <cellStyle name="40% - Accent3 4 2 2 8" xfId="3613"/>
    <cellStyle name="40% - Accent3 4 2 2 8 2" xfId="15227"/>
    <cellStyle name="40% - Accent3 4 2 2 8 2 2" xfId="28776"/>
    <cellStyle name="40% - Accent3 4 2 2 8 3" xfId="20938"/>
    <cellStyle name="40% - Accent3 4 2 2 9" xfId="3614"/>
    <cellStyle name="40% - Accent3 4 2 2 9 2" xfId="16319"/>
    <cellStyle name="40% - Accent3 4 2 2 9 2 2" xfId="29726"/>
    <cellStyle name="40% - Accent3 4 2 2 9 3" xfId="20939"/>
    <cellStyle name="40% - Accent3 4 2 3" xfId="3615"/>
    <cellStyle name="40% - Accent3 4 2 3 2" xfId="3616"/>
    <cellStyle name="40% - Accent3 4 2 3 2 2" xfId="11064"/>
    <cellStyle name="40% - Accent3 4 2 3 2 2 2" xfId="25006"/>
    <cellStyle name="40% - Accent3 4 2 3 2 3" xfId="20941"/>
    <cellStyle name="40% - Accent3 4 2 3 3" xfId="3617"/>
    <cellStyle name="40% - Accent3 4 2 3 3 2" xfId="12837"/>
    <cellStyle name="40% - Accent3 4 2 3 3 2 2" xfId="26549"/>
    <cellStyle name="40% - Accent3 4 2 3 3 3" xfId="20942"/>
    <cellStyle name="40% - Accent3 4 2 3 4" xfId="3618"/>
    <cellStyle name="40% - Accent3 4 2 3 4 2" xfId="15230"/>
    <cellStyle name="40% - Accent3 4 2 3 4 2 2" xfId="28779"/>
    <cellStyle name="40% - Accent3 4 2 3 4 3" xfId="20943"/>
    <cellStyle name="40% - Accent3 4 2 3 5" xfId="3619"/>
    <cellStyle name="40% - Accent3 4 2 3 5 2" xfId="16611"/>
    <cellStyle name="40% - Accent3 4 2 3 5 2 2" xfId="30018"/>
    <cellStyle name="40% - Accent3 4 2 3 5 3" xfId="20944"/>
    <cellStyle name="40% - Accent3 4 2 3 6" xfId="9337"/>
    <cellStyle name="40% - Accent3 4 2 3 6 2" xfId="23812"/>
    <cellStyle name="40% - Accent3 4 2 3 7" xfId="20940"/>
    <cellStyle name="40% - Accent3 4 2 4" xfId="3620"/>
    <cellStyle name="40% - Accent3 4 2 4 2" xfId="3621"/>
    <cellStyle name="40% - Accent3 4 2 4 2 2" xfId="15231"/>
    <cellStyle name="40% - Accent3 4 2 4 2 2 2" xfId="28780"/>
    <cellStyle name="40% - Accent3 4 2 4 2 3" xfId="20946"/>
    <cellStyle name="40% - Accent3 4 2 4 3" xfId="11061"/>
    <cellStyle name="40% - Accent3 4 2 4 3 2" xfId="25003"/>
    <cellStyle name="40% - Accent3 4 2 4 4" xfId="20945"/>
    <cellStyle name="40% - Accent3 4 2 5" xfId="3622"/>
    <cellStyle name="40% - Accent3 4 2 5 2" xfId="11988"/>
    <cellStyle name="40% - Accent3 4 2 5 2 2" xfId="25703"/>
    <cellStyle name="40% - Accent3 4 2 5 3" xfId="20947"/>
    <cellStyle name="40% - Accent3 4 2 6" xfId="3623"/>
    <cellStyle name="40% - Accent3 4 2 6 2" xfId="12834"/>
    <cellStyle name="40% - Accent3 4 2 6 2 2" xfId="26546"/>
    <cellStyle name="40% - Accent3 4 2 6 3" xfId="20948"/>
    <cellStyle name="40% - Accent3 4 2 7" xfId="3624"/>
    <cellStyle name="40% - Accent3 4 2 7 2" xfId="13563"/>
    <cellStyle name="40% - Accent3 4 2 7 2 2" xfId="27112"/>
    <cellStyle name="40% - Accent3 4 2 7 3" xfId="20949"/>
    <cellStyle name="40% - Accent3 4 2 8" xfId="3625"/>
    <cellStyle name="40% - Accent3 4 2 8 2" xfId="14144"/>
    <cellStyle name="40% - Accent3 4 2 8 2 2" xfId="27693"/>
    <cellStyle name="40% - Accent3 4 2 8 3" xfId="20950"/>
    <cellStyle name="40% - Accent3 4 2 9" xfId="3626"/>
    <cellStyle name="40% - Accent3 4 2 9 2" xfId="15226"/>
    <cellStyle name="40% - Accent3 4 2 9 2 2" xfId="28775"/>
    <cellStyle name="40% - Accent3 4 2 9 3" xfId="20951"/>
    <cellStyle name="40% - Accent3 4 3" xfId="3627"/>
    <cellStyle name="40% - Accent3 4 3 10" xfId="9338"/>
    <cellStyle name="40% - Accent3 4 3 10 2" xfId="23813"/>
    <cellStyle name="40% - Accent3 4 3 11" xfId="20952"/>
    <cellStyle name="40% - Accent3 4 3 2" xfId="3628"/>
    <cellStyle name="40% - Accent3 4 3 2 2" xfId="3629"/>
    <cellStyle name="40% - Accent3 4 3 2 2 2" xfId="11066"/>
    <cellStyle name="40% - Accent3 4 3 2 2 2 2" xfId="25008"/>
    <cellStyle name="40% - Accent3 4 3 2 2 3" xfId="20954"/>
    <cellStyle name="40% - Accent3 4 3 2 3" xfId="3630"/>
    <cellStyle name="40% - Accent3 4 3 2 3 2" xfId="12839"/>
    <cellStyle name="40% - Accent3 4 3 2 3 2 2" xfId="26551"/>
    <cellStyle name="40% - Accent3 4 3 2 3 3" xfId="20955"/>
    <cellStyle name="40% - Accent3 4 3 2 4" xfId="3631"/>
    <cellStyle name="40% - Accent3 4 3 2 4 2" xfId="15233"/>
    <cellStyle name="40% - Accent3 4 3 2 4 2 2" xfId="28782"/>
    <cellStyle name="40% - Accent3 4 3 2 4 3" xfId="20956"/>
    <cellStyle name="40% - Accent3 4 3 2 5" xfId="3632"/>
    <cellStyle name="40% - Accent3 4 3 2 5 2" xfId="16760"/>
    <cellStyle name="40% - Accent3 4 3 2 5 2 2" xfId="30167"/>
    <cellStyle name="40% - Accent3 4 3 2 5 3" xfId="20957"/>
    <cellStyle name="40% - Accent3 4 3 2 6" xfId="9339"/>
    <cellStyle name="40% - Accent3 4 3 2 6 2" xfId="23814"/>
    <cellStyle name="40% - Accent3 4 3 2 7" xfId="20953"/>
    <cellStyle name="40% - Accent3 4 3 3" xfId="3633"/>
    <cellStyle name="40% - Accent3 4 3 3 2" xfId="3634"/>
    <cellStyle name="40% - Accent3 4 3 3 2 2" xfId="15234"/>
    <cellStyle name="40% - Accent3 4 3 3 2 2 2" xfId="28783"/>
    <cellStyle name="40% - Accent3 4 3 3 2 3" xfId="20959"/>
    <cellStyle name="40% - Accent3 4 3 3 3" xfId="11065"/>
    <cellStyle name="40% - Accent3 4 3 3 3 2" xfId="25007"/>
    <cellStyle name="40% - Accent3 4 3 3 4" xfId="20958"/>
    <cellStyle name="40% - Accent3 4 3 4" xfId="3635"/>
    <cellStyle name="40% - Accent3 4 3 4 2" xfId="12148"/>
    <cellStyle name="40% - Accent3 4 3 4 2 2" xfId="25860"/>
    <cellStyle name="40% - Accent3 4 3 4 3" xfId="20960"/>
    <cellStyle name="40% - Accent3 4 3 5" xfId="3636"/>
    <cellStyle name="40% - Accent3 4 3 5 2" xfId="12838"/>
    <cellStyle name="40% - Accent3 4 3 5 2 2" xfId="26550"/>
    <cellStyle name="40% - Accent3 4 3 5 3" xfId="20961"/>
    <cellStyle name="40% - Accent3 4 3 6" xfId="3637"/>
    <cellStyle name="40% - Accent3 4 3 6 2" xfId="13712"/>
    <cellStyle name="40% - Accent3 4 3 6 2 2" xfId="27261"/>
    <cellStyle name="40% - Accent3 4 3 6 3" xfId="20962"/>
    <cellStyle name="40% - Accent3 4 3 7" xfId="3638"/>
    <cellStyle name="40% - Accent3 4 3 7 2" xfId="14293"/>
    <cellStyle name="40% - Accent3 4 3 7 2 2" xfId="27842"/>
    <cellStyle name="40% - Accent3 4 3 7 3" xfId="20963"/>
    <cellStyle name="40% - Accent3 4 3 8" xfId="3639"/>
    <cellStyle name="40% - Accent3 4 3 8 2" xfId="15232"/>
    <cellStyle name="40% - Accent3 4 3 8 2 2" xfId="28781"/>
    <cellStyle name="40% - Accent3 4 3 8 3" xfId="20964"/>
    <cellStyle name="40% - Accent3 4 3 9" xfId="3640"/>
    <cellStyle name="40% - Accent3 4 3 9 2" xfId="16179"/>
    <cellStyle name="40% - Accent3 4 3 9 2 2" xfId="29586"/>
    <cellStyle name="40% - Accent3 4 3 9 3" xfId="20965"/>
    <cellStyle name="40% - Accent3 4 4" xfId="3641"/>
    <cellStyle name="40% - Accent3 4 4 2" xfId="3642"/>
    <cellStyle name="40% - Accent3 4 4 2 2" xfId="11067"/>
    <cellStyle name="40% - Accent3 4 4 2 2 2" xfId="25009"/>
    <cellStyle name="40% - Accent3 4 4 2 3" xfId="20967"/>
    <cellStyle name="40% - Accent3 4 4 3" xfId="3643"/>
    <cellStyle name="40% - Accent3 4 4 3 2" xfId="12840"/>
    <cellStyle name="40% - Accent3 4 4 3 2 2" xfId="26552"/>
    <cellStyle name="40% - Accent3 4 4 3 3" xfId="20968"/>
    <cellStyle name="40% - Accent3 4 4 4" xfId="3644"/>
    <cellStyle name="40% - Accent3 4 4 4 2" xfId="15235"/>
    <cellStyle name="40% - Accent3 4 4 4 2 2" xfId="28784"/>
    <cellStyle name="40% - Accent3 4 4 4 3" xfId="20969"/>
    <cellStyle name="40% - Accent3 4 4 5" xfId="3645"/>
    <cellStyle name="40% - Accent3 4 4 5 2" xfId="16468"/>
    <cellStyle name="40% - Accent3 4 4 5 2 2" xfId="29875"/>
    <cellStyle name="40% - Accent3 4 4 5 3" xfId="20970"/>
    <cellStyle name="40% - Accent3 4 4 6" xfId="9340"/>
    <cellStyle name="40% - Accent3 4 4 6 2" xfId="23815"/>
    <cellStyle name="40% - Accent3 4 4 7" xfId="20966"/>
    <cellStyle name="40% - Accent3 4 5" xfId="3646"/>
    <cellStyle name="40% - Accent3 4 5 2" xfId="3647"/>
    <cellStyle name="40% - Accent3 4 5 2 2" xfId="15236"/>
    <cellStyle name="40% - Accent3 4 5 2 2 2" xfId="28785"/>
    <cellStyle name="40% - Accent3 4 5 2 3" xfId="20972"/>
    <cellStyle name="40% - Accent3 4 5 3" xfId="11060"/>
    <cellStyle name="40% - Accent3 4 5 3 2" xfId="25002"/>
    <cellStyle name="40% - Accent3 4 5 4" xfId="20971"/>
    <cellStyle name="40% - Accent3 4 6" xfId="3648"/>
    <cellStyle name="40% - Accent3 4 6 2" xfId="11819"/>
    <cellStyle name="40% - Accent3 4 6 2 2" xfId="25534"/>
    <cellStyle name="40% - Accent3 4 6 3" xfId="20973"/>
    <cellStyle name="40% - Accent3 4 7" xfId="3649"/>
    <cellStyle name="40% - Accent3 4 7 2" xfId="12833"/>
    <cellStyle name="40% - Accent3 4 7 2 2" xfId="26545"/>
    <cellStyle name="40% - Accent3 4 7 3" xfId="20974"/>
    <cellStyle name="40% - Accent3 4 8" xfId="3650"/>
    <cellStyle name="40% - Accent3 4 8 2" xfId="13420"/>
    <cellStyle name="40% - Accent3 4 8 2 2" xfId="26969"/>
    <cellStyle name="40% - Accent3 4 8 3" xfId="20975"/>
    <cellStyle name="40% - Accent3 4 9" xfId="3651"/>
    <cellStyle name="40% - Accent3 4 9 2" xfId="14001"/>
    <cellStyle name="40% - Accent3 4 9 2 2" xfId="27550"/>
    <cellStyle name="40% - Accent3 4 9 3" xfId="20976"/>
    <cellStyle name="40% - Accent3 5" xfId="3652"/>
    <cellStyle name="40% - Accent3 5 10" xfId="3653"/>
    <cellStyle name="40% - Accent3 5 10 2" xfId="15237"/>
    <cellStyle name="40% - Accent3 5 10 2 2" xfId="28786"/>
    <cellStyle name="40% - Accent3 5 10 3" xfId="20978"/>
    <cellStyle name="40% - Accent3 5 11" xfId="3654"/>
    <cellStyle name="40% - Accent3 5 11 2" xfId="15870"/>
    <cellStyle name="40% - Accent3 5 11 2 2" xfId="29277"/>
    <cellStyle name="40% - Accent3 5 11 3" xfId="20979"/>
    <cellStyle name="40% - Accent3 5 12" xfId="9341"/>
    <cellStyle name="40% - Accent3 5 12 2" xfId="23816"/>
    <cellStyle name="40% - Accent3 5 13" xfId="20977"/>
    <cellStyle name="40% - Accent3 5 2" xfId="3655"/>
    <cellStyle name="40% - Accent3 5 2 10" xfId="3656"/>
    <cellStyle name="40% - Accent3 5 2 10 2" xfId="16013"/>
    <cellStyle name="40% - Accent3 5 2 10 2 2" xfId="29420"/>
    <cellStyle name="40% - Accent3 5 2 10 3" xfId="20981"/>
    <cellStyle name="40% - Accent3 5 2 11" xfId="9342"/>
    <cellStyle name="40% - Accent3 5 2 11 2" xfId="23817"/>
    <cellStyle name="40% - Accent3 5 2 12" xfId="20980"/>
    <cellStyle name="40% - Accent3 5 2 2" xfId="3657"/>
    <cellStyle name="40% - Accent3 5 2 2 10" xfId="9343"/>
    <cellStyle name="40% - Accent3 5 2 2 10 2" xfId="23818"/>
    <cellStyle name="40% - Accent3 5 2 2 11" xfId="20982"/>
    <cellStyle name="40% - Accent3 5 2 2 2" xfId="3658"/>
    <cellStyle name="40% - Accent3 5 2 2 2 2" xfId="3659"/>
    <cellStyle name="40% - Accent3 5 2 2 2 2 2" xfId="11071"/>
    <cellStyle name="40% - Accent3 5 2 2 2 2 2 2" xfId="25013"/>
    <cellStyle name="40% - Accent3 5 2 2 2 2 3" xfId="20984"/>
    <cellStyle name="40% - Accent3 5 2 2 2 3" xfId="3660"/>
    <cellStyle name="40% - Accent3 5 2 2 2 3 2" xfId="12844"/>
    <cellStyle name="40% - Accent3 5 2 2 2 3 2 2" xfId="26556"/>
    <cellStyle name="40% - Accent3 5 2 2 2 3 3" xfId="20985"/>
    <cellStyle name="40% - Accent3 5 2 2 2 4" xfId="3661"/>
    <cellStyle name="40% - Accent3 5 2 2 2 4 2" xfId="15240"/>
    <cellStyle name="40% - Accent3 5 2 2 2 4 2 2" xfId="28789"/>
    <cellStyle name="40% - Accent3 5 2 2 2 4 3" xfId="20986"/>
    <cellStyle name="40% - Accent3 5 2 2 2 5" xfId="3662"/>
    <cellStyle name="40% - Accent3 5 2 2 2 5 2" xfId="16883"/>
    <cellStyle name="40% - Accent3 5 2 2 2 5 2 2" xfId="30290"/>
    <cellStyle name="40% - Accent3 5 2 2 2 5 3" xfId="20987"/>
    <cellStyle name="40% - Accent3 5 2 2 2 6" xfId="9344"/>
    <cellStyle name="40% - Accent3 5 2 2 2 6 2" xfId="23819"/>
    <cellStyle name="40% - Accent3 5 2 2 2 7" xfId="20983"/>
    <cellStyle name="40% - Accent3 5 2 2 3" xfId="3663"/>
    <cellStyle name="40% - Accent3 5 2 2 3 2" xfId="3664"/>
    <cellStyle name="40% - Accent3 5 2 2 3 2 2" xfId="15241"/>
    <cellStyle name="40% - Accent3 5 2 2 3 2 2 2" xfId="28790"/>
    <cellStyle name="40% - Accent3 5 2 2 3 2 3" xfId="20989"/>
    <cellStyle name="40% - Accent3 5 2 2 3 3" xfId="11070"/>
    <cellStyle name="40% - Accent3 5 2 2 3 3 2" xfId="25012"/>
    <cellStyle name="40% - Accent3 5 2 2 3 4" xfId="20988"/>
    <cellStyle name="40% - Accent3 5 2 2 4" xfId="3665"/>
    <cellStyle name="40% - Accent3 5 2 2 4 2" xfId="12271"/>
    <cellStyle name="40% - Accent3 5 2 2 4 2 2" xfId="25983"/>
    <cellStyle name="40% - Accent3 5 2 2 4 3" xfId="20990"/>
    <cellStyle name="40% - Accent3 5 2 2 5" xfId="3666"/>
    <cellStyle name="40% - Accent3 5 2 2 5 2" xfId="12843"/>
    <cellStyle name="40% - Accent3 5 2 2 5 2 2" xfId="26555"/>
    <cellStyle name="40% - Accent3 5 2 2 5 3" xfId="20991"/>
    <cellStyle name="40% - Accent3 5 2 2 6" xfId="3667"/>
    <cellStyle name="40% - Accent3 5 2 2 6 2" xfId="13835"/>
    <cellStyle name="40% - Accent3 5 2 2 6 2 2" xfId="27384"/>
    <cellStyle name="40% - Accent3 5 2 2 6 3" xfId="20992"/>
    <cellStyle name="40% - Accent3 5 2 2 7" xfId="3668"/>
    <cellStyle name="40% - Accent3 5 2 2 7 2" xfId="14416"/>
    <cellStyle name="40% - Accent3 5 2 2 7 2 2" xfId="27965"/>
    <cellStyle name="40% - Accent3 5 2 2 7 3" xfId="20993"/>
    <cellStyle name="40% - Accent3 5 2 2 8" xfId="3669"/>
    <cellStyle name="40% - Accent3 5 2 2 8 2" xfId="15239"/>
    <cellStyle name="40% - Accent3 5 2 2 8 2 2" xfId="28788"/>
    <cellStyle name="40% - Accent3 5 2 2 8 3" xfId="20994"/>
    <cellStyle name="40% - Accent3 5 2 2 9" xfId="3670"/>
    <cellStyle name="40% - Accent3 5 2 2 9 2" xfId="16302"/>
    <cellStyle name="40% - Accent3 5 2 2 9 2 2" xfId="29709"/>
    <cellStyle name="40% - Accent3 5 2 2 9 3" xfId="20995"/>
    <cellStyle name="40% - Accent3 5 2 3" xfId="3671"/>
    <cellStyle name="40% - Accent3 5 2 3 2" xfId="3672"/>
    <cellStyle name="40% - Accent3 5 2 3 2 2" xfId="11072"/>
    <cellStyle name="40% - Accent3 5 2 3 2 2 2" xfId="25014"/>
    <cellStyle name="40% - Accent3 5 2 3 2 3" xfId="20997"/>
    <cellStyle name="40% - Accent3 5 2 3 3" xfId="3673"/>
    <cellStyle name="40% - Accent3 5 2 3 3 2" xfId="12845"/>
    <cellStyle name="40% - Accent3 5 2 3 3 2 2" xfId="26557"/>
    <cellStyle name="40% - Accent3 5 2 3 3 3" xfId="20998"/>
    <cellStyle name="40% - Accent3 5 2 3 4" xfId="3674"/>
    <cellStyle name="40% - Accent3 5 2 3 4 2" xfId="15242"/>
    <cellStyle name="40% - Accent3 5 2 3 4 2 2" xfId="28791"/>
    <cellStyle name="40% - Accent3 5 2 3 4 3" xfId="20999"/>
    <cellStyle name="40% - Accent3 5 2 3 5" xfId="3675"/>
    <cellStyle name="40% - Accent3 5 2 3 5 2" xfId="16594"/>
    <cellStyle name="40% - Accent3 5 2 3 5 2 2" xfId="30001"/>
    <cellStyle name="40% - Accent3 5 2 3 5 3" xfId="21000"/>
    <cellStyle name="40% - Accent3 5 2 3 6" xfId="9345"/>
    <cellStyle name="40% - Accent3 5 2 3 6 2" xfId="23820"/>
    <cellStyle name="40% - Accent3 5 2 3 7" xfId="20996"/>
    <cellStyle name="40% - Accent3 5 2 4" xfId="3676"/>
    <cellStyle name="40% - Accent3 5 2 4 2" xfId="3677"/>
    <cellStyle name="40% - Accent3 5 2 4 2 2" xfId="15243"/>
    <cellStyle name="40% - Accent3 5 2 4 2 2 2" xfId="28792"/>
    <cellStyle name="40% - Accent3 5 2 4 2 3" xfId="21002"/>
    <cellStyle name="40% - Accent3 5 2 4 3" xfId="11069"/>
    <cellStyle name="40% - Accent3 5 2 4 3 2" xfId="25011"/>
    <cellStyle name="40% - Accent3 5 2 4 4" xfId="21001"/>
    <cellStyle name="40% - Accent3 5 2 5" xfId="3678"/>
    <cellStyle name="40% - Accent3 5 2 5 2" xfId="11971"/>
    <cellStyle name="40% - Accent3 5 2 5 2 2" xfId="25686"/>
    <cellStyle name="40% - Accent3 5 2 5 3" xfId="21003"/>
    <cellStyle name="40% - Accent3 5 2 6" xfId="3679"/>
    <cellStyle name="40% - Accent3 5 2 6 2" xfId="12842"/>
    <cellStyle name="40% - Accent3 5 2 6 2 2" xfId="26554"/>
    <cellStyle name="40% - Accent3 5 2 6 3" xfId="21004"/>
    <cellStyle name="40% - Accent3 5 2 7" xfId="3680"/>
    <cellStyle name="40% - Accent3 5 2 7 2" xfId="13546"/>
    <cellStyle name="40% - Accent3 5 2 7 2 2" xfId="27095"/>
    <cellStyle name="40% - Accent3 5 2 7 3" xfId="21005"/>
    <cellStyle name="40% - Accent3 5 2 8" xfId="3681"/>
    <cellStyle name="40% - Accent3 5 2 8 2" xfId="14127"/>
    <cellStyle name="40% - Accent3 5 2 8 2 2" xfId="27676"/>
    <cellStyle name="40% - Accent3 5 2 8 3" xfId="21006"/>
    <cellStyle name="40% - Accent3 5 2 9" xfId="3682"/>
    <cellStyle name="40% - Accent3 5 2 9 2" xfId="15238"/>
    <cellStyle name="40% - Accent3 5 2 9 2 2" xfId="28787"/>
    <cellStyle name="40% - Accent3 5 2 9 3" xfId="21007"/>
    <cellStyle name="40% - Accent3 5 3" xfId="3683"/>
    <cellStyle name="40% - Accent3 5 3 10" xfId="9346"/>
    <cellStyle name="40% - Accent3 5 3 10 2" xfId="23821"/>
    <cellStyle name="40% - Accent3 5 3 11" xfId="21008"/>
    <cellStyle name="40% - Accent3 5 3 2" xfId="3684"/>
    <cellStyle name="40% - Accent3 5 3 2 2" xfId="3685"/>
    <cellStyle name="40% - Accent3 5 3 2 2 2" xfId="11074"/>
    <cellStyle name="40% - Accent3 5 3 2 2 2 2" xfId="25016"/>
    <cellStyle name="40% - Accent3 5 3 2 2 3" xfId="21010"/>
    <cellStyle name="40% - Accent3 5 3 2 3" xfId="3686"/>
    <cellStyle name="40% - Accent3 5 3 2 3 2" xfId="12847"/>
    <cellStyle name="40% - Accent3 5 3 2 3 2 2" xfId="26559"/>
    <cellStyle name="40% - Accent3 5 3 2 3 3" xfId="21011"/>
    <cellStyle name="40% - Accent3 5 3 2 4" xfId="3687"/>
    <cellStyle name="40% - Accent3 5 3 2 4 2" xfId="15245"/>
    <cellStyle name="40% - Accent3 5 3 2 4 2 2" xfId="28794"/>
    <cellStyle name="40% - Accent3 5 3 2 4 3" xfId="21012"/>
    <cellStyle name="40% - Accent3 5 3 2 5" xfId="3688"/>
    <cellStyle name="40% - Accent3 5 3 2 5 2" xfId="16743"/>
    <cellStyle name="40% - Accent3 5 3 2 5 2 2" xfId="30150"/>
    <cellStyle name="40% - Accent3 5 3 2 5 3" xfId="21013"/>
    <cellStyle name="40% - Accent3 5 3 2 6" xfId="9347"/>
    <cellStyle name="40% - Accent3 5 3 2 6 2" xfId="23822"/>
    <cellStyle name="40% - Accent3 5 3 2 7" xfId="21009"/>
    <cellStyle name="40% - Accent3 5 3 3" xfId="3689"/>
    <cellStyle name="40% - Accent3 5 3 3 2" xfId="3690"/>
    <cellStyle name="40% - Accent3 5 3 3 2 2" xfId="15246"/>
    <cellStyle name="40% - Accent3 5 3 3 2 2 2" xfId="28795"/>
    <cellStyle name="40% - Accent3 5 3 3 2 3" xfId="21015"/>
    <cellStyle name="40% - Accent3 5 3 3 3" xfId="11073"/>
    <cellStyle name="40% - Accent3 5 3 3 3 2" xfId="25015"/>
    <cellStyle name="40% - Accent3 5 3 3 4" xfId="21014"/>
    <cellStyle name="40% - Accent3 5 3 4" xfId="3691"/>
    <cellStyle name="40% - Accent3 5 3 4 2" xfId="12131"/>
    <cellStyle name="40% - Accent3 5 3 4 2 2" xfId="25843"/>
    <cellStyle name="40% - Accent3 5 3 4 3" xfId="21016"/>
    <cellStyle name="40% - Accent3 5 3 5" xfId="3692"/>
    <cellStyle name="40% - Accent3 5 3 5 2" xfId="12846"/>
    <cellStyle name="40% - Accent3 5 3 5 2 2" xfId="26558"/>
    <cellStyle name="40% - Accent3 5 3 5 3" xfId="21017"/>
    <cellStyle name="40% - Accent3 5 3 6" xfId="3693"/>
    <cellStyle name="40% - Accent3 5 3 6 2" xfId="13695"/>
    <cellStyle name="40% - Accent3 5 3 6 2 2" xfId="27244"/>
    <cellStyle name="40% - Accent3 5 3 6 3" xfId="21018"/>
    <cellStyle name="40% - Accent3 5 3 7" xfId="3694"/>
    <cellStyle name="40% - Accent3 5 3 7 2" xfId="14276"/>
    <cellStyle name="40% - Accent3 5 3 7 2 2" xfId="27825"/>
    <cellStyle name="40% - Accent3 5 3 7 3" xfId="21019"/>
    <cellStyle name="40% - Accent3 5 3 8" xfId="3695"/>
    <cellStyle name="40% - Accent3 5 3 8 2" xfId="15244"/>
    <cellStyle name="40% - Accent3 5 3 8 2 2" xfId="28793"/>
    <cellStyle name="40% - Accent3 5 3 8 3" xfId="21020"/>
    <cellStyle name="40% - Accent3 5 3 9" xfId="3696"/>
    <cellStyle name="40% - Accent3 5 3 9 2" xfId="16162"/>
    <cellStyle name="40% - Accent3 5 3 9 2 2" xfId="29569"/>
    <cellStyle name="40% - Accent3 5 3 9 3" xfId="21021"/>
    <cellStyle name="40% - Accent3 5 4" xfId="3697"/>
    <cellStyle name="40% - Accent3 5 4 2" xfId="3698"/>
    <cellStyle name="40% - Accent3 5 4 2 2" xfId="11075"/>
    <cellStyle name="40% - Accent3 5 4 2 2 2" xfId="25017"/>
    <cellStyle name="40% - Accent3 5 4 2 3" xfId="21023"/>
    <cellStyle name="40% - Accent3 5 4 3" xfId="3699"/>
    <cellStyle name="40% - Accent3 5 4 3 2" xfId="12848"/>
    <cellStyle name="40% - Accent3 5 4 3 2 2" xfId="26560"/>
    <cellStyle name="40% - Accent3 5 4 3 3" xfId="21024"/>
    <cellStyle name="40% - Accent3 5 4 4" xfId="3700"/>
    <cellStyle name="40% - Accent3 5 4 4 2" xfId="15247"/>
    <cellStyle name="40% - Accent3 5 4 4 2 2" xfId="28796"/>
    <cellStyle name="40% - Accent3 5 4 4 3" xfId="21025"/>
    <cellStyle name="40% - Accent3 5 4 5" xfId="3701"/>
    <cellStyle name="40% - Accent3 5 4 5 2" xfId="16451"/>
    <cellStyle name="40% - Accent3 5 4 5 2 2" xfId="29858"/>
    <cellStyle name="40% - Accent3 5 4 5 3" xfId="21026"/>
    <cellStyle name="40% - Accent3 5 4 6" xfId="9348"/>
    <cellStyle name="40% - Accent3 5 4 6 2" xfId="23823"/>
    <cellStyle name="40% - Accent3 5 4 7" xfId="21022"/>
    <cellStyle name="40% - Accent3 5 5" xfId="3702"/>
    <cellStyle name="40% - Accent3 5 5 2" xfId="3703"/>
    <cellStyle name="40% - Accent3 5 5 2 2" xfId="15248"/>
    <cellStyle name="40% - Accent3 5 5 2 2 2" xfId="28797"/>
    <cellStyle name="40% - Accent3 5 5 2 3" xfId="21028"/>
    <cellStyle name="40% - Accent3 5 5 3" xfId="11068"/>
    <cellStyle name="40% - Accent3 5 5 3 2" xfId="25010"/>
    <cellStyle name="40% - Accent3 5 5 4" xfId="21027"/>
    <cellStyle name="40% - Accent3 5 6" xfId="3704"/>
    <cellStyle name="40% - Accent3 5 6 2" xfId="11802"/>
    <cellStyle name="40% - Accent3 5 6 2 2" xfId="25517"/>
    <cellStyle name="40% - Accent3 5 6 3" xfId="21029"/>
    <cellStyle name="40% - Accent3 5 7" xfId="3705"/>
    <cellStyle name="40% - Accent3 5 7 2" xfId="12841"/>
    <cellStyle name="40% - Accent3 5 7 2 2" xfId="26553"/>
    <cellStyle name="40% - Accent3 5 7 3" xfId="21030"/>
    <cellStyle name="40% - Accent3 5 8" xfId="3706"/>
    <cellStyle name="40% - Accent3 5 8 2" xfId="13403"/>
    <cellStyle name="40% - Accent3 5 8 2 2" xfId="26952"/>
    <cellStyle name="40% - Accent3 5 8 3" xfId="21031"/>
    <cellStyle name="40% - Accent3 5 9" xfId="3707"/>
    <cellStyle name="40% - Accent3 5 9 2" xfId="13984"/>
    <cellStyle name="40% - Accent3 5 9 2 2" xfId="27533"/>
    <cellStyle name="40% - Accent3 5 9 3" xfId="21032"/>
    <cellStyle name="40% - Accent3 6" xfId="3708"/>
    <cellStyle name="40% - Accent3 6 10" xfId="3709"/>
    <cellStyle name="40% - Accent3 6 10 2" xfId="15249"/>
    <cellStyle name="40% - Accent3 6 10 2 2" xfId="28798"/>
    <cellStyle name="40% - Accent3 6 10 3" xfId="21034"/>
    <cellStyle name="40% - Accent3 6 11" xfId="3710"/>
    <cellStyle name="40% - Accent3 6 11 2" xfId="15976"/>
    <cellStyle name="40% - Accent3 6 11 2 2" xfId="29383"/>
    <cellStyle name="40% - Accent3 6 11 3" xfId="21035"/>
    <cellStyle name="40% - Accent3 6 12" xfId="9349"/>
    <cellStyle name="40% - Accent3 6 12 2" xfId="23824"/>
    <cellStyle name="40% - Accent3 6 13" xfId="21033"/>
    <cellStyle name="40% - Accent3 6 2" xfId="3711"/>
    <cellStyle name="40% - Accent3 6 2 10" xfId="3712"/>
    <cellStyle name="40% - Accent3 6 2 10 2" xfId="16119"/>
    <cellStyle name="40% - Accent3 6 2 10 2 2" xfId="29526"/>
    <cellStyle name="40% - Accent3 6 2 10 3" xfId="21037"/>
    <cellStyle name="40% - Accent3 6 2 11" xfId="9350"/>
    <cellStyle name="40% - Accent3 6 2 11 2" xfId="23825"/>
    <cellStyle name="40% - Accent3 6 2 12" xfId="21036"/>
    <cellStyle name="40% - Accent3 6 2 2" xfId="3713"/>
    <cellStyle name="40% - Accent3 6 2 2 10" xfId="9351"/>
    <cellStyle name="40% - Accent3 6 2 2 10 2" xfId="23826"/>
    <cellStyle name="40% - Accent3 6 2 2 11" xfId="21038"/>
    <cellStyle name="40% - Accent3 6 2 2 2" xfId="3714"/>
    <cellStyle name="40% - Accent3 6 2 2 2 2" xfId="3715"/>
    <cellStyle name="40% - Accent3 6 2 2 2 2 2" xfId="11079"/>
    <cellStyle name="40% - Accent3 6 2 2 2 2 2 2" xfId="25021"/>
    <cellStyle name="40% - Accent3 6 2 2 2 2 3" xfId="21040"/>
    <cellStyle name="40% - Accent3 6 2 2 2 3" xfId="3716"/>
    <cellStyle name="40% - Accent3 6 2 2 2 3 2" xfId="12852"/>
    <cellStyle name="40% - Accent3 6 2 2 2 3 2 2" xfId="26564"/>
    <cellStyle name="40% - Accent3 6 2 2 2 3 3" xfId="21041"/>
    <cellStyle name="40% - Accent3 6 2 2 2 4" xfId="3717"/>
    <cellStyle name="40% - Accent3 6 2 2 2 4 2" xfId="15252"/>
    <cellStyle name="40% - Accent3 6 2 2 2 4 2 2" xfId="28801"/>
    <cellStyle name="40% - Accent3 6 2 2 2 4 3" xfId="21042"/>
    <cellStyle name="40% - Accent3 6 2 2 2 5" xfId="3718"/>
    <cellStyle name="40% - Accent3 6 2 2 2 5 2" xfId="16989"/>
    <cellStyle name="40% - Accent3 6 2 2 2 5 2 2" xfId="30396"/>
    <cellStyle name="40% - Accent3 6 2 2 2 5 3" xfId="21043"/>
    <cellStyle name="40% - Accent3 6 2 2 2 6" xfId="9352"/>
    <cellStyle name="40% - Accent3 6 2 2 2 6 2" xfId="23827"/>
    <cellStyle name="40% - Accent3 6 2 2 2 7" xfId="21039"/>
    <cellStyle name="40% - Accent3 6 2 2 3" xfId="3719"/>
    <cellStyle name="40% - Accent3 6 2 2 3 2" xfId="3720"/>
    <cellStyle name="40% - Accent3 6 2 2 3 2 2" xfId="15253"/>
    <cellStyle name="40% - Accent3 6 2 2 3 2 2 2" xfId="28802"/>
    <cellStyle name="40% - Accent3 6 2 2 3 2 3" xfId="21045"/>
    <cellStyle name="40% - Accent3 6 2 2 3 3" xfId="11078"/>
    <cellStyle name="40% - Accent3 6 2 2 3 3 2" xfId="25020"/>
    <cellStyle name="40% - Accent3 6 2 2 3 4" xfId="21044"/>
    <cellStyle name="40% - Accent3 6 2 2 4" xfId="3721"/>
    <cellStyle name="40% - Accent3 6 2 2 4 2" xfId="12377"/>
    <cellStyle name="40% - Accent3 6 2 2 4 2 2" xfId="26089"/>
    <cellStyle name="40% - Accent3 6 2 2 4 3" xfId="21046"/>
    <cellStyle name="40% - Accent3 6 2 2 5" xfId="3722"/>
    <cellStyle name="40% - Accent3 6 2 2 5 2" xfId="12851"/>
    <cellStyle name="40% - Accent3 6 2 2 5 2 2" xfId="26563"/>
    <cellStyle name="40% - Accent3 6 2 2 5 3" xfId="21047"/>
    <cellStyle name="40% - Accent3 6 2 2 6" xfId="3723"/>
    <cellStyle name="40% - Accent3 6 2 2 6 2" xfId="13941"/>
    <cellStyle name="40% - Accent3 6 2 2 6 2 2" xfId="27490"/>
    <cellStyle name="40% - Accent3 6 2 2 6 3" xfId="21048"/>
    <cellStyle name="40% - Accent3 6 2 2 7" xfId="3724"/>
    <cellStyle name="40% - Accent3 6 2 2 7 2" xfId="14522"/>
    <cellStyle name="40% - Accent3 6 2 2 7 2 2" xfId="28071"/>
    <cellStyle name="40% - Accent3 6 2 2 7 3" xfId="21049"/>
    <cellStyle name="40% - Accent3 6 2 2 8" xfId="3725"/>
    <cellStyle name="40% - Accent3 6 2 2 8 2" xfId="15251"/>
    <cellStyle name="40% - Accent3 6 2 2 8 2 2" xfId="28800"/>
    <cellStyle name="40% - Accent3 6 2 2 8 3" xfId="21050"/>
    <cellStyle name="40% - Accent3 6 2 2 9" xfId="3726"/>
    <cellStyle name="40% - Accent3 6 2 2 9 2" xfId="16408"/>
    <cellStyle name="40% - Accent3 6 2 2 9 2 2" xfId="29815"/>
    <cellStyle name="40% - Accent3 6 2 2 9 3" xfId="21051"/>
    <cellStyle name="40% - Accent3 6 2 3" xfId="3727"/>
    <cellStyle name="40% - Accent3 6 2 3 2" xfId="3728"/>
    <cellStyle name="40% - Accent3 6 2 3 2 2" xfId="11080"/>
    <cellStyle name="40% - Accent3 6 2 3 2 2 2" xfId="25022"/>
    <cellStyle name="40% - Accent3 6 2 3 2 3" xfId="21053"/>
    <cellStyle name="40% - Accent3 6 2 3 3" xfId="3729"/>
    <cellStyle name="40% - Accent3 6 2 3 3 2" xfId="12853"/>
    <cellStyle name="40% - Accent3 6 2 3 3 2 2" xfId="26565"/>
    <cellStyle name="40% - Accent3 6 2 3 3 3" xfId="21054"/>
    <cellStyle name="40% - Accent3 6 2 3 4" xfId="3730"/>
    <cellStyle name="40% - Accent3 6 2 3 4 2" xfId="15254"/>
    <cellStyle name="40% - Accent3 6 2 3 4 2 2" xfId="28803"/>
    <cellStyle name="40% - Accent3 6 2 3 4 3" xfId="21055"/>
    <cellStyle name="40% - Accent3 6 2 3 5" xfId="3731"/>
    <cellStyle name="40% - Accent3 6 2 3 5 2" xfId="16700"/>
    <cellStyle name="40% - Accent3 6 2 3 5 2 2" xfId="30107"/>
    <cellStyle name="40% - Accent3 6 2 3 5 3" xfId="21056"/>
    <cellStyle name="40% - Accent3 6 2 3 6" xfId="9353"/>
    <cellStyle name="40% - Accent3 6 2 3 6 2" xfId="23828"/>
    <cellStyle name="40% - Accent3 6 2 3 7" xfId="21052"/>
    <cellStyle name="40% - Accent3 6 2 4" xfId="3732"/>
    <cellStyle name="40% - Accent3 6 2 4 2" xfId="3733"/>
    <cellStyle name="40% - Accent3 6 2 4 2 2" xfId="15255"/>
    <cellStyle name="40% - Accent3 6 2 4 2 2 2" xfId="28804"/>
    <cellStyle name="40% - Accent3 6 2 4 2 3" xfId="21058"/>
    <cellStyle name="40% - Accent3 6 2 4 3" xfId="11077"/>
    <cellStyle name="40% - Accent3 6 2 4 3 2" xfId="25019"/>
    <cellStyle name="40% - Accent3 6 2 4 4" xfId="21057"/>
    <cellStyle name="40% - Accent3 6 2 5" xfId="3734"/>
    <cellStyle name="40% - Accent3 6 2 5 2" xfId="12077"/>
    <cellStyle name="40% - Accent3 6 2 5 2 2" xfId="25792"/>
    <cellStyle name="40% - Accent3 6 2 5 3" xfId="21059"/>
    <cellStyle name="40% - Accent3 6 2 6" xfId="3735"/>
    <cellStyle name="40% - Accent3 6 2 6 2" xfId="12850"/>
    <cellStyle name="40% - Accent3 6 2 6 2 2" xfId="26562"/>
    <cellStyle name="40% - Accent3 6 2 6 3" xfId="21060"/>
    <cellStyle name="40% - Accent3 6 2 7" xfId="3736"/>
    <cellStyle name="40% - Accent3 6 2 7 2" xfId="13652"/>
    <cellStyle name="40% - Accent3 6 2 7 2 2" xfId="27201"/>
    <cellStyle name="40% - Accent3 6 2 7 3" xfId="21061"/>
    <cellStyle name="40% - Accent3 6 2 8" xfId="3737"/>
    <cellStyle name="40% - Accent3 6 2 8 2" xfId="14233"/>
    <cellStyle name="40% - Accent3 6 2 8 2 2" xfId="27782"/>
    <cellStyle name="40% - Accent3 6 2 8 3" xfId="21062"/>
    <cellStyle name="40% - Accent3 6 2 9" xfId="3738"/>
    <cellStyle name="40% - Accent3 6 2 9 2" xfId="15250"/>
    <cellStyle name="40% - Accent3 6 2 9 2 2" xfId="28799"/>
    <cellStyle name="40% - Accent3 6 2 9 3" xfId="21063"/>
    <cellStyle name="40% - Accent3 6 3" xfId="3739"/>
    <cellStyle name="40% - Accent3 6 3 10" xfId="9354"/>
    <cellStyle name="40% - Accent3 6 3 10 2" xfId="23829"/>
    <cellStyle name="40% - Accent3 6 3 11" xfId="21064"/>
    <cellStyle name="40% - Accent3 6 3 2" xfId="3740"/>
    <cellStyle name="40% - Accent3 6 3 2 2" xfId="3741"/>
    <cellStyle name="40% - Accent3 6 3 2 2 2" xfId="11082"/>
    <cellStyle name="40% - Accent3 6 3 2 2 2 2" xfId="25024"/>
    <cellStyle name="40% - Accent3 6 3 2 2 3" xfId="21066"/>
    <cellStyle name="40% - Accent3 6 3 2 3" xfId="3742"/>
    <cellStyle name="40% - Accent3 6 3 2 3 2" xfId="12855"/>
    <cellStyle name="40% - Accent3 6 3 2 3 2 2" xfId="26567"/>
    <cellStyle name="40% - Accent3 6 3 2 3 3" xfId="21067"/>
    <cellStyle name="40% - Accent3 6 3 2 4" xfId="3743"/>
    <cellStyle name="40% - Accent3 6 3 2 4 2" xfId="15257"/>
    <cellStyle name="40% - Accent3 6 3 2 4 2 2" xfId="28806"/>
    <cellStyle name="40% - Accent3 6 3 2 4 3" xfId="21068"/>
    <cellStyle name="40% - Accent3 6 3 2 5" xfId="3744"/>
    <cellStyle name="40% - Accent3 6 3 2 5 2" xfId="16846"/>
    <cellStyle name="40% - Accent3 6 3 2 5 2 2" xfId="30253"/>
    <cellStyle name="40% - Accent3 6 3 2 5 3" xfId="21069"/>
    <cellStyle name="40% - Accent3 6 3 2 6" xfId="9355"/>
    <cellStyle name="40% - Accent3 6 3 2 6 2" xfId="23830"/>
    <cellStyle name="40% - Accent3 6 3 2 7" xfId="21065"/>
    <cellStyle name="40% - Accent3 6 3 3" xfId="3745"/>
    <cellStyle name="40% - Accent3 6 3 3 2" xfId="3746"/>
    <cellStyle name="40% - Accent3 6 3 3 2 2" xfId="15258"/>
    <cellStyle name="40% - Accent3 6 3 3 2 2 2" xfId="28807"/>
    <cellStyle name="40% - Accent3 6 3 3 2 3" xfId="21071"/>
    <cellStyle name="40% - Accent3 6 3 3 3" xfId="11081"/>
    <cellStyle name="40% - Accent3 6 3 3 3 2" xfId="25023"/>
    <cellStyle name="40% - Accent3 6 3 3 4" xfId="21070"/>
    <cellStyle name="40% - Accent3 6 3 4" xfId="3747"/>
    <cellStyle name="40% - Accent3 6 3 4 2" xfId="12234"/>
    <cellStyle name="40% - Accent3 6 3 4 2 2" xfId="25946"/>
    <cellStyle name="40% - Accent3 6 3 4 3" xfId="21072"/>
    <cellStyle name="40% - Accent3 6 3 5" xfId="3748"/>
    <cellStyle name="40% - Accent3 6 3 5 2" xfId="12854"/>
    <cellStyle name="40% - Accent3 6 3 5 2 2" xfId="26566"/>
    <cellStyle name="40% - Accent3 6 3 5 3" xfId="21073"/>
    <cellStyle name="40% - Accent3 6 3 6" xfId="3749"/>
    <cellStyle name="40% - Accent3 6 3 6 2" xfId="13798"/>
    <cellStyle name="40% - Accent3 6 3 6 2 2" xfId="27347"/>
    <cellStyle name="40% - Accent3 6 3 6 3" xfId="21074"/>
    <cellStyle name="40% - Accent3 6 3 7" xfId="3750"/>
    <cellStyle name="40% - Accent3 6 3 7 2" xfId="14379"/>
    <cellStyle name="40% - Accent3 6 3 7 2 2" xfId="27928"/>
    <cellStyle name="40% - Accent3 6 3 7 3" xfId="21075"/>
    <cellStyle name="40% - Accent3 6 3 8" xfId="3751"/>
    <cellStyle name="40% - Accent3 6 3 8 2" xfId="15256"/>
    <cellStyle name="40% - Accent3 6 3 8 2 2" xfId="28805"/>
    <cellStyle name="40% - Accent3 6 3 8 3" xfId="21076"/>
    <cellStyle name="40% - Accent3 6 3 9" xfId="3752"/>
    <cellStyle name="40% - Accent3 6 3 9 2" xfId="16265"/>
    <cellStyle name="40% - Accent3 6 3 9 2 2" xfId="29672"/>
    <cellStyle name="40% - Accent3 6 3 9 3" xfId="21077"/>
    <cellStyle name="40% - Accent3 6 4" xfId="3753"/>
    <cellStyle name="40% - Accent3 6 4 2" xfId="3754"/>
    <cellStyle name="40% - Accent3 6 4 2 2" xfId="11083"/>
    <cellStyle name="40% - Accent3 6 4 2 2 2" xfId="25025"/>
    <cellStyle name="40% - Accent3 6 4 2 3" xfId="21079"/>
    <cellStyle name="40% - Accent3 6 4 3" xfId="3755"/>
    <cellStyle name="40% - Accent3 6 4 3 2" xfId="12856"/>
    <cellStyle name="40% - Accent3 6 4 3 2 2" xfId="26568"/>
    <cellStyle name="40% - Accent3 6 4 3 3" xfId="21080"/>
    <cellStyle name="40% - Accent3 6 4 4" xfId="3756"/>
    <cellStyle name="40% - Accent3 6 4 4 2" xfId="15259"/>
    <cellStyle name="40% - Accent3 6 4 4 2 2" xfId="28808"/>
    <cellStyle name="40% - Accent3 6 4 4 3" xfId="21081"/>
    <cellStyle name="40% - Accent3 6 4 5" xfId="3757"/>
    <cellStyle name="40% - Accent3 6 4 5 2" xfId="16557"/>
    <cellStyle name="40% - Accent3 6 4 5 2 2" xfId="29964"/>
    <cellStyle name="40% - Accent3 6 4 5 3" xfId="21082"/>
    <cellStyle name="40% - Accent3 6 4 6" xfId="9356"/>
    <cellStyle name="40% - Accent3 6 4 6 2" xfId="23831"/>
    <cellStyle name="40% - Accent3 6 4 7" xfId="21078"/>
    <cellStyle name="40% - Accent3 6 5" xfId="3758"/>
    <cellStyle name="40% - Accent3 6 5 2" xfId="3759"/>
    <cellStyle name="40% - Accent3 6 5 2 2" xfId="15260"/>
    <cellStyle name="40% - Accent3 6 5 2 2 2" xfId="28809"/>
    <cellStyle name="40% - Accent3 6 5 2 3" xfId="21084"/>
    <cellStyle name="40% - Accent3 6 5 3" xfId="11076"/>
    <cellStyle name="40% - Accent3 6 5 3 2" xfId="25018"/>
    <cellStyle name="40% - Accent3 6 5 4" xfId="21083"/>
    <cellStyle name="40% - Accent3 6 6" xfId="3760"/>
    <cellStyle name="40% - Accent3 6 6 2" xfId="11932"/>
    <cellStyle name="40% - Accent3 6 6 2 2" xfId="25647"/>
    <cellStyle name="40% - Accent3 6 6 3" xfId="21085"/>
    <cellStyle name="40% - Accent3 6 7" xfId="3761"/>
    <cellStyle name="40% - Accent3 6 7 2" xfId="12849"/>
    <cellStyle name="40% - Accent3 6 7 2 2" xfId="26561"/>
    <cellStyle name="40% - Accent3 6 7 3" xfId="21086"/>
    <cellStyle name="40% - Accent3 6 8" xfId="3762"/>
    <cellStyle name="40% - Accent3 6 8 2" xfId="13509"/>
    <cellStyle name="40% - Accent3 6 8 2 2" xfId="27058"/>
    <cellStyle name="40% - Accent3 6 8 3" xfId="21087"/>
    <cellStyle name="40% - Accent3 6 9" xfId="3763"/>
    <cellStyle name="40% - Accent3 6 9 2" xfId="14090"/>
    <cellStyle name="40% - Accent3 6 9 2 2" xfId="27639"/>
    <cellStyle name="40% - Accent3 6 9 3" xfId="21088"/>
    <cellStyle name="40% - Accent3 7" xfId="3764"/>
    <cellStyle name="40% - Accent3 7 10" xfId="3765"/>
    <cellStyle name="40% - Accent3 7 10 2" xfId="15993"/>
    <cellStyle name="40% - Accent3 7 10 2 2" xfId="29400"/>
    <cellStyle name="40% - Accent3 7 10 3" xfId="21090"/>
    <cellStyle name="40% - Accent3 7 11" xfId="9357"/>
    <cellStyle name="40% - Accent3 7 11 2" xfId="23832"/>
    <cellStyle name="40% - Accent3 7 12" xfId="21089"/>
    <cellStyle name="40% - Accent3 7 2" xfId="3766"/>
    <cellStyle name="40% - Accent3 7 2 10" xfId="9358"/>
    <cellStyle name="40% - Accent3 7 2 10 2" xfId="23833"/>
    <cellStyle name="40% - Accent3 7 2 11" xfId="21091"/>
    <cellStyle name="40% - Accent3 7 2 2" xfId="3767"/>
    <cellStyle name="40% - Accent3 7 2 2 2" xfId="3768"/>
    <cellStyle name="40% - Accent3 7 2 2 2 2" xfId="11086"/>
    <cellStyle name="40% - Accent3 7 2 2 2 2 2" xfId="25028"/>
    <cellStyle name="40% - Accent3 7 2 2 2 3" xfId="21093"/>
    <cellStyle name="40% - Accent3 7 2 2 3" xfId="3769"/>
    <cellStyle name="40% - Accent3 7 2 2 3 2" xfId="12859"/>
    <cellStyle name="40% - Accent3 7 2 2 3 2 2" xfId="26571"/>
    <cellStyle name="40% - Accent3 7 2 2 3 3" xfId="21094"/>
    <cellStyle name="40% - Accent3 7 2 2 4" xfId="3770"/>
    <cellStyle name="40% - Accent3 7 2 2 4 2" xfId="15263"/>
    <cellStyle name="40% - Accent3 7 2 2 4 2 2" xfId="28812"/>
    <cellStyle name="40% - Accent3 7 2 2 4 3" xfId="21095"/>
    <cellStyle name="40% - Accent3 7 2 2 5" xfId="3771"/>
    <cellStyle name="40% - Accent3 7 2 2 5 2" xfId="16863"/>
    <cellStyle name="40% - Accent3 7 2 2 5 2 2" xfId="30270"/>
    <cellStyle name="40% - Accent3 7 2 2 5 3" xfId="21096"/>
    <cellStyle name="40% - Accent3 7 2 2 6" xfId="9359"/>
    <cellStyle name="40% - Accent3 7 2 2 6 2" xfId="23834"/>
    <cellStyle name="40% - Accent3 7 2 2 7" xfId="21092"/>
    <cellStyle name="40% - Accent3 7 2 3" xfId="3772"/>
    <cellStyle name="40% - Accent3 7 2 3 2" xfId="3773"/>
    <cellStyle name="40% - Accent3 7 2 3 2 2" xfId="15264"/>
    <cellStyle name="40% - Accent3 7 2 3 2 2 2" xfId="28813"/>
    <cellStyle name="40% - Accent3 7 2 3 2 3" xfId="21098"/>
    <cellStyle name="40% - Accent3 7 2 3 3" xfId="11085"/>
    <cellStyle name="40% - Accent3 7 2 3 3 2" xfId="25027"/>
    <cellStyle name="40% - Accent3 7 2 3 4" xfId="21097"/>
    <cellStyle name="40% - Accent3 7 2 4" xfId="3774"/>
    <cellStyle name="40% - Accent3 7 2 4 2" xfId="12251"/>
    <cellStyle name="40% - Accent3 7 2 4 2 2" xfId="25963"/>
    <cellStyle name="40% - Accent3 7 2 4 3" xfId="21099"/>
    <cellStyle name="40% - Accent3 7 2 5" xfId="3775"/>
    <cellStyle name="40% - Accent3 7 2 5 2" xfId="12858"/>
    <cellStyle name="40% - Accent3 7 2 5 2 2" xfId="26570"/>
    <cellStyle name="40% - Accent3 7 2 5 3" xfId="21100"/>
    <cellStyle name="40% - Accent3 7 2 6" xfId="3776"/>
    <cellStyle name="40% - Accent3 7 2 6 2" xfId="13815"/>
    <cellStyle name="40% - Accent3 7 2 6 2 2" xfId="27364"/>
    <cellStyle name="40% - Accent3 7 2 6 3" xfId="21101"/>
    <cellStyle name="40% - Accent3 7 2 7" xfId="3777"/>
    <cellStyle name="40% - Accent3 7 2 7 2" xfId="14396"/>
    <cellStyle name="40% - Accent3 7 2 7 2 2" xfId="27945"/>
    <cellStyle name="40% - Accent3 7 2 7 3" xfId="21102"/>
    <cellStyle name="40% - Accent3 7 2 8" xfId="3778"/>
    <cellStyle name="40% - Accent3 7 2 8 2" xfId="15262"/>
    <cellStyle name="40% - Accent3 7 2 8 2 2" xfId="28811"/>
    <cellStyle name="40% - Accent3 7 2 8 3" xfId="21103"/>
    <cellStyle name="40% - Accent3 7 2 9" xfId="3779"/>
    <cellStyle name="40% - Accent3 7 2 9 2" xfId="16282"/>
    <cellStyle name="40% - Accent3 7 2 9 2 2" xfId="29689"/>
    <cellStyle name="40% - Accent3 7 2 9 3" xfId="21104"/>
    <cellStyle name="40% - Accent3 7 3" xfId="3780"/>
    <cellStyle name="40% - Accent3 7 3 2" xfId="3781"/>
    <cellStyle name="40% - Accent3 7 3 2 2" xfId="11087"/>
    <cellStyle name="40% - Accent3 7 3 2 2 2" xfId="25029"/>
    <cellStyle name="40% - Accent3 7 3 2 3" xfId="21106"/>
    <cellStyle name="40% - Accent3 7 3 3" xfId="3782"/>
    <cellStyle name="40% - Accent3 7 3 3 2" xfId="12860"/>
    <cellStyle name="40% - Accent3 7 3 3 2 2" xfId="26572"/>
    <cellStyle name="40% - Accent3 7 3 3 3" xfId="21107"/>
    <cellStyle name="40% - Accent3 7 3 4" xfId="3783"/>
    <cellStyle name="40% - Accent3 7 3 4 2" xfId="15265"/>
    <cellStyle name="40% - Accent3 7 3 4 2 2" xfId="28814"/>
    <cellStyle name="40% - Accent3 7 3 4 3" xfId="21108"/>
    <cellStyle name="40% - Accent3 7 3 5" xfId="3784"/>
    <cellStyle name="40% - Accent3 7 3 5 2" xfId="16574"/>
    <cellStyle name="40% - Accent3 7 3 5 2 2" xfId="29981"/>
    <cellStyle name="40% - Accent3 7 3 5 3" xfId="21109"/>
    <cellStyle name="40% - Accent3 7 3 6" xfId="9360"/>
    <cellStyle name="40% - Accent3 7 3 6 2" xfId="23835"/>
    <cellStyle name="40% - Accent3 7 3 7" xfId="21105"/>
    <cellStyle name="40% - Accent3 7 4" xfId="3785"/>
    <cellStyle name="40% - Accent3 7 4 2" xfId="3786"/>
    <cellStyle name="40% - Accent3 7 4 2 2" xfId="15266"/>
    <cellStyle name="40% - Accent3 7 4 2 2 2" xfId="28815"/>
    <cellStyle name="40% - Accent3 7 4 2 3" xfId="21111"/>
    <cellStyle name="40% - Accent3 7 4 3" xfId="11084"/>
    <cellStyle name="40% - Accent3 7 4 3 2" xfId="25026"/>
    <cellStyle name="40% - Accent3 7 4 4" xfId="21110"/>
    <cellStyle name="40% - Accent3 7 5" xfId="3787"/>
    <cellStyle name="40% - Accent3 7 5 2" xfId="11949"/>
    <cellStyle name="40% - Accent3 7 5 2 2" xfId="25664"/>
    <cellStyle name="40% - Accent3 7 5 3" xfId="21112"/>
    <cellStyle name="40% - Accent3 7 6" xfId="3788"/>
    <cellStyle name="40% - Accent3 7 6 2" xfId="12857"/>
    <cellStyle name="40% - Accent3 7 6 2 2" xfId="26569"/>
    <cellStyle name="40% - Accent3 7 6 3" xfId="21113"/>
    <cellStyle name="40% - Accent3 7 7" xfId="3789"/>
    <cellStyle name="40% - Accent3 7 7 2" xfId="13526"/>
    <cellStyle name="40% - Accent3 7 7 2 2" xfId="27075"/>
    <cellStyle name="40% - Accent3 7 7 3" xfId="21114"/>
    <cellStyle name="40% - Accent3 7 8" xfId="3790"/>
    <cellStyle name="40% - Accent3 7 8 2" xfId="14107"/>
    <cellStyle name="40% - Accent3 7 8 2 2" xfId="27656"/>
    <cellStyle name="40% - Accent3 7 8 3" xfId="21115"/>
    <cellStyle name="40% - Accent3 7 9" xfId="3791"/>
    <cellStyle name="40% - Accent3 7 9 2" xfId="15261"/>
    <cellStyle name="40% - Accent3 7 9 2 2" xfId="28810"/>
    <cellStyle name="40% - Accent3 7 9 3" xfId="21116"/>
    <cellStyle name="40% - Accent3 8" xfId="3792"/>
    <cellStyle name="40% - Accent3 8 10" xfId="9361"/>
    <cellStyle name="40% - Accent3 8 10 2" xfId="23836"/>
    <cellStyle name="40% - Accent3 8 11" xfId="21117"/>
    <cellStyle name="40% - Accent3 8 2" xfId="3793"/>
    <cellStyle name="40% - Accent3 8 2 2" xfId="3794"/>
    <cellStyle name="40% - Accent3 8 2 2 2" xfId="11089"/>
    <cellStyle name="40% - Accent3 8 2 2 2 2" xfId="25031"/>
    <cellStyle name="40% - Accent3 8 2 2 3" xfId="21119"/>
    <cellStyle name="40% - Accent3 8 2 3" xfId="3795"/>
    <cellStyle name="40% - Accent3 8 2 3 2" xfId="12862"/>
    <cellStyle name="40% - Accent3 8 2 3 2 2" xfId="26574"/>
    <cellStyle name="40% - Accent3 8 2 3 3" xfId="21120"/>
    <cellStyle name="40% - Accent3 8 2 4" xfId="3796"/>
    <cellStyle name="40% - Accent3 8 2 4 2" xfId="15268"/>
    <cellStyle name="40% - Accent3 8 2 4 2 2" xfId="28817"/>
    <cellStyle name="40% - Accent3 8 2 4 3" xfId="21121"/>
    <cellStyle name="40% - Accent3 8 2 5" xfId="3797"/>
    <cellStyle name="40% - Accent3 8 2 5 2" xfId="16720"/>
    <cellStyle name="40% - Accent3 8 2 5 2 2" xfId="30127"/>
    <cellStyle name="40% - Accent3 8 2 5 3" xfId="21122"/>
    <cellStyle name="40% - Accent3 8 2 6" xfId="9362"/>
    <cellStyle name="40% - Accent3 8 2 6 2" xfId="23837"/>
    <cellStyle name="40% - Accent3 8 2 7" xfId="21118"/>
    <cellStyle name="40% - Accent3 8 3" xfId="3798"/>
    <cellStyle name="40% - Accent3 8 3 2" xfId="3799"/>
    <cellStyle name="40% - Accent3 8 3 2 2" xfId="15269"/>
    <cellStyle name="40% - Accent3 8 3 2 2 2" xfId="28818"/>
    <cellStyle name="40% - Accent3 8 3 2 3" xfId="21124"/>
    <cellStyle name="40% - Accent3 8 3 3" xfId="11088"/>
    <cellStyle name="40% - Accent3 8 3 3 2" xfId="25030"/>
    <cellStyle name="40% - Accent3 8 3 4" xfId="21123"/>
    <cellStyle name="40% - Accent3 8 4" xfId="3800"/>
    <cellStyle name="40% - Accent3 8 4 2" xfId="12098"/>
    <cellStyle name="40% - Accent3 8 4 2 2" xfId="25812"/>
    <cellStyle name="40% - Accent3 8 4 3" xfId="21125"/>
    <cellStyle name="40% - Accent3 8 5" xfId="3801"/>
    <cellStyle name="40% - Accent3 8 5 2" xfId="12861"/>
    <cellStyle name="40% - Accent3 8 5 2 2" xfId="26573"/>
    <cellStyle name="40% - Accent3 8 5 3" xfId="21126"/>
    <cellStyle name="40% - Accent3 8 6" xfId="3802"/>
    <cellStyle name="40% - Accent3 8 6 2" xfId="13672"/>
    <cellStyle name="40% - Accent3 8 6 2 2" xfId="27221"/>
    <cellStyle name="40% - Accent3 8 6 3" xfId="21127"/>
    <cellStyle name="40% - Accent3 8 7" xfId="3803"/>
    <cellStyle name="40% - Accent3 8 7 2" xfId="14253"/>
    <cellStyle name="40% - Accent3 8 7 2 2" xfId="27802"/>
    <cellStyle name="40% - Accent3 8 7 3" xfId="21128"/>
    <cellStyle name="40% - Accent3 8 8" xfId="3804"/>
    <cellStyle name="40% - Accent3 8 8 2" xfId="15267"/>
    <cellStyle name="40% - Accent3 8 8 2 2" xfId="28816"/>
    <cellStyle name="40% - Accent3 8 8 3" xfId="21129"/>
    <cellStyle name="40% - Accent3 8 9" xfId="3805"/>
    <cellStyle name="40% - Accent3 8 9 2" xfId="16139"/>
    <cellStyle name="40% - Accent3 8 9 2 2" xfId="29546"/>
    <cellStyle name="40% - Accent3 8 9 3" xfId="21130"/>
    <cellStyle name="40% - Accent3 9" xfId="3806"/>
    <cellStyle name="40% - Accent3 9 2" xfId="3807"/>
    <cellStyle name="40% - Accent3 9 2 2" xfId="11090"/>
    <cellStyle name="40% - Accent3 9 2 2 2" xfId="25032"/>
    <cellStyle name="40% - Accent3 9 2 3" xfId="21132"/>
    <cellStyle name="40% - Accent3 9 3" xfId="3808"/>
    <cellStyle name="40% - Accent3 9 3 2" xfId="12863"/>
    <cellStyle name="40% - Accent3 9 3 2 2" xfId="26575"/>
    <cellStyle name="40% - Accent3 9 3 3" xfId="21133"/>
    <cellStyle name="40% - Accent3 9 4" xfId="3809"/>
    <cellStyle name="40% - Accent3 9 4 2" xfId="15270"/>
    <cellStyle name="40% - Accent3 9 4 2 2" xfId="28819"/>
    <cellStyle name="40% - Accent3 9 4 3" xfId="21134"/>
    <cellStyle name="40% - Accent3 9 5" xfId="3810"/>
    <cellStyle name="40% - Accent3 9 5 2" xfId="17104"/>
    <cellStyle name="40% - Accent3 9 5 2 2" xfId="30463"/>
    <cellStyle name="40% - Accent3 9 5 3" xfId="21135"/>
    <cellStyle name="40% - Accent3 9 6" xfId="9363"/>
    <cellStyle name="40% - Accent3 9 6 2" xfId="23838"/>
    <cellStyle name="40% - Accent3 9 7" xfId="21131"/>
    <cellStyle name="40% - Accent4" xfId="41" builtinId="43" customBuiltin="1"/>
    <cellStyle name="40% - Accent4 10" xfId="3811"/>
    <cellStyle name="40% - Accent4 10 2" xfId="3812"/>
    <cellStyle name="40% - Accent4 10 2 2" xfId="3813"/>
    <cellStyle name="40% - Accent4 10 2 2 2" xfId="12866"/>
    <cellStyle name="40% - Accent4 10 2 2 2 2" xfId="26578"/>
    <cellStyle name="40% - Accent4 10 2 2 3" xfId="21138"/>
    <cellStyle name="40% - Accent4 10 2 3" xfId="3814"/>
    <cellStyle name="40% - Accent4 10 2 3 2" xfId="15273"/>
    <cellStyle name="40% - Accent4 10 2 3 2 2" xfId="28822"/>
    <cellStyle name="40% - Accent4 10 2 3 3" xfId="21139"/>
    <cellStyle name="40% - Accent4 10 2 4" xfId="11092"/>
    <cellStyle name="40% - Accent4 10 2 4 2" xfId="25034"/>
    <cellStyle name="40% - Accent4 10 2 5" xfId="21137"/>
    <cellStyle name="40% - Accent4 10 3" xfId="3815"/>
    <cellStyle name="40% - Accent4 10 3 2" xfId="12865"/>
    <cellStyle name="40% - Accent4 10 3 2 2" xfId="26577"/>
    <cellStyle name="40% - Accent4 10 3 3" xfId="21140"/>
    <cellStyle name="40% - Accent4 10 4" xfId="3816"/>
    <cellStyle name="40% - Accent4 10 4 2" xfId="15272"/>
    <cellStyle name="40% - Accent4 10 4 2 2" xfId="28821"/>
    <cellStyle name="40% - Accent4 10 4 3" xfId="21141"/>
    <cellStyle name="40% - Accent4 10 5" xfId="3817"/>
    <cellStyle name="40% - Accent4 10 5 2" xfId="17194"/>
    <cellStyle name="40% - Accent4 10 5 2 2" xfId="30553"/>
    <cellStyle name="40% - Accent4 10 5 3" xfId="21142"/>
    <cellStyle name="40% - Accent4 10 6" xfId="9365"/>
    <cellStyle name="40% - Accent4 10 6 2" xfId="23840"/>
    <cellStyle name="40% - Accent4 10 7" xfId="21136"/>
    <cellStyle name="40% - Accent4 11" xfId="3818"/>
    <cellStyle name="40% - Accent4 11 2" xfId="3819"/>
    <cellStyle name="40% - Accent4 11 2 2" xfId="11093"/>
    <cellStyle name="40% - Accent4 11 2 2 2" xfId="25035"/>
    <cellStyle name="40% - Accent4 11 2 3" xfId="21144"/>
    <cellStyle name="40% - Accent4 11 3" xfId="3820"/>
    <cellStyle name="40% - Accent4 11 3 2" xfId="12867"/>
    <cellStyle name="40% - Accent4 11 3 2 2" xfId="26579"/>
    <cellStyle name="40% - Accent4 11 3 3" xfId="21145"/>
    <cellStyle name="40% - Accent4 11 4" xfId="3821"/>
    <cellStyle name="40% - Accent4 11 4 2" xfId="15274"/>
    <cellStyle name="40% - Accent4 11 4 2 2" xfId="28823"/>
    <cellStyle name="40% - Accent4 11 4 3" xfId="21146"/>
    <cellStyle name="40% - Accent4 11 5" xfId="3822"/>
    <cellStyle name="40% - Accent4 11 5 2" xfId="17283"/>
    <cellStyle name="40% - Accent4 11 5 2 2" xfId="30642"/>
    <cellStyle name="40% - Accent4 11 5 3" xfId="21147"/>
    <cellStyle name="40% - Accent4 11 6" xfId="9366"/>
    <cellStyle name="40% - Accent4 11 6 2" xfId="23841"/>
    <cellStyle name="40% - Accent4 11 7" xfId="21143"/>
    <cellStyle name="40% - Accent4 12" xfId="3823"/>
    <cellStyle name="40% - Accent4 12 2" xfId="3824"/>
    <cellStyle name="40% - Accent4 12 2 2" xfId="3825"/>
    <cellStyle name="40% - Accent4 12 2 2 2" xfId="11095"/>
    <cellStyle name="40% - Accent4 12 2 2 2 2" xfId="25037"/>
    <cellStyle name="40% - Accent4 12 2 2 3" xfId="21150"/>
    <cellStyle name="40% - Accent4 12 2 3" xfId="3826"/>
    <cellStyle name="40% - Accent4 12 2 3 2" xfId="12869"/>
    <cellStyle name="40% - Accent4 12 2 3 2 2" xfId="26581"/>
    <cellStyle name="40% - Accent4 12 2 3 3" xfId="21151"/>
    <cellStyle name="40% - Accent4 12 2 4" xfId="3827"/>
    <cellStyle name="40% - Accent4 12 2 4 2" xfId="15276"/>
    <cellStyle name="40% - Accent4 12 2 4 2 2" xfId="28825"/>
    <cellStyle name="40% - Accent4 12 2 4 3" xfId="21152"/>
    <cellStyle name="40% - Accent4 12 2 5" xfId="9368"/>
    <cellStyle name="40% - Accent4 12 2 5 2" xfId="23843"/>
    <cellStyle name="40% - Accent4 12 2 6" xfId="21149"/>
    <cellStyle name="40% - Accent4 12 3" xfId="3828"/>
    <cellStyle name="40% - Accent4 12 3 2" xfId="11094"/>
    <cellStyle name="40% - Accent4 12 3 2 2" xfId="25036"/>
    <cellStyle name="40% - Accent4 12 3 3" xfId="21153"/>
    <cellStyle name="40% - Accent4 12 4" xfId="3829"/>
    <cellStyle name="40% - Accent4 12 4 2" xfId="12868"/>
    <cellStyle name="40% - Accent4 12 4 2 2" xfId="26580"/>
    <cellStyle name="40% - Accent4 12 4 3" xfId="21154"/>
    <cellStyle name="40% - Accent4 12 5" xfId="3830"/>
    <cellStyle name="40% - Accent4 12 5 2" xfId="15275"/>
    <cellStyle name="40% - Accent4 12 5 2 2" xfId="28824"/>
    <cellStyle name="40% - Accent4 12 5 3" xfId="21155"/>
    <cellStyle name="40% - Accent4 12 6" xfId="3831"/>
    <cellStyle name="40% - Accent4 12 6 2" xfId="16435"/>
    <cellStyle name="40% - Accent4 12 6 2 2" xfId="29842"/>
    <cellStyle name="40% - Accent4 12 6 3" xfId="21156"/>
    <cellStyle name="40% - Accent4 12 7" xfId="9367"/>
    <cellStyle name="40% - Accent4 12 7 2" xfId="23842"/>
    <cellStyle name="40% - Accent4 12 8" xfId="21148"/>
    <cellStyle name="40% - Accent4 13" xfId="3832"/>
    <cellStyle name="40% - Accent4 13 2" xfId="3833"/>
    <cellStyle name="40% - Accent4 13 2 2" xfId="11096"/>
    <cellStyle name="40% - Accent4 13 2 2 2" xfId="25038"/>
    <cellStyle name="40% - Accent4 13 2 3" xfId="21158"/>
    <cellStyle name="40% - Accent4 13 3" xfId="3834"/>
    <cellStyle name="40% - Accent4 13 3 2" xfId="12870"/>
    <cellStyle name="40% - Accent4 13 3 2 2" xfId="26582"/>
    <cellStyle name="40% - Accent4 13 3 3" xfId="21159"/>
    <cellStyle name="40% - Accent4 13 4" xfId="3835"/>
    <cellStyle name="40% - Accent4 13 4 2" xfId="15277"/>
    <cellStyle name="40% - Accent4 13 4 2 2" xfId="28826"/>
    <cellStyle name="40% - Accent4 13 4 3" xfId="21160"/>
    <cellStyle name="40% - Accent4 13 5" xfId="9369"/>
    <cellStyle name="40% - Accent4 13 5 2" xfId="23844"/>
    <cellStyle name="40% - Accent4 13 6" xfId="21157"/>
    <cellStyle name="40% - Accent4 14" xfId="3836"/>
    <cellStyle name="40% - Accent4 14 2" xfId="3837"/>
    <cellStyle name="40% - Accent4 14 2 2" xfId="11097"/>
    <cellStyle name="40% - Accent4 14 2 2 2" xfId="25039"/>
    <cellStyle name="40% - Accent4 14 2 3" xfId="21162"/>
    <cellStyle name="40% - Accent4 14 3" xfId="3838"/>
    <cellStyle name="40% - Accent4 14 3 2" xfId="12871"/>
    <cellStyle name="40% - Accent4 14 3 2 2" xfId="26583"/>
    <cellStyle name="40% - Accent4 14 3 3" xfId="21163"/>
    <cellStyle name="40% - Accent4 14 4" xfId="3839"/>
    <cellStyle name="40% - Accent4 14 4 2" xfId="15278"/>
    <cellStyle name="40% - Accent4 14 4 2 2" xfId="28827"/>
    <cellStyle name="40% - Accent4 14 4 3" xfId="21164"/>
    <cellStyle name="40% - Accent4 14 5" xfId="9370"/>
    <cellStyle name="40% - Accent4 14 5 2" xfId="23845"/>
    <cellStyle name="40% - Accent4 14 6" xfId="21161"/>
    <cellStyle name="40% - Accent4 15" xfId="3840"/>
    <cellStyle name="40% - Accent4 15 2" xfId="3841"/>
    <cellStyle name="40% - Accent4 15 2 2" xfId="11098"/>
    <cellStyle name="40% - Accent4 15 2 2 2" xfId="25040"/>
    <cellStyle name="40% - Accent4 15 2 3" xfId="21166"/>
    <cellStyle name="40% - Accent4 15 3" xfId="3842"/>
    <cellStyle name="40% - Accent4 15 3 2" xfId="12872"/>
    <cellStyle name="40% - Accent4 15 3 2 2" xfId="26584"/>
    <cellStyle name="40% - Accent4 15 3 3" xfId="21167"/>
    <cellStyle name="40% - Accent4 15 4" xfId="3843"/>
    <cellStyle name="40% - Accent4 15 4 2" xfId="15279"/>
    <cellStyle name="40% - Accent4 15 4 2 2" xfId="28828"/>
    <cellStyle name="40% - Accent4 15 4 3" xfId="21168"/>
    <cellStyle name="40% - Accent4 15 5" xfId="9371"/>
    <cellStyle name="40% - Accent4 15 5 2" xfId="23846"/>
    <cellStyle name="40% - Accent4 15 6" xfId="21165"/>
    <cellStyle name="40% - Accent4 16" xfId="3844"/>
    <cellStyle name="40% - Accent4 16 2" xfId="3845"/>
    <cellStyle name="40% - Accent4 16 2 2" xfId="11099"/>
    <cellStyle name="40% - Accent4 16 2 2 2" xfId="25041"/>
    <cellStyle name="40% - Accent4 16 2 3" xfId="21170"/>
    <cellStyle name="40% - Accent4 16 3" xfId="3846"/>
    <cellStyle name="40% - Accent4 16 3 2" xfId="12873"/>
    <cellStyle name="40% - Accent4 16 3 2 2" xfId="26585"/>
    <cellStyle name="40% - Accent4 16 3 3" xfId="21171"/>
    <cellStyle name="40% - Accent4 16 4" xfId="3847"/>
    <cellStyle name="40% - Accent4 16 4 2" xfId="15280"/>
    <cellStyle name="40% - Accent4 16 4 2 2" xfId="28829"/>
    <cellStyle name="40% - Accent4 16 4 3" xfId="21172"/>
    <cellStyle name="40% - Accent4 16 5" xfId="9372"/>
    <cellStyle name="40% - Accent4 16 5 2" xfId="23847"/>
    <cellStyle name="40% - Accent4 16 6" xfId="21169"/>
    <cellStyle name="40% - Accent4 17" xfId="3848"/>
    <cellStyle name="40% - Accent4 17 2" xfId="3849"/>
    <cellStyle name="40% - Accent4 17 2 2" xfId="11100"/>
    <cellStyle name="40% - Accent4 17 2 2 2" xfId="25042"/>
    <cellStyle name="40% - Accent4 17 2 3" xfId="21174"/>
    <cellStyle name="40% - Accent4 17 3" xfId="3850"/>
    <cellStyle name="40% - Accent4 17 3 2" xfId="12874"/>
    <cellStyle name="40% - Accent4 17 3 2 2" xfId="26586"/>
    <cellStyle name="40% - Accent4 17 3 3" xfId="21175"/>
    <cellStyle name="40% - Accent4 17 4" xfId="3851"/>
    <cellStyle name="40% - Accent4 17 4 2" xfId="15281"/>
    <cellStyle name="40% - Accent4 17 4 2 2" xfId="28830"/>
    <cellStyle name="40% - Accent4 17 4 3" xfId="21176"/>
    <cellStyle name="40% - Accent4 17 5" xfId="9373"/>
    <cellStyle name="40% - Accent4 17 5 2" xfId="23848"/>
    <cellStyle name="40% - Accent4 17 6" xfId="21173"/>
    <cellStyle name="40% - Accent4 18" xfId="3852"/>
    <cellStyle name="40% - Accent4 18 2" xfId="3853"/>
    <cellStyle name="40% - Accent4 18 2 2" xfId="11101"/>
    <cellStyle name="40% - Accent4 18 2 2 2" xfId="25043"/>
    <cellStyle name="40% - Accent4 18 2 3" xfId="21178"/>
    <cellStyle name="40% - Accent4 18 3" xfId="3854"/>
    <cellStyle name="40% - Accent4 18 3 2" xfId="12875"/>
    <cellStyle name="40% - Accent4 18 3 2 2" xfId="26587"/>
    <cellStyle name="40% - Accent4 18 3 3" xfId="21179"/>
    <cellStyle name="40% - Accent4 18 4" xfId="3855"/>
    <cellStyle name="40% - Accent4 18 4 2" xfId="15282"/>
    <cellStyle name="40% - Accent4 18 4 2 2" xfId="28831"/>
    <cellStyle name="40% - Accent4 18 4 3" xfId="21180"/>
    <cellStyle name="40% - Accent4 18 5" xfId="9374"/>
    <cellStyle name="40% - Accent4 18 5 2" xfId="23849"/>
    <cellStyle name="40% - Accent4 18 6" xfId="21177"/>
    <cellStyle name="40% - Accent4 19" xfId="3856"/>
    <cellStyle name="40% - Accent4 19 2" xfId="3857"/>
    <cellStyle name="40% - Accent4 19 2 2" xfId="11719"/>
    <cellStyle name="40% - Accent4 19 2 2 2" xfId="25439"/>
    <cellStyle name="40% - Accent4 19 2 3" xfId="21182"/>
    <cellStyle name="40% - Accent4 19 3" xfId="3858"/>
    <cellStyle name="40% - Accent4 19 3 2" xfId="12876"/>
    <cellStyle name="40% - Accent4 19 3 2 2" xfId="26588"/>
    <cellStyle name="40% - Accent4 19 3 3" xfId="21183"/>
    <cellStyle name="40% - Accent4 19 4" xfId="3859"/>
    <cellStyle name="40% - Accent4 19 4 2" xfId="15283"/>
    <cellStyle name="40% - Accent4 19 4 2 2" xfId="28832"/>
    <cellStyle name="40% - Accent4 19 4 3" xfId="21184"/>
    <cellStyle name="40% - Accent4 19 5" xfId="10471"/>
    <cellStyle name="40% - Accent4 19 5 2" xfId="24430"/>
    <cellStyle name="40% - Accent4 19 6" xfId="21181"/>
    <cellStyle name="40% - Accent4 2" xfId="3860"/>
    <cellStyle name="40% - Accent4 2 10" xfId="3861"/>
    <cellStyle name="40% - Accent4 2 10 2" xfId="3862"/>
    <cellStyle name="40% - Accent4 2 10 2 2" xfId="15285"/>
    <cellStyle name="40% - Accent4 2 10 2 2 2" xfId="28834"/>
    <cellStyle name="40% - Accent4 2 10 2 3" xfId="21187"/>
    <cellStyle name="40% - Accent4 2 10 3" xfId="11843"/>
    <cellStyle name="40% - Accent4 2 10 3 2" xfId="25558"/>
    <cellStyle name="40% - Accent4 2 10 4" xfId="21186"/>
    <cellStyle name="40% - Accent4 2 11" xfId="3863"/>
    <cellStyle name="40% - Accent4 2 11 2" xfId="12877"/>
    <cellStyle name="40% - Accent4 2 11 2 2" xfId="26589"/>
    <cellStyle name="40% - Accent4 2 11 3" xfId="21188"/>
    <cellStyle name="40% - Accent4 2 12" xfId="3864"/>
    <cellStyle name="40% - Accent4 2 12 2" xfId="13442"/>
    <cellStyle name="40% - Accent4 2 12 2 2" xfId="26991"/>
    <cellStyle name="40% - Accent4 2 12 3" xfId="21189"/>
    <cellStyle name="40% - Accent4 2 13" xfId="3865"/>
    <cellStyle name="40% - Accent4 2 13 2" xfId="14023"/>
    <cellStyle name="40% - Accent4 2 13 2 2" xfId="27572"/>
    <cellStyle name="40% - Accent4 2 13 3" xfId="21190"/>
    <cellStyle name="40% - Accent4 2 14" xfId="3866"/>
    <cellStyle name="40% - Accent4 2 14 2" xfId="15284"/>
    <cellStyle name="40% - Accent4 2 14 2 2" xfId="28833"/>
    <cellStyle name="40% - Accent4 2 14 3" xfId="21191"/>
    <cellStyle name="40% - Accent4 2 15" xfId="3867"/>
    <cellStyle name="40% - Accent4 2 15 2" xfId="15909"/>
    <cellStyle name="40% - Accent4 2 15 2 2" xfId="29316"/>
    <cellStyle name="40% - Accent4 2 15 3" xfId="21192"/>
    <cellStyle name="40% - Accent4 2 16" xfId="9375"/>
    <cellStyle name="40% - Accent4 2 16 2" xfId="23850"/>
    <cellStyle name="40% - Accent4 2 17" xfId="21185"/>
    <cellStyle name="40% - Accent4 2 18" xfId="33075"/>
    <cellStyle name="40% - Accent4 2 2" xfId="3868"/>
    <cellStyle name="40% - Accent4 2 2 10" xfId="3869"/>
    <cellStyle name="40% - Accent4 2 2 10 2" xfId="15286"/>
    <cellStyle name="40% - Accent4 2 2 10 2 2" xfId="28835"/>
    <cellStyle name="40% - Accent4 2 2 10 3" xfId="21194"/>
    <cellStyle name="40% - Accent4 2 2 11" xfId="3870"/>
    <cellStyle name="40% - Accent4 2 2 11 2" xfId="15955"/>
    <cellStyle name="40% - Accent4 2 2 11 2 2" xfId="29362"/>
    <cellStyle name="40% - Accent4 2 2 11 3" xfId="21195"/>
    <cellStyle name="40% - Accent4 2 2 12" xfId="9376"/>
    <cellStyle name="40% - Accent4 2 2 12 2" xfId="23851"/>
    <cellStyle name="40% - Accent4 2 2 13" xfId="21193"/>
    <cellStyle name="40% - Accent4 2 2 2" xfId="3871"/>
    <cellStyle name="40% - Accent4 2 2 2 10" xfId="3872"/>
    <cellStyle name="40% - Accent4 2 2 2 10 2" xfId="16098"/>
    <cellStyle name="40% - Accent4 2 2 2 10 2 2" xfId="29505"/>
    <cellStyle name="40% - Accent4 2 2 2 10 3" xfId="21197"/>
    <cellStyle name="40% - Accent4 2 2 2 11" xfId="9377"/>
    <cellStyle name="40% - Accent4 2 2 2 11 2" xfId="23852"/>
    <cellStyle name="40% - Accent4 2 2 2 12" xfId="21196"/>
    <cellStyle name="40% - Accent4 2 2 2 2" xfId="3873"/>
    <cellStyle name="40% - Accent4 2 2 2 2 10" xfId="9378"/>
    <cellStyle name="40% - Accent4 2 2 2 2 10 2" xfId="23853"/>
    <cellStyle name="40% - Accent4 2 2 2 2 11" xfId="21198"/>
    <cellStyle name="40% - Accent4 2 2 2 2 2" xfId="3874"/>
    <cellStyle name="40% - Accent4 2 2 2 2 2 2" xfId="3875"/>
    <cellStyle name="40% - Accent4 2 2 2 2 2 2 2" xfId="11106"/>
    <cellStyle name="40% - Accent4 2 2 2 2 2 2 2 2" xfId="25048"/>
    <cellStyle name="40% - Accent4 2 2 2 2 2 2 3" xfId="21200"/>
    <cellStyle name="40% - Accent4 2 2 2 2 2 3" xfId="3876"/>
    <cellStyle name="40% - Accent4 2 2 2 2 2 3 2" xfId="12881"/>
    <cellStyle name="40% - Accent4 2 2 2 2 2 3 2 2" xfId="26593"/>
    <cellStyle name="40% - Accent4 2 2 2 2 2 3 3" xfId="21201"/>
    <cellStyle name="40% - Accent4 2 2 2 2 2 4" xfId="3877"/>
    <cellStyle name="40% - Accent4 2 2 2 2 2 4 2" xfId="15289"/>
    <cellStyle name="40% - Accent4 2 2 2 2 2 4 2 2" xfId="28838"/>
    <cellStyle name="40% - Accent4 2 2 2 2 2 4 3" xfId="21202"/>
    <cellStyle name="40% - Accent4 2 2 2 2 2 5" xfId="3878"/>
    <cellStyle name="40% - Accent4 2 2 2 2 2 5 2" xfId="16968"/>
    <cellStyle name="40% - Accent4 2 2 2 2 2 5 2 2" xfId="30375"/>
    <cellStyle name="40% - Accent4 2 2 2 2 2 5 3" xfId="21203"/>
    <cellStyle name="40% - Accent4 2 2 2 2 2 6" xfId="9379"/>
    <cellStyle name="40% - Accent4 2 2 2 2 2 6 2" xfId="23854"/>
    <cellStyle name="40% - Accent4 2 2 2 2 2 7" xfId="21199"/>
    <cellStyle name="40% - Accent4 2 2 2 2 3" xfId="3879"/>
    <cellStyle name="40% - Accent4 2 2 2 2 3 2" xfId="3880"/>
    <cellStyle name="40% - Accent4 2 2 2 2 3 2 2" xfId="15290"/>
    <cellStyle name="40% - Accent4 2 2 2 2 3 2 2 2" xfId="28839"/>
    <cellStyle name="40% - Accent4 2 2 2 2 3 2 3" xfId="21205"/>
    <cellStyle name="40% - Accent4 2 2 2 2 3 3" xfId="11105"/>
    <cellStyle name="40% - Accent4 2 2 2 2 3 3 2" xfId="25047"/>
    <cellStyle name="40% - Accent4 2 2 2 2 3 4" xfId="21204"/>
    <cellStyle name="40% - Accent4 2 2 2 2 4" xfId="3881"/>
    <cellStyle name="40% - Accent4 2 2 2 2 4 2" xfId="12356"/>
    <cellStyle name="40% - Accent4 2 2 2 2 4 2 2" xfId="26068"/>
    <cellStyle name="40% - Accent4 2 2 2 2 4 3" xfId="21206"/>
    <cellStyle name="40% - Accent4 2 2 2 2 5" xfId="3882"/>
    <cellStyle name="40% - Accent4 2 2 2 2 5 2" xfId="12880"/>
    <cellStyle name="40% - Accent4 2 2 2 2 5 2 2" xfId="26592"/>
    <cellStyle name="40% - Accent4 2 2 2 2 5 3" xfId="21207"/>
    <cellStyle name="40% - Accent4 2 2 2 2 6" xfId="3883"/>
    <cellStyle name="40% - Accent4 2 2 2 2 6 2" xfId="13920"/>
    <cellStyle name="40% - Accent4 2 2 2 2 6 2 2" xfId="27469"/>
    <cellStyle name="40% - Accent4 2 2 2 2 6 3" xfId="21208"/>
    <cellStyle name="40% - Accent4 2 2 2 2 7" xfId="3884"/>
    <cellStyle name="40% - Accent4 2 2 2 2 7 2" xfId="14501"/>
    <cellStyle name="40% - Accent4 2 2 2 2 7 2 2" xfId="28050"/>
    <cellStyle name="40% - Accent4 2 2 2 2 7 3" xfId="21209"/>
    <cellStyle name="40% - Accent4 2 2 2 2 8" xfId="3885"/>
    <cellStyle name="40% - Accent4 2 2 2 2 8 2" xfId="15288"/>
    <cellStyle name="40% - Accent4 2 2 2 2 8 2 2" xfId="28837"/>
    <cellStyle name="40% - Accent4 2 2 2 2 8 3" xfId="21210"/>
    <cellStyle name="40% - Accent4 2 2 2 2 9" xfId="3886"/>
    <cellStyle name="40% - Accent4 2 2 2 2 9 2" xfId="16387"/>
    <cellStyle name="40% - Accent4 2 2 2 2 9 2 2" xfId="29794"/>
    <cellStyle name="40% - Accent4 2 2 2 2 9 3" xfId="21211"/>
    <cellStyle name="40% - Accent4 2 2 2 3" xfId="3887"/>
    <cellStyle name="40% - Accent4 2 2 2 3 2" xfId="3888"/>
    <cellStyle name="40% - Accent4 2 2 2 3 2 2" xfId="11107"/>
    <cellStyle name="40% - Accent4 2 2 2 3 2 2 2" xfId="25049"/>
    <cellStyle name="40% - Accent4 2 2 2 3 2 3" xfId="21213"/>
    <cellStyle name="40% - Accent4 2 2 2 3 3" xfId="3889"/>
    <cellStyle name="40% - Accent4 2 2 2 3 3 2" xfId="12882"/>
    <cellStyle name="40% - Accent4 2 2 2 3 3 2 2" xfId="26594"/>
    <cellStyle name="40% - Accent4 2 2 2 3 3 3" xfId="21214"/>
    <cellStyle name="40% - Accent4 2 2 2 3 4" xfId="3890"/>
    <cellStyle name="40% - Accent4 2 2 2 3 4 2" xfId="15291"/>
    <cellStyle name="40% - Accent4 2 2 2 3 4 2 2" xfId="28840"/>
    <cellStyle name="40% - Accent4 2 2 2 3 4 3" xfId="21215"/>
    <cellStyle name="40% - Accent4 2 2 2 3 5" xfId="3891"/>
    <cellStyle name="40% - Accent4 2 2 2 3 5 2" xfId="16679"/>
    <cellStyle name="40% - Accent4 2 2 2 3 5 2 2" xfId="30086"/>
    <cellStyle name="40% - Accent4 2 2 2 3 5 3" xfId="21216"/>
    <cellStyle name="40% - Accent4 2 2 2 3 6" xfId="9380"/>
    <cellStyle name="40% - Accent4 2 2 2 3 6 2" xfId="23855"/>
    <cellStyle name="40% - Accent4 2 2 2 3 7" xfId="21212"/>
    <cellStyle name="40% - Accent4 2 2 2 4" xfId="3892"/>
    <cellStyle name="40% - Accent4 2 2 2 4 2" xfId="3893"/>
    <cellStyle name="40% - Accent4 2 2 2 4 2 2" xfId="15292"/>
    <cellStyle name="40% - Accent4 2 2 2 4 2 2 2" xfId="28841"/>
    <cellStyle name="40% - Accent4 2 2 2 4 2 3" xfId="21218"/>
    <cellStyle name="40% - Accent4 2 2 2 4 3" xfId="11104"/>
    <cellStyle name="40% - Accent4 2 2 2 4 3 2" xfId="25046"/>
    <cellStyle name="40% - Accent4 2 2 2 4 4" xfId="21217"/>
    <cellStyle name="40% - Accent4 2 2 2 5" xfId="3894"/>
    <cellStyle name="40% - Accent4 2 2 2 5 2" xfId="12056"/>
    <cellStyle name="40% - Accent4 2 2 2 5 2 2" xfId="25771"/>
    <cellStyle name="40% - Accent4 2 2 2 5 3" xfId="21219"/>
    <cellStyle name="40% - Accent4 2 2 2 6" xfId="3895"/>
    <cellStyle name="40% - Accent4 2 2 2 6 2" xfId="12879"/>
    <cellStyle name="40% - Accent4 2 2 2 6 2 2" xfId="26591"/>
    <cellStyle name="40% - Accent4 2 2 2 6 3" xfId="21220"/>
    <cellStyle name="40% - Accent4 2 2 2 7" xfId="3896"/>
    <cellStyle name="40% - Accent4 2 2 2 7 2" xfId="13631"/>
    <cellStyle name="40% - Accent4 2 2 2 7 2 2" xfId="27180"/>
    <cellStyle name="40% - Accent4 2 2 2 7 3" xfId="21221"/>
    <cellStyle name="40% - Accent4 2 2 2 8" xfId="3897"/>
    <cellStyle name="40% - Accent4 2 2 2 8 2" xfId="14212"/>
    <cellStyle name="40% - Accent4 2 2 2 8 2 2" xfId="27761"/>
    <cellStyle name="40% - Accent4 2 2 2 8 3" xfId="21222"/>
    <cellStyle name="40% - Accent4 2 2 2 9" xfId="3898"/>
    <cellStyle name="40% - Accent4 2 2 2 9 2" xfId="15287"/>
    <cellStyle name="40% - Accent4 2 2 2 9 2 2" xfId="28836"/>
    <cellStyle name="40% - Accent4 2 2 2 9 3" xfId="21223"/>
    <cellStyle name="40% - Accent4 2 2 3" xfId="3899"/>
    <cellStyle name="40% - Accent4 2 2 3 10" xfId="9381"/>
    <cellStyle name="40% - Accent4 2 2 3 10 2" xfId="23856"/>
    <cellStyle name="40% - Accent4 2 2 3 11" xfId="21224"/>
    <cellStyle name="40% - Accent4 2 2 3 2" xfId="3900"/>
    <cellStyle name="40% - Accent4 2 2 3 2 2" xfId="3901"/>
    <cellStyle name="40% - Accent4 2 2 3 2 2 2" xfId="11109"/>
    <cellStyle name="40% - Accent4 2 2 3 2 2 2 2" xfId="25051"/>
    <cellStyle name="40% - Accent4 2 2 3 2 2 3" xfId="21226"/>
    <cellStyle name="40% - Accent4 2 2 3 2 3" xfId="3902"/>
    <cellStyle name="40% - Accent4 2 2 3 2 3 2" xfId="12884"/>
    <cellStyle name="40% - Accent4 2 2 3 2 3 2 2" xfId="26596"/>
    <cellStyle name="40% - Accent4 2 2 3 2 3 3" xfId="21227"/>
    <cellStyle name="40% - Accent4 2 2 3 2 4" xfId="3903"/>
    <cellStyle name="40% - Accent4 2 2 3 2 4 2" xfId="15294"/>
    <cellStyle name="40% - Accent4 2 2 3 2 4 2 2" xfId="28843"/>
    <cellStyle name="40% - Accent4 2 2 3 2 4 3" xfId="21228"/>
    <cellStyle name="40% - Accent4 2 2 3 2 5" xfId="3904"/>
    <cellStyle name="40% - Accent4 2 2 3 2 5 2" xfId="16825"/>
    <cellStyle name="40% - Accent4 2 2 3 2 5 2 2" xfId="30232"/>
    <cellStyle name="40% - Accent4 2 2 3 2 5 3" xfId="21229"/>
    <cellStyle name="40% - Accent4 2 2 3 2 6" xfId="9382"/>
    <cellStyle name="40% - Accent4 2 2 3 2 6 2" xfId="23857"/>
    <cellStyle name="40% - Accent4 2 2 3 2 7" xfId="21225"/>
    <cellStyle name="40% - Accent4 2 2 3 3" xfId="3905"/>
    <cellStyle name="40% - Accent4 2 2 3 3 2" xfId="3906"/>
    <cellStyle name="40% - Accent4 2 2 3 3 2 2" xfId="15295"/>
    <cellStyle name="40% - Accent4 2 2 3 3 2 2 2" xfId="28844"/>
    <cellStyle name="40% - Accent4 2 2 3 3 2 3" xfId="21231"/>
    <cellStyle name="40% - Accent4 2 2 3 3 3" xfId="11108"/>
    <cellStyle name="40% - Accent4 2 2 3 3 3 2" xfId="25050"/>
    <cellStyle name="40% - Accent4 2 2 3 3 4" xfId="21230"/>
    <cellStyle name="40% - Accent4 2 2 3 4" xfId="3907"/>
    <cellStyle name="40% - Accent4 2 2 3 4 2" xfId="12213"/>
    <cellStyle name="40% - Accent4 2 2 3 4 2 2" xfId="25925"/>
    <cellStyle name="40% - Accent4 2 2 3 4 3" xfId="21232"/>
    <cellStyle name="40% - Accent4 2 2 3 5" xfId="3908"/>
    <cellStyle name="40% - Accent4 2 2 3 5 2" xfId="12883"/>
    <cellStyle name="40% - Accent4 2 2 3 5 2 2" xfId="26595"/>
    <cellStyle name="40% - Accent4 2 2 3 5 3" xfId="21233"/>
    <cellStyle name="40% - Accent4 2 2 3 6" xfId="3909"/>
    <cellStyle name="40% - Accent4 2 2 3 6 2" xfId="13777"/>
    <cellStyle name="40% - Accent4 2 2 3 6 2 2" xfId="27326"/>
    <cellStyle name="40% - Accent4 2 2 3 6 3" xfId="21234"/>
    <cellStyle name="40% - Accent4 2 2 3 7" xfId="3910"/>
    <cellStyle name="40% - Accent4 2 2 3 7 2" xfId="14358"/>
    <cellStyle name="40% - Accent4 2 2 3 7 2 2" xfId="27907"/>
    <cellStyle name="40% - Accent4 2 2 3 7 3" xfId="21235"/>
    <cellStyle name="40% - Accent4 2 2 3 8" xfId="3911"/>
    <cellStyle name="40% - Accent4 2 2 3 8 2" xfId="15293"/>
    <cellStyle name="40% - Accent4 2 2 3 8 2 2" xfId="28842"/>
    <cellStyle name="40% - Accent4 2 2 3 8 3" xfId="21236"/>
    <cellStyle name="40% - Accent4 2 2 3 9" xfId="3912"/>
    <cellStyle name="40% - Accent4 2 2 3 9 2" xfId="16244"/>
    <cellStyle name="40% - Accent4 2 2 3 9 2 2" xfId="29651"/>
    <cellStyle name="40% - Accent4 2 2 3 9 3" xfId="21237"/>
    <cellStyle name="40% - Accent4 2 2 4" xfId="3913"/>
    <cellStyle name="40% - Accent4 2 2 4 2" xfId="3914"/>
    <cellStyle name="40% - Accent4 2 2 4 2 2" xfId="11110"/>
    <cellStyle name="40% - Accent4 2 2 4 2 2 2" xfId="25052"/>
    <cellStyle name="40% - Accent4 2 2 4 2 3" xfId="21239"/>
    <cellStyle name="40% - Accent4 2 2 4 3" xfId="3915"/>
    <cellStyle name="40% - Accent4 2 2 4 3 2" xfId="12885"/>
    <cellStyle name="40% - Accent4 2 2 4 3 2 2" xfId="26597"/>
    <cellStyle name="40% - Accent4 2 2 4 3 3" xfId="21240"/>
    <cellStyle name="40% - Accent4 2 2 4 4" xfId="3916"/>
    <cellStyle name="40% - Accent4 2 2 4 4 2" xfId="15296"/>
    <cellStyle name="40% - Accent4 2 2 4 4 2 2" xfId="28845"/>
    <cellStyle name="40% - Accent4 2 2 4 4 3" xfId="21241"/>
    <cellStyle name="40% - Accent4 2 2 4 5" xfId="3917"/>
    <cellStyle name="40% - Accent4 2 2 4 5 2" xfId="17172"/>
    <cellStyle name="40% - Accent4 2 2 4 5 2 2" xfId="30531"/>
    <cellStyle name="40% - Accent4 2 2 4 5 3" xfId="21242"/>
    <cellStyle name="40% - Accent4 2 2 4 6" xfId="9383"/>
    <cellStyle name="40% - Accent4 2 2 4 6 2" xfId="23858"/>
    <cellStyle name="40% - Accent4 2 2 4 7" xfId="21238"/>
    <cellStyle name="40% - Accent4 2 2 5" xfId="3918"/>
    <cellStyle name="40% - Accent4 2 2 5 2" xfId="3919"/>
    <cellStyle name="40% - Accent4 2 2 5 2 2" xfId="15297"/>
    <cellStyle name="40% - Accent4 2 2 5 2 2 2" xfId="28846"/>
    <cellStyle name="40% - Accent4 2 2 5 2 3" xfId="21244"/>
    <cellStyle name="40% - Accent4 2 2 5 3" xfId="3920"/>
    <cellStyle name="40% - Accent4 2 2 5 3 2" xfId="17261"/>
    <cellStyle name="40% - Accent4 2 2 5 3 2 2" xfId="30620"/>
    <cellStyle name="40% - Accent4 2 2 5 3 3" xfId="21245"/>
    <cellStyle name="40% - Accent4 2 2 5 4" xfId="11103"/>
    <cellStyle name="40% - Accent4 2 2 5 4 2" xfId="25045"/>
    <cellStyle name="40% - Accent4 2 2 5 5" xfId="21243"/>
    <cellStyle name="40% - Accent4 2 2 6" xfId="3921"/>
    <cellStyle name="40% - Accent4 2 2 6 2" xfId="3922"/>
    <cellStyle name="40% - Accent4 2 2 6 2 2" xfId="16536"/>
    <cellStyle name="40% - Accent4 2 2 6 2 2 2" xfId="29943"/>
    <cellStyle name="40% - Accent4 2 2 6 2 3" xfId="21247"/>
    <cellStyle name="40% - Accent4 2 2 6 3" xfId="11911"/>
    <cellStyle name="40% - Accent4 2 2 6 3 2" xfId="25626"/>
    <cellStyle name="40% - Accent4 2 2 6 4" xfId="21246"/>
    <cellStyle name="40% - Accent4 2 2 7" xfId="3923"/>
    <cellStyle name="40% - Accent4 2 2 7 2" xfId="12878"/>
    <cellStyle name="40% - Accent4 2 2 7 2 2" xfId="26590"/>
    <cellStyle name="40% - Accent4 2 2 7 3" xfId="21248"/>
    <cellStyle name="40% - Accent4 2 2 8" xfId="3924"/>
    <cellStyle name="40% - Accent4 2 2 8 2" xfId="13488"/>
    <cellStyle name="40% - Accent4 2 2 8 2 2" xfId="27037"/>
    <cellStyle name="40% - Accent4 2 2 8 3" xfId="21249"/>
    <cellStyle name="40% - Accent4 2 2 9" xfId="3925"/>
    <cellStyle name="40% - Accent4 2 2 9 2" xfId="14069"/>
    <cellStyle name="40% - Accent4 2 2 9 2 2" xfId="27618"/>
    <cellStyle name="40% - Accent4 2 2 9 3" xfId="21250"/>
    <cellStyle name="40% - Accent4 2 3" xfId="3926"/>
    <cellStyle name="40% - Accent4 2 3 10" xfId="3927"/>
    <cellStyle name="40% - Accent4 2 3 10 2" xfId="16052"/>
    <cellStyle name="40% - Accent4 2 3 10 2 2" xfId="29459"/>
    <cellStyle name="40% - Accent4 2 3 10 3" xfId="21252"/>
    <cellStyle name="40% - Accent4 2 3 11" xfId="9384"/>
    <cellStyle name="40% - Accent4 2 3 11 2" xfId="23859"/>
    <cellStyle name="40% - Accent4 2 3 12" xfId="21251"/>
    <cellStyle name="40% - Accent4 2 3 2" xfId="3928"/>
    <cellStyle name="40% - Accent4 2 3 2 10" xfId="9385"/>
    <cellStyle name="40% - Accent4 2 3 2 10 2" xfId="23860"/>
    <cellStyle name="40% - Accent4 2 3 2 11" xfId="21253"/>
    <cellStyle name="40% - Accent4 2 3 2 2" xfId="3929"/>
    <cellStyle name="40% - Accent4 2 3 2 2 2" xfId="3930"/>
    <cellStyle name="40% - Accent4 2 3 2 2 2 2" xfId="11113"/>
    <cellStyle name="40% - Accent4 2 3 2 2 2 2 2" xfId="25055"/>
    <cellStyle name="40% - Accent4 2 3 2 2 2 3" xfId="21255"/>
    <cellStyle name="40% - Accent4 2 3 2 2 3" xfId="3931"/>
    <cellStyle name="40% - Accent4 2 3 2 2 3 2" xfId="12888"/>
    <cellStyle name="40% - Accent4 2 3 2 2 3 2 2" xfId="26600"/>
    <cellStyle name="40% - Accent4 2 3 2 2 3 3" xfId="21256"/>
    <cellStyle name="40% - Accent4 2 3 2 2 4" xfId="3932"/>
    <cellStyle name="40% - Accent4 2 3 2 2 4 2" xfId="15300"/>
    <cellStyle name="40% - Accent4 2 3 2 2 4 2 2" xfId="28849"/>
    <cellStyle name="40% - Accent4 2 3 2 2 4 3" xfId="21257"/>
    <cellStyle name="40% - Accent4 2 3 2 2 5" xfId="3933"/>
    <cellStyle name="40% - Accent4 2 3 2 2 5 2" xfId="16922"/>
    <cellStyle name="40% - Accent4 2 3 2 2 5 2 2" xfId="30329"/>
    <cellStyle name="40% - Accent4 2 3 2 2 5 3" xfId="21258"/>
    <cellStyle name="40% - Accent4 2 3 2 2 6" xfId="9386"/>
    <cellStyle name="40% - Accent4 2 3 2 2 6 2" xfId="23861"/>
    <cellStyle name="40% - Accent4 2 3 2 2 7" xfId="21254"/>
    <cellStyle name="40% - Accent4 2 3 2 3" xfId="3934"/>
    <cellStyle name="40% - Accent4 2 3 2 3 2" xfId="3935"/>
    <cellStyle name="40% - Accent4 2 3 2 3 2 2" xfId="15301"/>
    <cellStyle name="40% - Accent4 2 3 2 3 2 2 2" xfId="28850"/>
    <cellStyle name="40% - Accent4 2 3 2 3 2 3" xfId="21260"/>
    <cellStyle name="40% - Accent4 2 3 2 3 3" xfId="11112"/>
    <cellStyle name="40% - Accent4 2 3 2 3 3 2" xfId="25054"/>
    <cellStyle name="40% - Accent4 2 3 2 3 4" xfId="21259"/>
    <cellStyle name="40% - Accent4 2 3 2 4" xfId="3936"/>
    <cellStyle name="40% - Accent4 2 3 2 4 2" xfId="12310"/>
    <cellStyle name="40% - Accent4 2 3 2 4 2 2" xfId="26022"/>
    <cellStyle name="40% - Accent4 2 3 2 4 3" xfId="21261"/>
    <cellStyle name="40% - Accent4 2 3 2 5" xfId="3937"/>
    <cellStyle name="40% - Accent4 2 3 2 5 2" xfId="12887"/>
    <cellStyle name="40% - Accent4 2 3 2 5 2 2" xfId="26599"/>
    <cellStyle name="40% - Accent4 2 3 2 5 3" xfId="21262"/>
    <cellStyle name="40% - Accent4 2 3 2 6" xfId="3938"/>
    <cellStyle name="40% - Accent4 2 3 2 6 2" xfId="13874"/>
    <cellStyle name="40% - Accent4 2 3 2 6 2 2" xfId="27423"/>
    <cellStyle name="40% - Accent4 2 3 2 6 3" xfId="21263"/>
    <cellStyle name="40% - Accent4 2 3 2 7" xfId="3939"/>
    <cellStyle name="40% - Accent4 2 3 2 7 2" xfId="14455"/>
    <cellStyle name="40% - Accent4 2 3 2 7 2 2" xfId="28004"/>
    <cellStyle name="40% - Accent4 2 3 2 7 3" xfId="21264"/>
    <cellStyle name="40% - Accent4 2 3 2 8" xfId="3940"/>
    <cellStyle name="40% - Accent4 2 3 2 8 2" xfId="15299"/>
    <cellStyle name="40% - Accent4 2 3 2 8 2 2" xfId="28848"/>
    <cellStyle name="40% - Accent4 2 3 2 8 3" xfId="21265"/>
    <cellStyle name="40% - Accent4 2 3 2 9" xfId="3941"/>
    <cellStyle name="40% - Accent4 2 3 2 9 2" xfId="16341"/>
    <cellStyle name="40% - Accent4 2 3 2 9 2 2" xfId="29748"/>
    <cellStyle name="40% - Accent4 2 3 2 9 3" xfId="21266"/>
    <cellStyle name="40% - Accent4 2 3 3" xfId="3942"/>
    <cellStyle name="40% - Accent4 2 3 3 2" xfId="3943"/>
    <cellStyle name="40% - Accent4 2 3 3 2 2" xfId="11114"/>
    <cellStyle name="40% - Accent4 2 3 3 2 2 2" xfId="25056"/>
    <cellStyle name="40% - Accent4 2 3 3 2 3" xfId="21268"/>
    <cellStyle name="40% - Accent4 2 3 3 3" xfId="3944"/>
    <cellStyle name="40% - Accent4 2 3 3 3 2" xfId="12889"/>
    <cellStyle name="40% - Accent4 2 3 3 3 2 2" xfId="26601"/>
    <cellStyle name="40% - Accent4 2 3 3 3 3" xfId="21269"/>
    <cellStyle name="40% - Accent4 2 3 3 4" xfId="3945"/>
    <cellStyle name="40% - Accent4 2 3 3 4 2" xfId="15302"/>
    <cellStyle name="40% - Accent4 2 3 3 4 2 2" xfId="28851"/>
    <cellStyle name="40% - Accent4 2 3 3 4 3" xfId="21270"/>
    <cellStyle name="40% - Accent4 2 3 3 5" xfId="3946"/>
    <cellStyle name="40% - Accent4 2 3 3 5 2" xfId="16633"/>
    <cellStyle name="40% - Accent4 2 3 3 5 2 2" xfId="30040"/>
    <cellStyle name="40% - Accent4 2 3 3 5 3" xfId="21271"/>
    <cellStyle name="40% - Accent4 2 3 3 6" xfId="9387"/>
    <cellStyle name="40% - Accent4 2 3 3 6 2" xfId="23862"/>
    <cellStyle name="40% - Accent4 2 3 3 7" xfId="21267"/>
    <cellStyle name="40% - Accent4 2 3 4" xfId="3947"/>
    <cellStyle name="40% - Accent4 2 3 4 2" xfId="3948"/>
    <cellStyle name="40% - Accent4 2 3 4 2 2" xfId="15303"/>
    <cellStyle name="40% - Accent4 2 3 4 2 2 2" xfId="28852"/>
    <cellStyle name="40% - Accent4 2 3 4 2 3" xfId="21273"/>
    <cellStyle name="40% - Accent4 2 3 4 3" xfId="11111"/>
    <cellStyle name="40% - Accent4 2 3 4 3 2" xfId="25053"/>
    <cellStyle name="40% - Accent4 2 3 4 4" xfId="21272"/>
    <cellStyle name="40% - Accent4 2 3 5" xfId="3949"/>
    <cellStyle name="40% - Accent4 2 3 5 2" xfId="12010"/>
    <cellStyle name="40% - Accent4 2 3 5 2 2" xfId="25725"/>
    <cellStyle name="40% - Accent4 2 3 5 3" xfId="21274"/>
    <cellStyle name="40% - Accent4 2 3 6" xfId="3950"/>
    <cellStyle name="40% - Accent4 2 3 6 2" xfId="12886"/>
    <cellStyle name="40% - Accent4 2 3 6 2 2" xfId="26598"/>
    <cellStyle name="40% - Accent4 2 3 6 3" xfId="21275"/>
    <cellStyle name="40% - Accent4 2 3 7" xfId="3951"/>
    <cellStyle name="40% - Accent4 2 3 7 2" xfId="13585"/>
    <cellStyle name="40% - Accent4 2 3 7 2 2" xfId="27134"/>
    <cellStyle name="40% - Accent4 2 3 7 3" xfId="21276"/>
    <cellStyle name="40% - Accent4 2 3 8" xfId="3952"/>
    <cellStyle name="40% - Accent4 2 3 8 2" xfId="14166"/>
    <cellStyle name="40% - Accent4 2 3 8 2 2" xfId="27715"/>
    <cellStyle name="40% - Accent4 2 3 8 3" xfId="21277"/>
    <cellStyle name="40% - Accent4 2 3 9" xfId="3953"/>
    <cellStyle name="40% - Accent4 2 3 9 2" xfId="15298"/>
    <cellStyle name="40% - Accent4 2 3 9 2 2" xfId="28847"/>
    <cellStyle name="40% - Accent4 2 3 9 3" xfId="21278"/>
    <cellStyle name="40% - Accent4 2 4" xfId="3954"/>
    <cellStyle name="40% - Accent4 2 4 10" xfId="9388"/>
    <cellStyle name="40% - Accent4 2 4 10 2" xfId="23863"/>
    <cellStyle name="40% - Accent4 2 4 11" xfId="21279"/>
    <cellStyle name="40% - Accent4 2 4 2" xfId="3955"/>
    <cellStyle name="40% - Accent4 2 4 2 2" xfId="3956"/>
    <cellStyle name="40% - Accent4 2 4 2 2 2" xfId="11116"/>
    <cellStyle name="40% - Accent4 2 4 2 2 2 2" xfId="25058"/>
    <cellStyle name="40% - Accent4 2 4 2 2 3" xfId="21281"/>
    <cellStyle name="40% - Accent4 2 4 2 3" xfId="3957"/>
    <cellStyle name="40% - Accent4 2 4 2 3 2" xfId="12891"/>
    <cellStyle name="40% - Accent4 2 4 2 3 2 2" xfId="26603"/>
    <cellStyle name="40% - Accent4 2 4 2 3 3" xfId="21282"/>
    <cellStyle name="40% - Accent4 2 4 2 4" xfId="3958"/>
    <cellStyle name="40% - Accent4 2 4 2 4 2" xfId="15305"/>
    <cellStyle name="40% - Accent4 2 4 2 4 2 2" xfId="28854"/>
    <cellStyle name="40% - Accent4 2 4 2 4 3" xfId="21283"/>
    <cellStyle name="40% - Accent4 2 4 2 5" xfId="3959"/>
    <cellStyle name="40% - Accent4 2 4 2 5 2" xfId="16779"/>
    <cellStyle name="40% - Accent4 2 4 2 5 2 2" xfId="30186"/>
    <cellStyle name="40% - Accent4 2 4 2 5 3" xfId="21284"/>
    <cellStyle name="40% - Accent4 2 4 2 6" xfId="9389"/>
    <cellStyle name="40% - Accent4 2 4 2 6 2" xfId="23864"/>
    <cellStyle name="40% - Accent4 2 4 2 7" xfId="21280"/>
    <cellStyle name="40% - Accent4 2 4 3" xfId="3960"/>
    <cellStyle name="40% - Accent4 2 4 3 2" xfId="3961"/>
    <cellStyle name="40% - Accent4 2 4 3 2 2" xfId="15306"/>
    <cellStyle name="40% - Accent4 2 4 3 2 2 2" xfId="28855"/>
    <cellStyle name="40% - Accent4 2 4 3 2 3" xfId="21286"/>
    <cellStyle name="40% - Accent4 2 4 3 3" xfId="11115"/>
    <cellStyle name="40% - Accent4 2 4 3 3 2" xfId="25057"/>
    <cellStyle name="40% - Accent4 2 4 3 4" xfId="21285"/>
    <cellStyle name="40% - Accent4 2 4 4" xfId="3962"/>
    <cellStyle name="40% - Accent4 2 4 4 2" xfId="12167"/>
    <cellStyle name="40% - Accent4 2 4 4 2 2" xfId="25879"/>
    <cellStyle name="40% - Accent4 2 4 4 3" xfId="21287"/>
    <cellStyle name="40% - Accent4 2 4 5" xfId="3963"/>
    <cellStyle name="40% - Accent4 2 4 5 2" xfId="12890"/>
    <cellStyle name="40% - Accent4 2 4 5 2 2" xfId="26602"/>
    <cellStyle name="40% - Accent4 2 4 5 3" xfId="21288"/>
    <cellStyle name="40% - Accent4 2 4 6" xfId="3964"/>
    <cellStyle name="40% - Accent4 2 4 6 2" xfId="13731"/>
    <cellStyle name="40% - Accent4 2 4 6 2 2" xfId="27280"/>
    <cellStyle name="40% - Accent4 2 4 6 3" xfId="21289"/>
    <cellStyle name="40% - Accent4 2 4 7" xfId="3965"/>
    <cellStyle name="40% - Accent4 2 4 7 2" xfId="14312"/>
    <cellStyle name="40% - Accent4 2 4 7 2 2" xfId="27861"/>
    <cellStyle name="40% - Accent4 2 4 7 3" xfId="21290"/>
    <cellStyle name="40% - Accent4 2 4 8" xfId="3966"/>
    <cellStyle name="40% - Accent4 2 4 8 2" xfId="15304"/>
    <cellStyle name="40% - Accent4 2 4 8 2 2" xfId="28853"/>
    <cellStyle name="40% - Accent4 2 4 8 3" xfId="21291"/>
    <cellStyle name="40% - Accent4 2 4 9" xfId="3967"/>
    <cellStyle name="40% - Accent4 2 4 9 2" xfId="16198"/>
    <cellStyle name="40% - Accent4 2 4 9 2 2" xfId="29605"/>
    <cellStyle name="40% - Accent4 2 4 9 3" xfId="21292"/>
    <cellStyle name="40% - Accent4 2 5" xfId="3968"/>
    <cellStyle name="40% - Accent4 2 5 2" xfId="3969"/>
    <cellStyle name="40% - Accent4 2 5 2 2" xfId="3970"/>
    <cellStyle name="40% - Accent4 2 5 2 2 2" xfId="11118"/>
    <cellStyle name="40% - Accent4 2 5 2 2 2 2" xfId="25060"/>
    <cellStyle name="40% - Accent4 2 5 2 2 3" xfId="21295"/>
    <cellStyle name="40% - Accent4 2 5 2 3" xfId="3971"/>
    <cellStyle name="40% - Accent4 2 5 2 3 2" xfId="12893"/>
    <cellStyle name="40% - Accent4 2 5 2 3 2 2" xfId="26605"/>
    <cellStyle name="40% - Accent4 2 5 2 3 3" xfId="21296"/>
    <cellStyle name="40% - Accent4 2 5 2 4" xfId="3972"/>
    <cellStyle name="40% - Accent4 2 5 2 4 2" xfId="15308"/>
    <cellStyle name="40% - Accent4 2 5 2 4 2 2" xfId="28857"/>
    <cellStyle name="40% - Accent4 2 5 2 4 3" xfId="21297"/>
    <cellStyle name="40% - Accent4 2 5 2 5" xfId="9391"/>
    <cellStyle name="40% - Accent4 2 5 2 5 2" xfId="23866"/>
    <cellStyle name="40% - Accent4 2 5 2 6" xfId="21294"/>
    <cellStyle name="40% - Accent4 2 5 3" xfId="3973"/>
    <cellStyle name="40% - Accent4 2 5 3 2" xfId="11117"/>
    <cellStyle name="40% - Accent4 2 5 3 2 2" xfId="25059"/>
    <cellStyle name="40% - Accent4 2 5 3 3" xfId="21298"/>
    <cellStyle name="40% - Accent4 2 5 4" xfId="3974"/>
    <cellStyle name="40% - Accent4 2 5 4 2" xfId="12892"/>
    <cellStyle name="40% - Accent4 2 5 4 2 2" xfId="26604"/>
    <cellStyle name="40% - Accent4 2 5 4 3" xfId="21299"/>
    <cellStyle name="40% - Accent4 2 5 5" xfId="3975"/>
    <cellStyle name="40% - Accent4 2 5 5 2" xfId="15307"/>
    <cellStyle name="40% - Accent4 2 5 5 2 2" xfId="28856"/>
    <cellStyle name="40% - Accent4 2 5 5 3" xfId="21300"/>
    <cellStyle name="40% - Accent4 2 5 6" xfId="3976"/>
    <cellStyle name="40% - Accent4 2 5 6 2" xfId="17016"/>
    <cellStyle name="40% - Accent4 2 5 6 2 2" xfId="30423"/>
    <cellStyle name="40% - Accent4 2 5 6 3" xfId="21301"/>
    <cellStyle name="40% - Accent4 2 5 7" xfId="9390"/>
    <cellStyle name="40% - Accent4 2 5 7 2" xfId="23865"/>
    <cellStyle name="40% - Accent4 2 5 8" xfId="21293"/>
    <cellStyle name="40% - Accent4 2 6" xfId="3977"/>
    <cellStyle name="40% - Accent4 2 6 2" xfId="3978"/>
    <cellStyle name="40% - Accent4 2 6 2 2" xfId="11119"/>
    <cellStyle name="40% - Accent4 2 6 2 2 2" xfId="25061"/>
    <cellStyle name="40% - Accent4 2 6 2 3" xfId="21303"/>
    <cellStyle name="40% - Accent4 2 6 3" xfId="3979"/>
    <cellStyle name="40% - Accent4 2 6 3 2" xfId="12894"/>
    <cellStyle name="40% - Accent4 2 6 3 2 2" xfId="26606"/>
    <cellStyle name="40% - Accent4 2 6 3 3" xfId="21304"/>
    <cellStyle name="40% - Accent4 2 6 4" xfId="3980"/>
    <cellStyle name="40% - Accent4 2 6 4 2" xfId="15309"/>
    <cellStyle name="40% - Accent4 2 6 4 2 2" xfId="28858"/>
    <cellStyle name="40% - Accent4 2 6 4 3" xfId="21305"/>
    <cellStyle name="40% - Accent4 2 6 5" xfId="3981"/>
    <cellStyle name="40% - Accent4 2 6 5 2" xfId="17126"/>
    <cellStyle name="40% - Accent4 2 6 5 2 2" xfId="30485"/>
    <cellStyle name="40% - Accent4 2 6 5 3" xfId="21306"/>
    <cellStyle name="40% - Accent4 2 6 6" xfId="9392"/>
    <cellStyle name="40% - Accent4 2 6 6 2" xfId="23867"/>
    <cellStyle name="40% - Accent4 2 6 7" xfId="21302"/>
    <cellStyle name="40% - Accent4 2 7" xfId="3982"/>
    <cellStyle name="40% - Accent4 2 7 2" xfId="3983"/>
    <cellStyle name="40% - Accent4 2 7 2 2" xfId="11120"/>
    <cellStyle name="40% - Accent4 2 7 2 2 2" xfId="25062"/>
    <cellStyle name="40% - Accent4 2 7 2 3" xfId="21308"/>
    <cellStyle name="40% - Accent4 2 7 3" xfId="3984"/>
    <cellStyle name="40% - Accent4 2 7 3 2" xfId="12895"/>
    <cellStyle name="40% - Accent4 2 7 3 2 2" xfId="26607"/>
    <cellStyle name="40% - Accent4 2 7 3 3" xfId="21309"/>
    <cellStyle name="40% - Accent4 2 7 4" xfId="3985"/>
    <cellStyle name="40% - Accent4 2 7 4 2" xfId="15310"/>
    <cellStyle name="40% - Accent4 2 7 4 2 2" xfId="28859"/>
    <cellStyle name="40% - Accent4 2 7 4 3" xfId="21310"/>
    <cellStyle name="40% - Accent4 2 7 5" xfId="3986"/>
    <cellStyle name="40% - Accent4 2 7 5 2" xfId="17215"/>
    <cellStyle name="40% - Accent4 2 7 5 2 2" xfId="30574"/>
    <cellStyle name="40% - Accent4 2 7 5 3" xfId="21311"/>
    <cellStyle name="40% - Accent4 2 7 6" xfId="9393"/>
    <cellStyle name="40% - Accent4 2 7 6 2" xfId="23868"/>
    <cellStyle name="40% - Accent4 2 7 7" xfId="21307"/>
    <cellStyle name="40% - Accent4 2 8" xfId="3987"/>
    <cellStyle name="40% - Accent4 2 8 2" xfId="3988"/>
    <cellStyle name="40% - Accent4 2 8 2 2" xfId="12896"/>
    <cellStyle name="40% - Accent4 2 8 2 2 2" xfId="26608"/>
    <cellStyle name="40% - Accent4 2 8 2 3" xfId="21313"/>
    <cellStyle name="40% - Accent4 2 8 3" xfId="3989"/>
    <cellStyle name="40% - Accent4 2 8 3 2" xfId="15311"/>
    <cellStyle name="40% - Accent4 2 8 3 2 2" xfId="28860"/>
    <cellStyle name="40% - Accent4 2 8 3 3" xfId="21314"/>
    <cellStyle name="40% - Accent4 2 8 4" xfId="3990"/>
    <cellStyle name="40% - Accent4 2 8 4 2" xfId="16490"/>
    <cellStyle name="40% - Accent4 2 8 4 2 2" xfId="29897"/>
    <cellStyle name="40% - Accent4 2 8 4 3" xfId="21315"/>
    <cellStyle name="40% - Accent4 2 8 5" xfId="10537"/>
    <cellStyle name="40% - Accent4 2 8 5 2" xfId="24479"/>
    <cellStyle name="40% - Accent4 2 8 6" xfId="21312"/>
    <cellStyle name="40% - Accent4 2 9" xfId="3991"/>
    <cellStyle name="40% - Accent4 2 9 2" xfId="3992"/>
    <cellStyle name="40% - Accent4 2 9 2 2" xfId="12897"/>
    <cellStyle name="40% - Accent4 2 9 2 2 2" xfId="26609"/>
    <cellStyle name="40% - Accent4 2 9 2 3" xfId="21317"/>
    <cellStyle name="40% - Accent4 2 9 3" xfId="3993"/>
    <cellStyle name="40% - Accent4 2 9 3 2" xfId="15312"/>
    <cellStyle name="40% - Accent4 2 9 3 2 2" xfId="28861"/>
    <cellStyle name="40% - Accent4 2 9 3 3" xfId="21318"/>
    <cellStyle name="40% - Accent4 2 9 4" xfId="11102"/>
    <cellStyle name="40% - Accent4 2 9 4 2" xfId="25044"/>
    <cellStyle name="40% - Accent4 2 9 5" xfId="21316"/>
    <cellStyle name="40% - Accent4 20" xfId="3994"/>
    <cellStyle name="40% - Accent4 20 2" xfId="3995"/>
    <cellStyle name="40% - Accent4 20 2 2" xfId="12898"/>
    <cellStyle name="40% - Accent4 20 2 2 2" xfId="26610"/>
    <cellStyle name="40% - Accent4 20 2 3" xfId="21320"/>
    <cellStyle name="40% - Accent4 20 3" xfId="3996"/>
    <cellStyle name="40% - Accent4 20 3 2" xfId="15313"/>
    <cellStyle name="40% - Accent4 20 3 2 2" xfId="28862"/>
    <cellStyle name="40% - Accent4 20 3 3" xfId="21321"/>
    <cellStyle name="40% - Accent4 20 4" xfId="10512"/>
    <cellStyle name="40% - Accent4 20 4 2" xfId="24460"/>
    <cellStyle name="40% - Accent4 20 5" xfId="21319"/>
    <cellStyle name="40% - Accent4 21" xfId="3997"/>
    <cellStyle name="40% - Accent4 21 2" xfId="3998"/>
    <cellStyle name="40% - Accent4 21 2 2" xfId="12899"/>
    <cellStyle name="40% - Accent4 21 2 2 2" xfId="26611"/>
    <cellStyle name="40% - Accent4 21 2 3" xfId="21323"/>
    <cellStyle name="40% - Accent4 21 3" xfId="3999"/>
    <cellStyle name="40% - Accent4 21 3 2" xfId="15314"/>
    <cellStyle name="40% - Accent4 21 3 2 2" xfId="28863"/>
    <cellStyle name="40% - Accent4 21 3 3" xfId="21324"/>
    <cellStyle name="40% - Accent4 21 4" xfId="11091"/>
    <cellStyle name="40% - Accent4 21 4 2" xfId="25033"/>
    <cellStyle name="40% - Accent4 21 5" xfId="21322"/>
    <cellStyle name="40% - Accent4 22" xfId="4000"/>
    <cellStyle name="40% - Accent4 22 2" xfId="11748"/>
    <cellStyle name="40% - Accent4 22 2 2" xfId="25463"/>
    <cellStyle name="40% - Accent4 22 3" xfId="21325"/>
    <cellStyle name="40% - Accent4 23" xfId="4001"/>
    <cellStyle name="40% - Accent4 23 2" xfId="12864"/>
    <cellStyle name="40% - Accent4 23 2 2" xfId="26576"/>
    <cellStyle name="40% - Accent4 23 3" xfId="21326"/>
    <cellStyle name="40% - Accent4 24" xfId="4002"/>
    <cellStyle name="40% - Accent4 24 2" xfId="13387"/>
    <cellStyle name="40% - Accent4 24 2 2" xfId="26936"/>
    <cellStyle name="40% - Accent4 24 3" xfId="21327"/>
    <cellStyle name="40% - Accent4 25" xfId="4003"/>
    <cellStyle name="40% - Accent4 25 2" xfId="13968"/>
    <cellStyle name="40% - Accent4 25 2 2" xfId="27517"/>
    <cellStyle name="40% - Accent4 25 3" xfId="21328"/>
    <cellStyle name="40% - Accent4 26" xfId="4004"/>
    <cellStyle name="40% - Accent4 26 2" xfId="15271"/>
    <cellStyle name="40% - Accent4 26 2 2" xfId="28820"/>
    <cellStyle name="40% - Accent4 26 3" xfId="21329"/>
    <cellStyle name="40% - Accent4 27" xfId="4005"/>
    <cellStyle name="40% - Accent4 27 2" xfId="15832"/>
    <cellStyle name="40% - Accent4 27 2 2" xfId="29239"/>
    <cellStyle name="40% - Accent4 27 3" xfId="21330"/>
    <cellStyle name="40% - Accent4 28" xfId="4006"/>
    <cellStyle name="40% - Accent4 28 2" xfId="15854"/>
    <cellStyle name="40% - Accent4 28 2 2" xfId="29261"/>
    <cellStyle name="40% - Accent4 28 3" xfId="21331"/>
    <cellStyle name="40% - Accent4 29" xfId="4007"/>
    <cellStyle name="40% - Accent4 29 2" xfId="9364"/>
    <cellStyle name="40% - Accent4 29 2 2" xfId="23839"/>
    <cellStyle name="40% - Accent4 29 3" xfId="21332"/>
    <cellStyle name="40% - Accent4 3" xfId="4008"/>
    <cellStyle name="40% - Accent4 3 10" xfId="4009"/>
    <cellStyle name="40% - Accent4 3 10 2" xfId="14046"/>
    <cellStyle name="40% - Accent4 3 10 2 2" xfId="27595"/>
    <cellStyle name="40% - Accent4 3 10 3" xfId="21334"/>
    <cellStyle name="40% - Accent4 3 11" xfId="4010"/>
    <cellStyle name="40% - Accent4 3 11 2" xfId="15315"/>
    <cellStyle name="40% - Accent4 3 11 2 2" xfId="28864"/>
    <cellStyle name="40% - Accent4 3 11 3" xfId="21335"/>
    <cellStyle name="40% - Accent4 3 12" xfId="4011"/>
    <cellStyle name="40% - Accent4 3 12 2" xfId="15932"/>
    <cellStyle name="40% - Accent4 3 12 2 2" xfId="29339"/>
    <cellStyle name="40% - Accent4 3 12 3" xfId="21336"/>
    <cellStyle name="40% - Accent4 3 13" xfId="9394"/>
    <cellStyle name="40% - Accent4 3 13 2" xfId="23869"/>
    <cellStyle name="40% - Accent4 3 14" xfId="21333"/>
    <cellStyle name="40% - Accent4 3 2" xfId="4012"/>
    <cellStyle name="40% - Accent4 3 2 10" xfId="4013"/>
    <cellStyle name="40% - Accent4 3 2 10 2" xfId="16075"/>
    <cellStyle name="40% - Accent4 3 2 10 2 2" xfId="29482"/>
    <cellStyle name="40% - Accent4 3 2 10 3" xfId="21338"/>
    <cellStyle name="40% - Accent4 3 2 11" xfId="9395"/>
    <cellStyle name="40% - Accent4 3 2 11 2" xfId="23870"/>
    <cellStyle name="40% - Accent4 3 2 12" xfId="21337"/>
    <cellStyle name="40% - Accent4 3 2 2" xfId="4014"/>
    <cellStyle name="40% - Accent4 3 2 2 10" xfId="9396"/>
    <cellStyle name="40% - Accent4 3 2 2 10 2" xfId="23871"/>
    <cellStyle name="40% - Accent4 3 2 2 11" xfId="21339"/>
    <cellStyle name="40% - Accent4 3 2 2 2" xfId="4015"/>
    <cellStyle name="40% - Accent4 3 2 2 2 2" xfId="4016"/>
    <cellStyle name="40% - Accent4 3 2 2 2 2 2" xfId="11124"/>
    <cellStyle name="40% - Accent4 3 2 2 2 2 2 2" xfId="25066"/>
    <cellStyle name="40% - Accent4 3 2 2 2 2 3" xfId="21341"/>
    <cellStyle name="40% - Accent4 3 2 2 2 3" xfId="4017"/>
    <cellStyle name="40% - Accent4 3 2 2 2 3 2" xfId="12903"/>
    <cellStyle name="40% - Accent4 3 2 2 2 3 2 2" xfId="26615"/>
    <cellStyle name="40% - Accent4 3 2 2 2 3 3" xfId="21342"/>
    <cellStyle name="40% - Accent4 3 2 2 2 4" xfId="4018"/>
    <cellStyle name="40% - Accent4 3 2 2 2 4 2" xfId="15318"/>
    <cellStyle name="40% - Accent4 3 2 2 2 4 2 2" xfId="28867"/>
    <cellStyle name="40% - Accent4 3 2 2 2 4 3" xfId="21343"/>
    <cellStyle name="40% - Accent4 3 2 2 2 5" xfId="4019"/>
    <cellStyle name="40% - Accent4 3 2 2 2 5 2" xfId="16945"/>
    <cellStyle name="40% - Accent4 3 2 2 2 5 2 2" xfId="30352"/>
    <cellStyle name="40% - Accent4 3 2 2 2 5 3" xfId="21344"/>
    <cellStyle name="40% - Accent4 3 2 2 2 6" xfId="9397"/>
    <cellStyle name="40% - Accent4 3 2 2 2 6 2" xfId="23872"/>
    <cellStyle name="40% - Accent4 3 2 2 2 7" xfId="21340"/>
    <cellStyle name="40% - Accent4 3 2 2 3" xfId="4020"/>
    <cellStyle name="40% - Accent4 3 2 2 3 2" xfId="4021"/>
    <cellStyle name="40% - Accent4 3 2 2 3 2 2" xfId="15319"/>
    <cellStyle name="40% - Accent4 3 2 2 3 2 2 2" xfId="28868"/>
    <cellStyle name="40% - Accent4 3 2 2 3 2 3" xfId="21346"/>
    <cellStyle name="40% - Accent4 3 2 2 3 3" xfId="11123"/>
    <cellStyle name="40% - Accent4 3 2 2 3 3 2" xfId="25065"/>
    <cellStyle name="40% - Accent4 3 2 2 3 4" xfId="21345"/>
    <cellStyle name="40% - Accent4 3 2 2 4" xfId="4022"/>
    <cellStyle name="40% - Accent4 3 2 2 4 2" xfId="12333"/>
    <cellStyle name="40% - Accent4 3 2 2 4 2 2" xfId="26045"/>
    <cellStyle name="40% - Accent4 3 2 2 4 3" xfId="21347"/>
    <cellStyle name="40% - Accent4 3 2 2 5" xfId="4023"/>
    <cellStyle name="40% - Accent4 3 2 2 5 2" xfId="12902"/>
    <cellStyle name="40% - Accent4 3 2 2 5 2 2" xfId="26614"/>
    <cellStyle name="40% - Accent4 3 2 2 5 3" xfId="21348"/>
    <cellStyle name="40% - Accent4 3 2 2 6" xfId="4024"/>
    <cellStyle name="40% - Accent4 3 2 2 6 2" xfId="13897"/>
    <cellStyle name="40% - Accent4 3 2 2 6 2 2" xfId="27446"/>
    <cellStyle name="40% - Accent4 3 2 2 6 3" xfId="21349"/>
    <cellStyle name="40% - Accent4 3 2 2 7" xfId="4025"/>
    <cellStyle name="40% - Accent4 3 2 2 7 2" xfId="14478"/>
    <cellStyle name="40% - Accent4 3 2 2 7 2 2" xfId="28027"/>
    <cellStyle name="40% - Accent4 3 2 2 7 3" xfId="21350"/>
    <cellStyle name="40% - Accent4 3 2 2 8" xfId="4026"/>
    <cellStyle name="40% - Accent4 3 2 2 8 2" xfId="15317"/>
    <cellStyle name="40% - Accent4 3 2 2 8 2 2" xfId="28866"/>
    <cellStyle name="40% - Accent4 3 2 2 8 3" xfId="21351"/>
    <cellStyle name="40% - Accent4 3 2 2 9" xfId="4027"/>
    <cellStyle name="40% - Accent4 3 2 2 9 2" xfId="16364"/>
    <cellStyle name="40% - Accent4 3 2 2 9 2 2" xfId="29771"/>
    <cellStyle name="40% - Accent4 3 2 2 9 3" xfId="21352"/>
    <cellStyle name="40% - Accent4 3 2 3" xfId="4028"/>
    <cellStyle name="40% - Accent4 3 2 3 2" xfId="4029"/>
    <cellStyle name="40% - Accent4 3 2 3 2 2" xfId="11125"/>
    <cellStyle name="40% - Accent4 3 2 3 2 2 2" xfId="25067"/>
    <cellStyle name="40% - Accent4 3 2 3 2 3" xfId="21354"/>
    <cellStyle name="40% - Accent4 3 2 3 3" xfId="4030"/>
    <cellStyle name="40% - Accent4 3 2 3 3 2" xfId="12904"/>
    <cellStyle name="40% - Accent4 3 2 3 3 2 2" xfId="26616"/>
    <cellStyle name="40% - Accent4 3 2 3 3 3" xfId="21355"/>
    <cellStyle name="40% - Accent4 3 2 3 4" xfId="4031"/>
    <cellStyle name="40% - Accent4 3 2 3 4 2" xfId="15320"/>
    <cellStyle name="40% - Accent4 3 2 3 4 2 2" xfId="28869"/>
    <cellStyle name="40% - Accent4 3 2 3 4 3" xfId="21356"/>
    <cellStyle name="40% - Accent4 3 2 3 5" xfId="4032"/>
    <cellStyle name="40% - Accent4 3 2 3 5 2" xfId="16656"/>
    <cellStyle name="40% - Accent4 3 2 3 5 2 2" xfId="30063"/>
    <cellStyle name="40% - Accent4 3 2 3 5 3" xfId="21357"/>
    <cellStyle name="40% - Accent4 3 2 3 6" xfId="9398"/>
    <cellStyle name="40% - Accent4 3 2 3 6 2" xfId="23873"/>
    <cellStyle name="40% - Accent4 3 2 3 7" xfId="21353"/>
    <cellStyle name="40% - Accent4 3 2 4" xfId="4033"/>
    <cellStyle name="40% - Accent4 3 2 4 2" xfId="4034"/>
    <cellStyle name="40% - Accent4 3 2 4 2 2" xfId="15321"/>
    <cellStyle name="40% - Accent4 3 2 4 2 2 2" xfId="28870"/>
    <cellStyle name="40% - Accent4 3 2 4 2 3" xfId="21359"/>
    <cellStyle name="40% - Accent4 3 2 4 3" xfId="11122"/>
    <cellStyle name="40% - Accent4 3 2 4 3 2" xfId="25064"/>
    <cellStyle name="40% - Accent4 3 2 4 4" xfId="21358"/>
    <cellStyle name="40% - Accent4 3 2 5" xfId="4035"/>
    <cellStyle name="40% - Accent4 3 2 5 2" xfId="12033"/>
    <cellStyle name="40% - Accent4 3 2 5 2 2" xfId="25748"/>
    <cellStyle name="40% - Accent4 3 2 5 3" xfId="21360"/>
    <cellStyle name="40% - Accent4 3 2 6" xfId="4036"/>
    <cellStyle name="40% - Accent4 3 2 6 2" xfId="12901"/>
    <cellStyle name="40% - Accent4 3 2 6 2 2" xfId="26613"/>
    <cellStyle name="40% - Accent4 3 2 6 3" xfId="21361"/>
    <cellStyle name="40% - Accent4 3 2 7" xfId="4037"/>
    <cellStyle name="40% - Accent4 3 2 7 2" xfId="13608"/>
    <cellStyle name="40% - Accent4 3 2 7 2 2" xfId="27157"/>
    <cellStyle name="40% - Accent4 3 2 7 3" xfId="21362"/>
    <cellStyle name="40% - Accent4 3 2 8" xfId="4038"/>
    <cellStyle name="40% - Accent4 3 2 8 2" xfId="14189"/>
    <cellStyle name="40% - Accent4 3 2 8 2 2" xfId="27738"/>
    <cellStyle name="40% - Accent4 3 2 8 3" xfId="21363"/>
    <cellStyle name="40% - Accent4 3 2 9" xfId="4039"/>
    <cellStyle name="40% - Accent4 3 2 9 2" xfId="15316"/>
    <cellStyle name="40% - Accent4 3 2 9 2 2" xfId="28865"/>
    <cellStyle name="40% - Accent4 3 2 9 3" xfId="21364"/>
    <cellStyle name="40% - Accent4 3 3" xfId="4040"/>
    <cellStyle name="40% - Accent4 3 3 10" xfId="9399"/>
    <cellStyle name="40% - Accent4 3 3 10 2" xfId="23874"/>
    <cellStyle name="40% - Accent4 3 3 11" xfId="21365"/>
    <cellStyle name="40% - Accent4 3 3 2" xfId="4041"/>
    <cellStyle name="40% - Accent4 3 3 2 2" xfId="4042"/>
    <cellStyle name="40% - Accent4 3 3 2 2 2" xfId="11127"/>
    <cellStyle name="40% - Accent4 3 3 2 2 2 2" xfId="25069"/>
    <cellStyle name="40% - Accent4 3 3 2 2 3" xfId="21367"/>
    <cellStyle name="40% - Accent4 3 3 2 3" xfId="4043"/>
    <cellStyle name="40% - Accent4 3 3 2 3 2" xfId="12906"/>
    <cellStyle name="40% - Accent4 3 3 2 3 2 2" xfId="26618"/>
    <cellStyle name="40% - Accent4 3 3 2 3 3" xfId="21368"/>
    <cellStyle name="40% - Accent4 3 3 2 4" xfId="4044"/>
    <cellStyle name="40% - Accent4 3 3 2 4 2" xfId="15323"/>
    <cellStyle name="40% - Accent4 3 3 2 4 2 2" xfId="28872"/>
    <cellStyle name="40% - Accent4 3 3 2 4 3" xfId="21369"/>
    <cellStyle name="40% - Accent4 3 3 2 5" xfId="4045"/>
    <cellStyle name="40% - Accent4 3 3 2 5 2" xfId="16802"/>
    <cellStyle name="40% - Accent4 3 3 2 5 2 2" xfId="30209"/>
    <cellStyle name="40% - Accent4 3 3 2 5 3" xfId="21370"/>
    <cellStyle name="40% - Accent4 3 3 2 6" xfId="9400"/>
    <cellStyle name="40% - Accent4 3 3 2 6 2" xfId="23875"/>
    <cellStyle name="40% - Accent4 3 3 2 7" xfId="21366"/>
    <cellStyle name="40% - Accent4 3 3 3" xfId="4046"/>
    <cellStyle name="40% - Accent4 3 3 3 2" xfId="4047"/>
    <cellStyle name="40% - Accent4 3 3 3 2 2" xfId="15324"/>
    <cellStyle name="40% - Accent4 3 3 3 2 2 2" xfId="28873"/>
    <cellStyle name="40% - Accent4 3 3 3 2 3" xfId="21372"/>
    <cellStyle name="40% - Accent4 3 3 3 3" xfId="11126"/>
    <cellStyle name="40% - Accent4 3 3 3 3 2" xfId="25068"/>
    <cellStyle name="40% - Accent4 3 3 3 4" xfId="21371"/>
    <cellStyle name="40% - Accent4 3 3 4" xfId="4048"/>
    <cellStyle name="40% - Accent4 3 3 4 2" xfId="12190"/>
    <cellStyle name="40% - Accent4 3 3 4 2 2" xfId="25902"/>
    <cellStyle name="40% - Accent4 3 3 4 3" xfId="21373"/>
    <cellStyle name="40% - Accent4 3 3 5" xfId="4049"/>
    <cellStyle name="40% - Accent4 3 3 5 2" xfId="12905"/>
    <cellStyle name="40% - Accent4 3 3 5 2 2" xfId="26617"/>
    <cellStyle name="40% - Accent4 3 3 5 3" xfId="21374"/>
    <cellStyle name="40% - Accent4 3 3 6" xfId="4050"/>
    <cellStyle name="40% - Accent4 3 3 6 2" xfId="13754"/>
    <cellStyle name="40% - Accent4 3 3 6 2 2" xfId="27303"/>
    <cellStyle name="40% - Accent4 3 3 6 3" xfId="21375"/>
    <cellStyle name="40% - Accent4 3 3 7" xfId="4051"/>
    <cellStyle name="40% - Accent4 3 3 7 2" xfId="14335"/>
    <cellStyle name="40% - Accent4 3 3 7 2 2" xfId="27884"/>
    <cellStyle name="40% - Accent4 3 3 7 3" xfId="21376"/>
    <cellStyle name="40% - Accent4 3 3 8" xfId="4052"/>
    <cellStyle name="40% - Accent4 3 3 8 2" xfId="15322"/>
    <cellStyle name="40% - Accent4 3 3 8 2 2" xfId="28871"/>
    <cellStyle name="40% - Accent4 3 3 8 3" xfId="21377"/>
    <cellStyle name="40% - Accent4 3 3 9" xfId="4053"/>
    <cellStyle name="40% - Accent4 3 3 9 2" xfId="16221"/>
    <cellStyle name="40% - Accent4 3 3 9 2 2" xfId="29628"/>
    <cellStyle name="40% - Accent4 3 3 9 3" xfId="21378"/>
    <cellStyle name="40% - Accent4 3 4" xfId="4054"/>
    <cellStyle name="40% - Accent4 3 4 2" xfId="4055"/>
    <cellStyle name="40% - Accent4 3 4 2 2" xfId="11128"/>
    <cellStyle name="40% - Accent4 3 4 2 2 2" xfId="25070"/>
    <cellStyle name="40% - Accent4 3 4 2 3" xfId="21380"/>
    <cellStyle name="40% - Accent4 3 4 3" xfId="4056"/>
    <cellStyle name="40% - Accent4 3 4 3 2" xfId="12907"/>
    <cellStyle name="40% - Accent4 3 4 3 2 2" xfId="26619"/>
    <cellStyle name="40% - Accent4 3 4 3 3" xfId="21381"/>
    <cellStyle name="40% - Accent4 3 4 4" xfId="4057"/>
    <cellStyle name="40% - Accent4 3 4 4 2" xfId="15325"/>
    <cellStyle name="40% - Accent4 3 4 4 2 2" xfId="28874"/>
    <cellStyle name="40% - Accent4 3 4 4 3" xfId="21382"/>
    <cellStyle name="40% - Accent4 3 4 5" xfId="4058"/>
    <cellStyle name="40% - Accent4 3 4 5 2" xfId="17149"/>
    <cellStyle name="40% - Accent4 3 4 5 2 2" xfId="30508"/>
    <cellStyle name="40% - Accent4 3 4 5 3" xfId="21383"/>
    <cellStyle name="40% - Accent4 3 4 6" xfId="9401"/>
    <cellStyle name="40% - Accent4 3 4 6 2" xfId="23876"/>
    <cellStyle name="40% - Accent4 3 4 7" xfId="21379"/>
    <cellStyle name="40% - Accent4 3 5" xfId="4059"/>
    <cellStyle name="40% - Accent4 3 5 2" xfId="4060"/>
    <cellStyle name="40% - Accent4 3 5 2 2" xfId="11129"/>
    <cellStyle name="40% - Accent4 3 5 2 2 2" xfId="25071"/>
    <cellStyle name="40% - Accent4 3 5 2 3" xfId="21385"/>
    <cellStyle name="40% - Accent4 3 5 3" xfId="4061"/>
    <cellStyle name="40% - Accent4 3 5 3 2" xfId="12908"/>
    <cellStyle name="40% - Accent4 3 5 3 2 2" xfId="26620"/>
    <cellStyle name="40% - Accent4 3 5 3 3" xfId="21386"/>
    <cellStyle name="40% - Accent4 3 5 4" xfId="4062"/>
    <cellStyle name="40% - Accent4 3 5 4 2" xfId="15326"/>
    <cellStyle name="40% - Accent4 3 5 4 2 2" xfId="28875"/>
    <cellStyle name="40% - Accent4 3 5 4 3" xfId="21387"/>
    <cellStyle name="40% - Accent4 3 5 5" xfId="4063"/>
    <cellStyle name="40% - Accent4 3 5 5 2" xfId="17238"/>
    <cellStyle name="40% - Accent4 3 5 5 2 2" xfId="30597"/>
    <cellStyle name="40% - Accent4 3 5 5 3" xfId="21388"/>
    <cellStyle name="40% - Accent4 3 5 6" xfId="9402"/>
    <cellStyle name="40% - Accent4 3 5 6 2" xfId="23877"/>
    <cellStyle name="40% - Accent4 3 5 7" xfId="21384"/>
    <cellStyle name="40% - Accent4 3 6" xfId="4064"/>
    <cellStyle name="40% - Accent4 3 6 2" xfId="4065"/>
    <cellStyle name="40% - Accent4 3 6 2 2" xfId="15327"/>
    <cellStyle name="40% - Accent4 3 6 2 2 2" xfId="28876"/>
    <cellStyle name="40% - Accent4 3 6 2 3" xfId="21390"/>
    <cellStyle name="40% - Accent4 3 6 3" xfId="4066"/>
    <cellStyle name="40% - Accent4 3 6 3 2" xfId="16513"/>
    <cellStyle name="40% - Accent4 3 6 3 2 2" xfId="29920"/>
    <cellStyle name="40% - Accent4 3 6 3 3" xfId="21391"/>
    <cellStyle name="40% - Accent4 3 6 4" xfId="11121"/>
    <cellStyle name="40% - Accent4 3 6 4 2" xfId="25063"/>
    <cellStyle name="40% - Accent4 3 6 5" xfId="21389"/>
    <cellStyle name="40% - Accent4 3 7" xfId="4067"/>
    <cellStyle name="40% - Accent4 3 7 2" xfId="11885"/>
    <cellStyle name="40% - Accent4 3 7 2 2" xfId="25600"/>
    <cellStyle name="40% - Accent4 3 7 3" xfId="21392"/>
    <cellStyle name="40% - Accent4 3 8" xfId="4068"/>
    <cellStyle name="40% - Accent4 3 8 2" xfId="12900"/>
    <cellStyle name="40% - Accent4 3 8 2 2" xfId="26612"/>
    <cellStyle name="40% - Accent4 3 8 3" xfId="21393"/>
    <cellStyle name="40% - Accent4 3 9" xfId="4069"/>
    <cellStyle name="40% - Accent4 3 9 2" xfId="13465"/>
    <cellStyle name="40% - Accent4 3 9 2 2" xfId="27014"/>
    <cellStyle name="40% - Accent4 3 9 3" xfId="21394"/>
    <cellStyle name="40% - Accent4 30" xfId="23258"/>
    <cellStyle name="40% - Accent4 4" xfId="4070"/>
    <cellStyle name="40% - Accent4 4 10" xfId="4071"/>
    <cellStyle name="40% - Accent4 4 10 2" xfId="15328"/>
    <cellStyle name="40% - Accent4 4 10 2 2" xfId="28877"/>
    <cellStyle name="40% - Accent4 4 10 3" xfId="21396"/>
    <cellStyle name="40% - Accent4 4 11" xfId="4072"/>
    <cellStyle name="40% - Accent4 4 11 2" xfId="15888"/>
    <cellStyle name="40% - Accent4 4 11 2 2" xfId="29295"/>
    <cellStyle name="40% - Accent4 4 11 3" xfId="21397"/>
    <cellStyle name="40% - Accent4 4 12" xfId="9403"/>
    <cellStyle name="40% - Accent4 4 12 2" xfId="23878"/>
    <cellStyle name="40% - Accent4 4 13" xfId="21395"/>
    <cellStyle name="40% - Accent4 4 2" xfId="4073"/>
    <cellStyle name="40% - Accent4 4 2 10" xfId="4074"/>
    <cellStyle name="40% - Accent4 4 2 10 2" xfId="16031"/>
    <cellStyle name="40% - Accent4 4 2 10 2 2" xfId="29438"/>
    <cellStyle name="40% - Accent4 4 2 10 3" xfId="21399"/>
    <cellStyle name="40% - Accent4 4 2 11" xfId="9404"/>
    <cellStyle name="40% - Accent4 4 2 11 2" xfId="23879"/>
    <cellStyle name="40% - Accent4 4 2 12" xfId="21398"/>
    <cellStyle name="40% - Accent4 4 2 2" xfId="4075"/>
    <cellStyle name="40% - Accent4 4 2 2 10" xfId="9405"/>
    <cellStyle name="40% - Accent4 4 2 2 10 2" xfId="23880"/>
    <cellStyle name="40% - Accent4 4 2 2 11" xfId="21400"/>
    <cellStyle name="40% - Accent4 4 2 2 2" xfId="4076"/>
    <cellStyle name="40% - Accent4 4 2 2 2 2" xfId="4077"/>
    <cellStyle name="40% - Accent4 4 2 2 2 2 2" xfId="11133"/>
    <cellStyle name="40% - Accent4 4 2 2 2 2 2 2" xfId="25075"/>
    <cellStyle name="40% - Accent4 4 2 2 2 2 3" xfId="23200"/>
    <cellStyle name="40% - Accent4 4 2 2 2 3" xfId="4078"/>
    <cellStyle name="40% - Accent4 4 2 2 2 3 2" xfId="12912"/>
    <cellStyle name="40% - Accent4 4 2 2 2 3 2 2" xfId="26624"/>
    <cellStyle name="40% - Accent4 4 2 2 2 3 3" xfId="24315"/>
    <cellStyle name="40% - Accent4 4 2 2 2 4" xfId="4079"/>
    <cellStyle name="40% - Accent4 4 2 2 2 4 2" xfId="15331"/>
    <cellStyle name="40% - Accent4 4 2 2 2 4 2 2" xfId="28880"/>
    <cellStyle name="40% - Accent4 4 2 2 2 4 3" xfId="23199"/>
    <cellStyle name="40% - Accent4 4 2 2 2 5" xfId="4080"/>
    <cellStyle name="40% - Accent4 4 2 2 2 5 2" xfId="16901"/>
    <cellStyle name="40% - Accent4 4 2 2 2 5 2 2" xfId="30308"/>
    <cellStyle name="40% - Accent4 4 2 2 2 5 3" xfId="23198"/>
    <cellStyle name="40% - Accent4 4 2 2 2 6" xfId="9406"/>
    <cellStyle name="40% - Accent4 4 2 2 2 6 2" xfId="23881"/>
    <cellStyle name="40% - Accent4 4 2 2 2 7" xfId="21401"/>
    <cellStyle name="40% - Accent4 4 2 2 3" xfId="4081"/>
    <cellStyle name="40% - Accent4 4 2 2 3 2" xfId="4082"/>
    <cellStyle name="40% - Accent4 4 2 2 3 2 2" xfId="15332"/>
    <cellStyle name="40% - Accent4 4 2 2 3 2 2 2" xfId="28881"/>
    <cellStyle name="40% - Accent4 4 2 2 3 2 3" xfId="23197"/>
    <cellStyle name="40% - Accent4 4 2 2 3 3" xfId="11132"/>
    <cellStyle name="40% - Accent4 4 2 2 3 3 2" xfId="25074"/>
    <cellStyle name="40% - Accent4 4 2 2 3 4" xfId="26876"/>
    <cellStyle name="40% - Accent4 4 2 2 4" xfId="4083"/>
    <cellStyle name="40% - Accent4 4 2 2 4 2" xfId="12289"/>
    <cellStyle name="40% - Accent4 4 2 2 4 2 2" xfId="26001"/>
    <cellStyle name="40% - Accent4 4 2 2 4 3" xfId="23196"/>
    <cellStyle name="40% - Accent4 4 2 2 5" xfId="4084"/>
    <cellStyle name="40% - Accent4 4 2 2 5 2" xfId="12911"/>
    <cellStyle name="40% - Accent4 4 2 2 5 2 2" xfId="26623"/>
    <cellStyle name="40% - Accent4 4 2 2 5 3" xfId="24314"/>
    <cellStyle name="40% - Accent4 4 2 2 6" xfId="4085"/>
    <cellStyle name="40% - Accent4 4 2 2 6 2" xfId="13853"/>
    <cellStyle name="40% - Accent4 4 2 2 6 2 2" xfId="27402"/>
    <cellStyle name="40% - Accent4 4 2 2 6 3" xfId="23195"/>
    <cellStyle name="40% - Accent4 4 2 2 7" xfId="4086"/>
    <cellStyle name="40% - Accent4 4 2 2 7 2" xfId="14434"/>
    <cellStyle name="40% - Accent4 4 2 2 7 2 2" xfId="27983"/>
    <cellStyle name="40% - Accent4 4 2 2 7 3" xfId="26874"/>
    <cellStyle name="40% - Accent4 4 2 2 8" xfId="4087"/>
    <cellStyle name="40% - Accent4 4 2 2 8 2" xfId="15330"/>
    <cellStyle name="40% - Accent4 4 2 2 8 2 2" xfId="28879"/>
    <cellStyle name="40% - Accent4 4 2 2 8 3" xfId="23194"/>
    <cellStyle name="40% - Accent4 4 2 2 9" xfId="4088"/>
    <cellStyle name="40% - Accent4 4 2 2 9 2" xfId="16320"/>
    <cellStyle name="40% - Accent4 4 2 2 9 2 2" xfId="29727"/>
    <cellStyle name="40% - Accent4 4 2 2 9 3" xfId="23193"/>
    <cellStyle name="40% - Accent4 4 2 3" xfId="4089"/>
    <cellStyle name="40% - Accent4 4 2 3 2" xfId="4090"/>
    <cellStyle name="40% - Accent4 4 2 3 2 2" xfId="11134"/>
    <cellStyle name="40% - Accent4 4 2 3 2 2 2" xfId="25076"/>
    <cellStyle name="40% - Accent4 4 2 3 2 3" xfId="23192"/>
    <cellStyle name="40% - Accent4 4 2 3 3" xfId="4091"/>
    <cellStyle name="40% - Accent4 4 2 3 3 2" xfId="12913"/>
    <cellStyle name="40% - Accent4 4 2 3 3 2 2" xfId="26625"/>
    <cellStyle name="40% - Accent4 4 2 3 3 3" xfId="23191"/>
    <cellStyle name="40% - Accent4 4 2 3 4" xfId="4092"/>
    <cellStyle name="40% - Accent4 4 2 3 4 2" xfId="15333"/>
    <cellStyle name="40% - Accent4 4 2 3 4 2 2" xfId="28882"/>
    <cellStyle name="40% - Accent4 4 2 3 4 3" xfId="30656"/>
    <cellStyle name="40% - Accent4 4 2 3 5" xfId="4093"/>
    <cellStyle name="40% - Accent4 4 2 3 5 2" xfId="16612"/>
    <cellStyle name="40% - Accent4 4 2 3 5 2 2" xfId="30019"/>
    <cellStyle name="40% - Accent4 4 2 3 5 3" xfId="24311"/>
    <cellStyle name="40% - Accent4 4 2 3 6" xfId="9407"/>
    <cellStyle name="40% - Accent4 4 2 3 6 2" xfId="23882"/>
    <cellStyle name="40% - Accent4 4 2 3 7" xfId="24313"/>
    <cellStyle name="40% - Accent4 4 2 4" xfId="4094"/>
    <cellStyle name="40% - Accent4 4 2 4 2" xfId="4095"/>
    <cellStyle name="40% - Accent4 4 2 4 2 2" xfId="15334"/>
    <cellStyle name="40% - Accent4 4 2 4 2 2 2" xfId="28883"/>
    <cellStyle name="40% - Accent4 4 2 4 2 3" xfId="24464"/>
    <cellStyle name="40% - Accent4 4 2 4 3" xfId="11131"/>
    <cellStyle name="40% - Accent4 4 2 4 3 2" xfId="25073"/>
    <cellStyle name="40% - Accent4 4 2 4 4" xfId="23202"/>
    <cellStyle name="40% - Accent4 4 2 5" xfId="4096"/>
    <cellStyle name="40% - Accent4 4 2 5 2" xfId="11989"/>
    <cellStyle name="40% - Accent4 4 2 5 2 2" xfId="25704"/>
    <cellStyle name="40% - Accent4 4 2 5 3" xfId="23240"/>
    <cellStyle name="40% - Accent4 4 2 6" xfId="4097"/>
    <cellStyle name="40% - Accent4 4 2 6 2" xfId="12910"/>
    <cellStyle name="40% - Accent4 4 2 6 2 2" xfId="26622"/>
    <cellStyle name="40% - Accent4 4 2 6 3" xfId="30685"/>
    <cellStyle name="40% - Accent4 4 2 7" xfId="4098"/>
    <cellStyle name="40% - Accent4 4 2 7 2" xfId="13564"/>
    <cellStyle name="40% - Accent4 4 2 7 2 2" xfId="27113"/>
    <cellStyle name="40% - Accent4 4 2 7 3" xfId="23190"/>
    <cellStyle name="40% - Accent4 4 2 8" xfId="4099"/>
    <cellStyle name="40% - Accent4 4 2 8 2" xfId="14145"/>
    <cellStyle name="40% - Accent4 4 2 8 2 2" xfId="27694"/>
    <cellStyle name="40% - Accent4 4 2 8 3" xfId="23189"/>
    <cellStyle name="40% - Accent4 4 2 9" xfId="4100"/>
    <cellStyle name="40% - Accent4 4 2 9 2" xfId="15329"/>
    <cellStyle name="40% - Accent4 4 2 9 2 2" xfId="28878"/>
    <cellStyle name="40% - Accent4 4 2 9 3" xfId="26873"/>
    <cellStyle name="40% - Accent4 4 3" xfId="4101"/>
    <cellStyle name="40% - Accent4 4 3 10" xfId="9408"/>
    <cellStyle name="40% - Accent4 4 3 10 2" xfId="23883"/>
    <cellStyle name="40% - Accent4 4 3 11" xfId="23188"/>
    <cellStyle name="40% - Accent4 4 3 2" xfId="4102"/>
    <cellStyle name="40% - Accent4 4 3 2 2" xfId="4103"/>
    <cellStyle name="40% - Accent4 4 3 2 2 2" xfId="11136"/>
    <cellStyle name="40% - Accent4 4 3 2 2 2 2" xfId="25078"/>
    <cellStyle name="40% - Accent4 4 3 2 2 3" xfId="23209"/>
    <cellStyle name="40% - Accent4 4 3 2 3" xfId="4104"/>
    <cellStyle name="40% - Accent4 4 3 2 3 2" xfId="12915"/>
    <cellStyle name="40% - Accent4 4 3 2 3 2 2" xfId="26627"/>
    <cellStyle name="40% - Accent4 4 3 2 3 3" xfId="23186"/>
    <cellStyle name="40% - Accent4 4 3 2 4" xfId="4105"/>
    <cellStyle name="40% - Accent4 4 3 2 4 2" xfId="15336"/>
    <cellStyle name="40% - Accent4 4 3 2 4 2 2" xfId="28885"/>
    <cellStyle name="40% - Accent4 4 3 2 4 3" xfId="26872"/>
    <cellStyle name="40% - Accent4 4 3 2 5" xfId="4106"/>
    <cellStyle name="40% - Accent4 4 3 2 5 2" xfId="16761"/>
    <cellStyle name="40% - Accent4 4 3 2 5 2 2" xfId="30168"/>
    <cellStyle name="40% - Accent4 4 3 2 5 3" xfId="23185"/>
    <cellStyle name="40% - Accent4 4 3 2 6" xfId="9409"/>
    <cellStyle name="40% - Accent4 4 3 2 6 2" xfId="23884"/>
    <cellStyle name="40% - Accent4 4 3 2 7" xfId="23187"/>
    <cellStyle name="40% - Accent4 4 3 3" xfId="4107"/>
    <cellStyle name="40% - Accent4 4 3 3 2" xfId="4108"/>
    <cellStyle name="40% - Accent4 4 3 3 2 2" xfId="15337"/>
    <cellStyle name="40% - Accent4 4 3 3 2 2 2" xfId="28886"/>
    <cellStyle name="40% - Accent4 4 3 3 2 3" xfId="23184"/>
    <cellStyle name="40% - Accent4 4 3 3 3" xfId="11135"/>
    <cellStyle name="40% - Accent4 4 3 3 3 2" xfId="25077"/>
    <cellStyle name="40% - Accent4 4 3 3 4" xfId="24312"/>
    <cellStyle name="40% - Accent4 4 3 4" xfId="4109"/>
    <cellStyle name="40% - Accent4 4 3 4 2" xfId="12149"/>
    <cellStyle name="40% - Accent4 4 3 4 2 2" xfId="25861"/>
    <cellStyle name="40% - Accent4 4 3 4 3" xfId="23183"/>
    <cellStyle name="40% - Accent4 4 3 5" xfId="4110"/>
    <cellStyle name="40% - Accent4 4 3 5 2" xfId="12914"/>
    <cellStyle name="40% - Accent4 4 3 5 2 2" xfId="26626"/>
    <cellStyle name="40% - Accent4 4 3 5 3" xfId="23182"/>
    <cellStyle name="40% - Accent4 4 3 6" xfId="4111"/>
    <cellStyle name="40% - Accent4 4 3 6 2" xfId="13713"/>
    <cellStyle name="40% - Accent4 4 3 6 2 2" xfId="27262"/>
    <cellStyle name="40% - Accent4 4 3 6 3" xfId="26871"/>
    <cellStyle name="40% - Accent4 4 3 7" xfId="4112"/>
    <cellStyle name="40% - Accent4 4 3 7 2" xfId="14294"/>
    <cellStyle name="40% - Accent4 4 3 7 2 2" xfId="27843"/>
    <cellStyle name="40% - Accent4 4 3 7 3" xfId="23181"/>
    <cellStyle name="40% - Accent4 4 3 8" xfId="4113"/>
    <cellStyle name="40% - Accent4 4 3 8 2" xfId="15335"/>
    <cellStyle name="40% - Accent4 4 3 8 2 2" xfId="28884"/>
    <cellStyle name="40% - Accent4 4 3 8 3" xfId="24309"/>
    <cellStyle name="40% - Accent4 4 3 9" xfId="4114"/>
    <cellStyle name="40% - Accent4 4 3 9 2" xfId="16180"/>
    <cellStyle name="40% - Accent4 4 3 9 2 2" xfId="29587"/>
    <cellStyle name="40% - Accent4 4 3 9 3" xfId="26870"/>
    <cellStyle name="40% - Accent4 4 4" xfId="4115"/>
    <cellStyle name="40% - Accent4 4 4 2" xfId="4116"/>
    <cellStyle name="40% - Accent4 4 4 2 2" xfId="11137"/>
    <cellStyle name="40% - Accent4 4 4 2 2 2" xfId="25079"/>
    <cellStyle name="40% - Accent4 4 4 2 3" xfId="24310"/>
    <cellStyle name="40% - Accent4 4 4 3" xfId="4117"/>
    <cellStyle name="40% - Accent4 4 4 3 2" xfId="12916"/>
    <cellStyle name="40% - Accent4 4 4 3 2 2" xfId="26628"/>
    <cellStyle name="40% - Accent4 4 4 3 3" xfId="23179"/>
    <cellStyle name="40% - Accent4 4 4 4" xfId="4118"/>
    <cellStyle name="40% - Accent4 4 4 4 2" xfId="15338"/>
    <cellStyle name="40% - Accent4 4 4 4 2 2" xfId="28887"/>
    <cellStyle name="40% - Accent4 4 4 4 3" xfId="23178"/>
    <cellStyle name="40% - Accent4 4 4 5" xfId="4119"/>
    <cellStyle name="40% - Accent4 4 4 5 2" xfId="16469"/>
    <cellStyle name="40% - Accent4 4 4 5 2 2" xfId="29876"/>
    <cellStyle name="40% - Accent4 4 4 5 3" xfId="24308"/>
    <cellStyle name="40% - Accent4 4 4 6" xfId="9410"/>
    <cellStyle name="40% - Accent4 4 4 6 2" xfId="23885"/>
    <cellStyle name="40% - Accent4 4 4 7" xfId="23180"/>
    <cellStyle name="40% - Accent4 4 5" xfId="4120"/>
    <cellStyle name="40% - Accent4 4 5 2" xfId="4121"/>
    <cellStyle name="40% - Accent4 4 5 2 2" xfId="15339"/>
    <cellStyle name="40% - Accent4 4 5 2 2 2" xfId="28888"/>
    <cellStyle name="40% - Accent4 4 5 2 3" xfId="23205"/>
    <cellStyle name="40% - Accent4 4 5 3" xfId="11130"/>
    <cellStyle name="40% - Accent4 4 5 3 2" xfId="25072"/>
    <cellStyle name="40% - Accent4 4 5 4" xfId="23177"/>
    <cellStyle name="40% - Accent4 4 6" xfId="4122"/>
    <cellStyle name="40% - Accent4 4 6 2" xfId="11820"/>
    <cellStyle name="40% - Accent4 4 6 2 2" xfId="25535"/>
    <cellStyle name="40% - Accent4 4 6 3" xfId="24307"/>
    <cellStyle name="40% - Accent4 4 7" xfId="4123"/>
    <cellStyle name="40% - Accent4 4 7 2" xfId="12909"/>
    <cellStyle name="40% - Accent4 4 7 2 2" xfId="26621"/>
    <cellStyle name="40% - Accent4 4 7 3" xfId="30654"/>
    <cellStyle name="40% - Accent4 4 8" xfId="4124"/>
    <cellStyle name="40% - Accent4 4 8 2" xfId="13421"/>
    <cellStyle name="40% - Accent4 4 8 2 2" xfId="26970"/>
    <cellStyle name="40% - Accent4 4 8 3" xfId="30684"/>
    <cellStyle name="40% - Accent4 4 9" xfId="4125"/>
    <cellStyle name="40% - Accent4 4 9 2" xfId="14002"/>
    <cellStyle name="40% - Accent4 4 9 2 2" xfId="27551"/>
    <cellStyle name="40% - Accent4 4 9 3" xfId="23239"/>
    <cellStyle name="40% - Accent4 5" xfId="4126"/>
    <cellStyle name="40% - Accent4 5 10" xfId="4127"/>
    <cellStyle name="40% - Accent4 5 10 2" xfId="15340"/>
    <cellStyle name="40% - Accent4 5 10 2 2" xfId="28889"/>
    <cellStyle name="40% - Accent4 5 10 3" xfId="23207"/>
    <cellStyle name="40% - Accent4 5 11" xfId="4128"/>
    <cellStyle name="40% - Accent4 5 11 2" xfId="15871"/>
    <cellStyle name="40% - Accent4 5 11 2 2" xfId="29278"/>
    <cellStyle name="40% - Accent4 5 11 3" xfId="30431"/>
    <cellStyle name="40% - Accent4 5 12" xfId="9411"/>
    <cellStyle name="40% - Accent4 5 12 2" xfId="23886"/>
    <cellStyle name="40% - Accent4 5 13" xfId="23176"/>
    <cellStyle name="40% - Accent4 5 2" xfId="4129"/>
    <cellStyle name="40% - Accent4 5 2 10" xfId="4130"/>
    <cellStyle name="40% - Accent4 5 2 10 2" xfId="16014"/>
    <cellStyle name="40% - Accent4 5 2 10 2 2" xfId="29421"/>
    <cellStyle name="40% - Accent4 5 2 10 3" xfId="23174"/>
    <cellStyle name="40% - Accent4 5 2 11" xfId="9412"/>
    <cellStyle name="40% - Accent4 5 2 11 2" xfId="23887"/>
    <cellStyle name="40% - Accent4 5 2 12" xfId="23175"/>
    <cellStyle name="40% - Accent4 5 2 2" xfId="4131"/>
    <cellStyle name="40% - Accent4 5 2 2 10" xfId="9413"/>
    <cellStyle name="40% - Accent4 5 2 2 10 2" xfId="23888"/>
    <cellStyle name="40% - Accent4 5 2 2 11" xfId="23173"/>
    <cellStyle name="40% - Accent4 5 2 2 2" xfId="4132"/>
    <cellStyle name="40% - Accent4 5 2 2 2 2" xfId="4133"/>
    <cellStyle name="40% - Accent4 5 2 2 2 2 2" xfId="11141"/>
    <cellStyle name="40% - Accent4 5 2 2 2 2 2 2" xfId="25083"/>
    <cellStyle name="40% - Accent4 5 2 2 2 2 3" xfId="26869"/>
    <cellStyle name="40% - Accent4 5 2 2 2 3" xfId="4134"/>
    <cellStyle name="40% - Accent4 5 2 2 2 3 2" xfId="12920"/>
    <cellStyle name="40% - Accent4 5 2 2 2 3 2 2" xfId="26632"/>
    <cellStyle name="40% - Accent4 5 2 2 2 3 3" xfId="23172"/>
    <cellStyle name="40% - Accent4 5 2 2 2 4" xfId="4135"/>
    <cellStyle name="40% - Accent4 5 2 2 2 4 2" xfId="15343"/>
    <cellStyle name="40% - Accent4 5 2 2 2 4 2 2" xfId="28892"/>
    <cellStyle name="40% - Accent4 5 2 2 2 4 3" xfId="25297"/>
    <cellStyle name="40% - Accent4 5 2 2 2 5" xfId="4136"/>
    <cellStyle name="40% - Accent4 5 2 2 2 5 2" xfId="16884"/>
    <cellStyle name="40% - Accent4 5 2 2 2 5 2 2" xfId="30291"/>
    <cellStyle name="40% - Accent4 5 2 2 2 5 3" xfId="23171"/>
    <cellStyle name="40% - Accent4 5 2 2 2 6" xfId="9414"/>
    <cellStyle name="40% - Accent4 5 2 2 2 6 2" xfId="23889"/>
    <cellStyle name="40% - Accent4 5 2 2 2 7" xfId="24305"/>
    <cellStyle name="40% - Accent4 5 2 2 3" xfId="4137"/>
    <cellStyle name="40% - Accent4 5 2 2 3 2" xfId="4138"/>
    <cellStyle name="40% - Accent4 5 2 2 3 2 2" xfId="15344"/>
    <cellStyle name="40% - Accent4 5 2 2 3 2 2 2" xfId="28893"/>
    <cellStyle name="40% - Accent4 5 2 2 3 2 3" xfId="25298"/>
    <cellStyle name="40% - Accent4 5 2 2 3 3" xfId="11140"/>
    <cellStyle name="40% - Accent4 5 2 2 3 3 2" xfId="25082"/>
    <cellStyle name="40% - Accent4 5 2 2 3 4" xfId="24306"/>
    <cellStyle name="40% - Accent4 5 2 2 4" xfId="4139"/>
    <cellStyle name="40% - Accent4 5 2 2 4 2" xfId="12272"/>
    <cellStyle name="40% - Accent4 5 2 2 4 2 2" xfId="25984"/>
    <cellStyle name="40% - Accent4 5 2 2 4 3" xfId="23170"/>
    <cellStyle name="40% - Accent4 5 2 2 5" xfId="4140"/>
    <cellStyle name="40% - Accent4 5 2 2 5 2" xfId="12919"/>
    <cellStyle name="40% - Accent4 5 2 2 5 2 2" xfId="26631"/>
    <cellStyle name="40% - Accent4 5 2 2 5 3" xfId="23169"/>
    <cellStyle name="40% - Accent4 5 2 2 6" xfId="4141"/>
    <cellStyle name="40% - Accent4 5 2 2 6 2" xfId="13836"/>
    <cellStyle name="40% - Accent4 5 2 2 6 2 2" xfId="27385"/>
    <cellStyle name="40% - Accent4 5 2 2 6 3" xfId="23168"/>
    <cellStyle name="40% - Accent4 5 2 2 7" xfId="4142"/>
    <cellStyle name="40% - Accent4 5 2 2 7 2" xfId="14417"/>
    <cellStyle name="40% - Accent4 5 2 2 7 2 2" xfId="27966"/>
    <cellStyle name="40% - Accent4 5 2 2 7 3" xfId="24303"/>
    <cellStyle name="40% - Accent4 5 2 2 8" xfId="4143"/>
    <cellStyle name="40% - Accent4 5 2 2 8 2" xfId="15342"/>
    <cellStyle name="40% - Accent4 5 2 2 8 2 2" xfId="28891"/>
    <cellStyle name="40% - Accent4 5 2 2 8 3" xfId="26868"/>
    <cellStyle name="40% - Accent4 5 2 2 9" xfId="4144"/>
    <cellStyle name="40% - Accent4 5 2 2 9 2" xfId="16303"/>
    <cellStyle name="40% - Accent4 5 2 2 9 2 2" xfId="29710"/>
    <cellStyle name="40% - Accent4 5 2 2 9 3" xfId="23167"/>
    <cellStyle name="40% - Accent4 5 2 3" xfId="4145"/>
    <cellStyle name="40% - Accent4 5 2 3 2" xfId="4146"/>
    <cellStyle name="40% - Accent4 5 2 3 2 2" xfId="11142"/>
    <cellStyle name="40% - Accent4 5 2 3 2 2 2" xfId="25084"/>
    <cellStyle name="40% - Accent4 5 2 3 2 3" xfId="23166"/>
    <cellStyle name="40% - Accent4 5 2 3 3" xfId="4147"/>
    <cellStyle name="40% - Accent4 5 2 3 3 2" xfId="12921"/>
    <cellStyle name="40% - Accent4 5 2 3 3 2 2" xfId="26633"/>
    <cellStyle name="40% - Accent4 5 2 3 3 3" xfId="23165"/>
    <cellStyle name="40% - Accent4 5 2 3 4" xfId="4148"/>
    <cellStyle name="40% - Accent4 5 2 3 4 2" xfId="15345"/>
    <cellStyle name="40% - Accent4 5 2 3 4 2 2" xfId="28894"/>
    <cellStyle name="40% - Accent4 5 2 3 4 3" xfId="24302"/>
    <cellStyle name="40% - Accent4 5 2 3 5" xfId="4149"/>
    <cellStyle name="40% - Accent4 5 2 3 5 2" xfId="16595"/>
    <cellStyle name="40% - Accent4 5 2 3 5 2 2" xfId="30002"/>
    <cellStyle name="40% - Accent4 5 2 3 5 3" xfId="23164"/>
    <cellStyle name="40% - Accent4 5 2 3 6" xfId="9415"/>
    <cellStyle name="40% - Accent4 5 2 3 6 2" xfId="23890"/>
    <cellStyle name="40% - Accent4 5 2 3 7" xfId="24304"/>
    <cellStyle name="40% - Accent4 5 2 4" xfId="4150"/>
    <cellStyle name="40% - Accent4 5 2 4 2" xfId="4151"/>
    <cellStyle name="40% - Accent4 5 2 4 2 2" xfId="15346"/>
    <cellStyle name="40% - Accent4 5 2 4 2 2 2" xfId="28895"/>
    <cellStyle name="40% - Accent4 5 2 4 2 3" xfId="24301"/>
    <cellStyle name="40% - Accent4 5 2 4 3" xfId="11139"/>
    <cellStyle name="40% - Accent4 5 2 4 3 2" xfId="25081"/>
    <cellStyle name="40% - Accent4 5 2 4 4" xfId="23163"/>
    <cellStyle name="40% - Accent4 5 2 5" xfId="4152"/>
    <cellStyle name="40% - Accent4 5 2 5 2" xfId="11972"/>
    <cellStyle name="40% - Accent4 5 2 5 2 2" xfId="25687"/>
    <cellStyle name="40% - Accent4 5 2 5 3" xfId="23162"/>
    <cellStyle name="40% - Accent4 5 2 6" xfId="4153"/>
    <cellStyle name="40% - Accent4 5 2 6 2" xfId="12918"/>
    <cellStyle name="40% - Accent4 5 2 6 2 2" xfId="26630"/>
    <cellStyle name="40% - Accent4 5 2 6 3" xfId="23161"/>
    <cellStyle name="40% - Accent4 5 2 7" xfId="4154"/>
    <cellStyle name="40% - Accent4 5 2 7 2" xfId="13547"/>
    <cellStyle name="40% - Accent4 5 2 7 2 2" xfId="27096"/>
    <cellStyle name="40% - Accent4 5 2 7 3" xfId="23238"/>
    <cellStyle name="40% - Accent4 5 2 8" xfId="4155"/>
    <cellStyle name="40% - Accent4 5 2 8 2" xfId="14128"/>
    <cellStyle name="40% - Accent4 5 2 8 2 2" xfId="27677"/>
    <cellStyle name="40% - Accent4 5 2 8 3" xfId="30683"/>
    <cellStyle name="40% - Accent4 5 2 9" xfId="4156"/>
    <cellStyle name="40% - Accent4 5 2 9 2" xfId="15341"/>
    <cellStyle name="40% - Accent4 5 2 9 2 2" xfId="28890"/>
    <cellStyle name="40% - Accent4 5 2 9 3" xfId="23160"/>
    <cellStyle name="40% - Accent4 5 3" xfId="4157"/>
    <cellStyle name="40% - Accent4 5 3 10" xfId="9416"/>
    <cellStyle name="40% - Accent4 5 3 10 2" xfId="23891"/>
    <cellStyle name="40% - Accent4 5 3 11" xfId="23159"/>
    <cellStyle name="40% - Accent4 5 3 2" xfId="4158"/>
    <cellStyle name="40% - Accent4 5 3 2 2" xfId="4159"/>
    <cellStyle name="40% - Accent4 5 3 2 2 2" xfId="11144"/>
    <cellStyle name="40% - Accent4 5 3 2 2 2 2" xfId="25086"/>
    <cellStyle name="40% - Accent4 5 3 2 2 3" xfId="23206"/>
    <cellStyle name="40% - Accent4 5 3 2 3" xfId="4160"/>
    <cellStyle name="40% - Accent4 5 3 2 3 2" xfId="12923"/>
    <cellStyle name="40% - Accent4 5 3 2 3 2 2" xfId="26635"/>
    <cellStyle name="40% - Accent4 5 3 2 3 3" xfId="24299"/>
    <cellStyle name="40% - Accent4 5 3 2 4" xfId="4161"/>
    <cellStyle name="40% - Accent4 5 3 2 4 2" xfId="15348"/>
    <cellStyle name="40% - Accent4 5 3 2 4 2 2" xfId="28897"/>
    <cellStyle name="40% - Accent4 5 3 2 4 3" xfId="23157"/>
    <cellStyle name="40% - Accent4 5 3 2 5" xfId="4162"/>
    <cellStyle name="40% - Accent4 5 3 2 5 2" xfId="16744"/>
    <cellStyle name="40% - Accent4 5 3 2 5 2 2" xfId="30151"/>
    <cellStyle name="40% - Accent4 5 3 2 5 3" xfId="26867"/>
    <cellStyle name="40% - Accent4 5 3 2 6" xfId="9417"/>
    <cellStyle name="40% - Accent4 5 3 2 6 2" xfId="23892"/>
    <cellStyle name="40% - Accent4 5 3 2 7" xfId="23158"/>
    <cellStyle name="40% - Accent4 5 3 3" xfId="4163"/>
    <cellStyle name="40% - Accent4 5 3 3 2" xfId="4164"/>
    <cellStyle name="40% - Accent4 5 3 3 2 2" xfId="15349"/>
    <cellStyle name="40% - Accent4 5 3 3 2 2 2" xfId="28898"/>
    <cellStyle name="40% - Accent4 5 3 3 2 3" xfId="24300"/>
    <cellStyle name="40% - Accent4 5 3 3 3" xfId="11143"/>
    <cellStyle name="40% - Accent4 5 3 3 3 2" xfId="25085"/>
    <cellStyle name="40% - Accent4 5 3 3 4" xfId="23156"/>
    <cellStyle name="40% - Accent4 5 3 4" xfId="4165"/>
    <cellStyle name="40% - Accent4 5 3 4 2" xfId="12132"/>
    <cellStyle name="40% - Accent4 5 3 4 2 2" xfId="25844"/>
    <cellStyle name="40% - Accent4 5 3 4 3" xfId="23155"/>
    <cellStyle name="40% - Accent4 5 3 5" xfId="4166"/>
    <cellStyle name="40% - Accent4 5 3 5 2" xfId="12922"/>
    <cellStyle name="40% - Accent4 5 3 5 2 2" xfId="26634"/>
    <cellStyle name="40% - Accent4 5 3 5 3" xfId="23154"/>
    <cellStyle name="40% - Accent4 5 3 6" xfId="4167"/>
    <cellStyle name="40% - Accent4 5 3 6 2" xfId="13696"/>
    <cellStyle name="40% - Accent4 5 3 6 2 2" xfId="27245"/>
    <cellStyle name="40% - Accent4 5 3 6 3" xfId="24297"/>
    <cellStyle name="40% - Accent4 5 3 7" xfId="4168"/>
    <cellStyle name="40% - Accent4 5 3 7 2" xfId="14277"/>
    <cellStyle name="40% - Accent4 5 3 7 2 2" xfId="27826"/>
    <cellStyle name="40% - Accent4 5 3 7 3" xfId="23153"/>
    <cellStyle name="40% - Accent4 5 3 8" xfId="4169"/>
    <cellStyle name="40% - Accent4 5 3 8 2" xfId="15347"/>
    <cellStyle name="40% - Accent4 5 3 8 2 2" xfId="28896"/>
    <cellStyle name="40% - Accent4 5 3 8 3" xfId="23152"/>
    <cellStyle name="40% - Accent4 5 3 9" xfId="4170"/>
    <cellStyle name="40% - Accent4 5 3 9 2" xfId="16163"/>
    <cellStyle name="40% - Accent4 5 3 9 2 2" xfId="29570"/>
    <cellStyle name="40% - Accent4 5 3 9 3" xfId="29172"/>
    <cellStyle name="40% - Accent4 5 4" xfId="4171"/>
    <cellStyle name="40% - Accent4 5 4 2" xfId="4172"/>
    <cellStyle name="40% - Accent4 5 4 2 2" xfId="11145"/>
    <cellStyle name="40% - Accent4 5 4 2 2 2" xfId="25087"/>
    <cellStyle name="40% - Accent4 5 4 2 3" xfId="23150"/>
    <cellStyle name="40% - Accent4 5 4 3" xfId="4173"/>
    <cellStyle name="40% - Accent4 5 4 3 2" xfId="12924"/>
    <cellStyle name="40% - Accent4 5 4 3 2 2" xfId="26636"/>
    <cellStyle name="40% - Accent4 5 4 3 3" xfId="26866"/>
    <cellStyle name="40% - Accent4 5 4 4" xfId="4174"/>
    <cellStyle name="40% - Accent4 5 4 4 2" xfId="15350"/>
    <cellStyle name="40% - Accent4 5 4 4 2 2" xfId="28899"/>
    <cellStyle name="40% - Accent4 5 4 4 3" xfId="23149"/>
    <cellStyle name="40% - Accent4 5 4 5" xfId="4175"/>
    <cellStyle name="40% - Accent4 5 4 5 2" xfId="16452"/>
    <cellStyle name="40% - Accent4 5 4 5 2 2" xfId="29859"/>
    <cellStyle name="40% - Accent4 5 4 5 3" xfId="23148"/>
    <cellStyle name="40% - Accent4 5 4 6" xfId="9418"/>
    <cellStyle name="40% - Accent4 5 4 6 2" xfId="23893"/>
    <cellStyle name="40% - Accent4 5 4 7" xfId="23151"/>
    <cellStyle name="40% - Accent4 5 5" xfId="4176"/>
    <cellStyle name="40% - Accent4 5 5 2" xfId="4177"/>
    <cellStyle name="40% - Accent4 5 5 2 2" xfId="15351"/>
    <cellStyle name="40% - Accent4 5 5 2 2 2" xfId="28900"/>
    <cellStyle name="40% - Accent4 5 5 2 3" xfId="23147"/>
    <cellStyle name="40% - Accent4 5 5 3" xfId="11138"/>
    <cellStyle name="40% - Accent4 5 5 3 2" xfId="25080"/>
    <cellStyle name="40% - Accent4 5 5 4" xfId="24298"/>
    <cellStyle name="40% - Accent4 5 6" xfId="4178"/>
    <cellStyle name="40% - Accent4 5 6 2" xfId="11803"/>
    <cellStyle name="40% - Accent4 5 6 2 2" xfId="25518"/>
    <cellStyle name="40% - Accent4 5 6 3" xfId="25296"/>
    <cellStyle name="40% - Accent4 5 7" xfId="4179"/>
    <cellStyle name="40% - Accent4 5 7 2" xfId="12917"/>
    <cellStyle name="40% - Accent4 5 7 2 2" xfId="26629"/>
    <cellStyle name="40% - Accent4 5 7 3" xfId="23146"/>
    <cellStyle name="40% - Accent4 5 8" xfId="4180"/>
    <cellStyle name="40% - Accent4 5 8 2" xfId="13404"/>
    <cellStyle name="40% - Accent4 5 8 2 2" xfId="26953"/>
    <cellStyle name="40% - Accent4 5 8 3" xfId="23145"/>
    <cellStyle name="40% - Accent4 5 9" xfId="4181"/>
    <cellStyle name="40% - Accent4 5 9 2" xfId="13985"/>
    <cellStyle name="40% - Accent4 5 9 2 2" xfId="27534"/>
    <cellStyle name="40% - Accent4 5 9 3" xfId="23144"/>
    <cellStyle name="40% - Accent4 6" xfId="4182"/>
    <cellStyle name="40% - Accent4 6 10" xfId="4183"/>
    <cellStyle name="40% - Accent4 6 10 2" xfId="15352"/>
    <cellStyle name="40% - Accent4 6 10 2 2" xfId="28901"/>
    <cellStyle name="40% - Accent4 6 10 3" xfId="23143"/>
    <cellStyle name="40% - Accent4 6 11" xfId="4184"/>
    <cellStyle name="40% - Accent4 6 11 2" xfId="15977"/>
    <cellStyle name="40% - Accent4 6 11 2 2" xfId="29384"/>
    <cellStyle name="40% - Accent4 6 11 3" xfId="23142"/>
    <cellStyle name="40% - Accent4 6 12" xfId="9419"/>
    <cellStyle name="40% - Accent4 6 12 2" xfId="23894"/>
    <cellStyle name="40% - Accent4 6 13" xfId="24295"/>
    <cellStyle name="40% - Accent4 6 2" xfId="4185"/>
    <cellStyle name="40% - Accent4 6 2 10" xfId="4186"/>
    <cellStyle name="40% - Accent4 6 2 10 2" xfId="16120"/>
    <cellStyle name="40% - Accent4 6 2 10 2 2" xfId="29527"/>
    <cellStyle name="40% - Accent4 6 2 10 3" xfId="23141"/>
    <cellStyle name="40% - Accent4 6 2 11" xfId="9420"/>
    <cellStyle name="40% - Accent4 6 2 11 2" xfId="23895"/>
    <cellStyle name="40% - Accent4 6 2 12" xfId="29171"/>
    <cellStyle name="40% - Accent4 6 2 2" xfId="4187"/>
    <cellStyle name="40% - Accent4 6 2 2 10" xfId="9421"/>
    <cellStyle name="40% - Accent4 6 2 2 10 2" xfId="23896"/>
    <cellStyle name="40% - Accent4 6 2 2 11" xfId="23140"/>
    <cellStyle name="40% - Accent4 6 2 2 2" xfId="4188"/>
    <cellStyle name="40% - Accent4 6 2 2 2 2" xfId="4189"/>
    <cellStyle name="40% - Accent4 6 2 2 2 2 2" xfId="11149"/>
    <cellStyle name="40% - Accent4 6 2 2 2 2 2 2" xfId="25091"/>
    <cellStyle name="40% - Accent4 6 2 2 2 2 3" xfId="23139"/>
    <cellStyle name="40% - Accent4 6 2 2 2 3" xfId="4190"/>
    <cellStyle name="40% - Accent4 6 2 2 2 3 2" xfId="12928"/>
    <cellStyle name="40% - Accent4 6 2 2 2 3 2 2" xfId="26640"/>
    <cellStyle name="40% - Accent4 6 2 2 2 3 3" xfId="23138"/>
    <cellStyle name="40% - Accent4 6 2 2 2 4" xfId="4191"/>
    <cellStyle name="40% - Accent4 6 2 2 2 4 2" xfId="15355"/>
    <cellStyle name="40% - Accent4 6 2 2 2 4 2 2" xfId="28904"/>
    <cellStyle name="40% - Accent4 6 2 2 2 4 3" xfId="24296"/>
    <cellStyle name="40% - Accent4 6 2 2 2 5" xfId="4192"/>
    <cellStyle name="40% - Accent4 6 2 2 2 5 2" xfId="16990"/>
    <cellStyle name="40% - Accent4 6 2 2 2 5 2 2" xfId="30397"/>
    <cellStyle name="40% - Accent4 6 2 2 2 5 3" xfId="23137"/>
    <cellStyle name="40% - Accent4 6 2 2 2 6" xfId="9422"/>
    <cellStyle name="40% - Accent4 6 2 2 2 6 2" xfId="23897"/>
    <cellStyle name="40% - Accent4 6 2 2 2 7" xfId="26865"/>
    <cellStyle name="40% - Accent4 6 2 2 3" xfId="4193"/>
    <cellStyle name="40% - Accent4 6 2 2 3 2" xfId="4194"/>
    <cellStyle name="40% - Accent4 6 2 2 3 2 2" xfId="15356"/>
    <cellStyle name="40% - Accent4 6 2 2 3 2 2 2" xfId="28905"/>
    <cellStyle name="40% - Accent4 6 2 2 3 2 3" xfId="23136"/>
    <cellStyle name="40% - Accent4 6 2 2 3 3" xfId="11148"/>
    <cellStyle name="40% - Accent4 6 2 2 3 3 2" xfId="25090"/>
    <cellStyle name="40% - Accent4 6 2 2 3 4" xfId="25295"/>
    <cellStyle name="40% - Accent4 6 2 2 4" xfId="4195"/>
    <cellStyle name="40% - Accent4 6 2 2 4 2" xfId="12378"/>
    <cellStyle name="40% - Accent4 6 2 2 4 2 2" xfId="26090"/>
    <cellStyle name="40% - Accent4 6 2 2 4 3" xfId="23135"/>
    <cellStyle name="40% - Accent4 6 2 2 5" xfId="4196"/>
    <cellStyle name="40% - Accent4 6 2 2 5 2" xfId="12927"/>
    <cellStyle name="40% - Accent4 6 2 2 5 2 2" xfId="26639"/>
    <cellStyle name="40% - Accent4 6 2 2 5 3" xfId="23134"/>
    <cellStyle name="40% - Accent4 6 2 2 6" xfId="4197"/>
    <cellStyle name="40% - Accent4 6 2 2 6 2" xfId="13942"/>
    <cellStyle name="40% - Accent4 6 2 2 6 2 2" xfId="27491"/>
    <cellStyle name="40% - Accent4 6 2 2 6 3" xfId="24291"/>
    <cellStyle name="40% - Accent4 6 2 2 7" xfId="4198"/>
    <cellStyle name="40% - Accent4 6 2 2 7 2" xfId="14523"/>
    <cellStyle name="40% - Accent4 6 2 2 7 2 2" xfId="28072"/>
    <cellStyle name="40% - Accent4 6 2 2 7 3" xfId="23133"/>
    <cellStyle name="40% - Accent4 6 2 2 8" xfId="4199"/>
    <cellStyle name="40% - Accent4 6 2 2 8 2" xfId="15354"/>
    <cellStyle name="40% - Accent4 6 2 2 8 2 2" xfId="28903"/>
    <cellStyle name="40% - Accent4 6 2 2 8 3" xfId="23132"/>
    <cellStyle name="40% - Accent4 6 2 2 9" xfId="4200"/>
    <cellStyle name="40% - Accent4 6 2 2 9 2" xfId="16409"/>
    <cellStyle name="40% - Accent4 6 2 2 9 2 2" xfId="29816"/>
    <cellStyle name="40% - Accent4 6 2 2 9 3" xfId="29170"/>
    <cellStyle name="40% - Accent4 6 2 3" xfId="4201"/>
    <cellStyle name="40% - Accent4 6 2 3 2" xfId="4202"/>
    <cellStyle name="40% - Accent4 6 2 3 2 2" xfId="11150"/>
    <cellStyle name="40% - Accent4 6 2 3 2 2 2" xfId="25092"/>
    <cellStyle name="40% - Accent4 6 2 3 2 3" xfId="23130"/>
    <cellStyle name="40% - Accent4 6 2 3 3" xfId="4203"/>
    <cellStyle name="40% - Accent4 6 2 3 3 2" xfId="12929"/>
    <cellStyle name="40% - Accent4 6 2 3 3 2 2" xfId="26641"/>
    <cellStyle name="40% - Accent4 6 2 3 3 3" xfId="26864"/>
    <cellStyle name="40% - Accent4 6 2 3 4" xfId="4204"/>
    <cellStyle name="40% - Accent4 6 2 3 4 2" xfId="15357"/>
    <cellStyle name="40% - Accent4 6 2 3 4 2 2" xfId="28906"/>
    <cellStyle name="40% - Accent4 6 2 3 4 3" xfId="23129"/>
    <cellStyle name="40% - Accent4 6 2 3 5" xfId="4205"/>
    <cellStyle name="40% - Accent4 6 2 3 5 2" xfId="16701"/>
    <cellStyle name="40% - Accent4 6 2 3 5 2 2" xfId="30108"/>
    <cellStyle name="40% - Accent4 6 2 3 5 3" xfId="23128"/>
    <cellStyle name="40% - Accent4 6 2 3 6" xfId="9423"/>
    <cellStyle name="40% - Accent4 6 2 3 6 2" xfId="23898"/>
    <cellStyle name="40% - Accent4 6 2 3 7" xfId="23131"/>
    <cellStyle name="40% - Accent4 6 2 4" xfId="4206"/>
    <cellStyle name="40% - Accent4 6 2 4 2" xfId="4207"/>
    <cellStyle name="40% - Accent4 6 2 4 2 2" xfId="15358"/>
    <cellStyle name="40% - Accent4 6 2 4 2 2 2" xfId="28907"/>
    <cellStyle name="40% - Accent4 6 2 4 2 3" xfId="23127"/>
    <cellStyle name="40% - Accent4 6 2 4 3" xfId="11147"/>
    <cellStyle name="40% - Accent4 6 2 4 3 2" xfId="25089"/>
    <cellStyle name="40% - Accent4 6 2 4 4" xfId="24294"/>
    <cellStyle name="40% - Accent4 6 2 5" xfId="4208"/>
    <cellStyle name="40% - Accent4 6 2 5 2" xfId="12078"/>
    <cellStyle name="40% - Accent4 6 2 5 2 2" xfId="25793"/>
    <cellStyle name="40% - Accent4 6 2 5 3" xfId="25294"/>
    <cellStyle name="40% - Accent4 6 2 6" xfId="4209"/>
    <cellStyle name="40% - Accent4 6 2 6 2" xfId="12926"/>
    <cellStyle name="40% - Accent4 6 2 6 2 2" xfId="26638"/>
    <cellStyle name="40% - Accent4 6 2 6 3" xfId="23126"/>
    <cellStyle name="40% - Accent4 6 2 7" xfId="4210"/>
    <cellStyle name="40% - Accent4 6 2 7 2" xfId="13653"/>
    <cellStyle name="40% - Accent4 6 2 7 2 2" xfId="27202"/>
    <cellStyle name="40% - Accent4 6 2 7 3" xfId="23125"/>
    <cellStyle name="40% - Accent4 6 2 8" xfId="4211"/>
    <cellStyle name="40% - Accent4 6 2 8 2" xfId="14234"/>
    <cellStyle name="40% - Accent4 6 2 8 2 2" xfId="27783"/>
    <cellStyle name="40% - Accent4 6 2 8 3" xfId="24292"/>
    <cellStyle name="40% - Accent4 6 2 9" xfId="4212"/>
    <cellStyle name="40% - Accent4 6 2 9 2" xfId="15353"/>
    <cellStyle name="40% - Accent4 6 2 9 2 2" xfId="28902"/>
    <cellStyle name="40% - Accent4 6 2 9 3" xfId="23124"/>
    <cellStyle name="40% - Accent4 6 3" xfId="4213"/>
    <cellStyle name="40% - Accent4 6 3 10" xfId="9424"/>
    <cellStyle name="40% - Accent4 6 3 10 2" xfId="23899"/>
    <cellStyle name="40% - Accent4 6 3 11" xfId="23123"/>
    <cellStyle name="40% - Accent4 6 3 2" xfId="4214"/>
    <cellStyle name="40% - Accent4 6 3 2 2" xfId="4215"/>
    <cellStyle name="40% - Accent4 6 3 2 2 2" xfId="11152"/>
    <cellStyle name="40% - Accent4 6 3 2 2 2 2" xfId="25094"/>
    <cellStyle name="40% - Accent4 6 3 2 2 3" xfId="23122"/>
    <cellStyle name="40% - Accent4 6 3 2 3" xfId="4216"/>
    <cellStyle name="40% - Accent4 6 3 2 3 2" xfId="12931"/>
    <cellStyle name="40% - Accent4 6 3 2 3 2 2" xfId="26643"/>
    <cellStyle name="40% - Accent4 6 3 2 3 3" xfId="23121"/>
    <cellStyle name="40% - Accent4 6 3 2 4" xfId="4217"/>
    <cellStyle name="40% - Accent4 6 3 2 4 2" xfId="15360"/>
    <cellStyle name="40% - Accent4 6 3 2 4 2 2" xfId="28909"/>
    <cellStyle name="40% - Accent4 6 3 2 4 3" xfId="26863"/>
    <cellStyle name="40% - Accent4 6 3 2 5" xfId="4218"/>
    <cellStyle name="40% - Accent4 6 3 2 5 2" xfId="16847"/>
    <cellStyle name="40% - Accent4 6 3 2 5 2 2" xfId="30254"/>
    <cellStyle name="40% - Accent4 6 3 2 5 3" xfId="23120"/>
    <cellStyle name="40% - Accent4 6 3 2 6" xfId="9425"/>
    <cellStyle name="40% - Accent4 6 3 2 6 2" xfId="23900"/>
    <cellStyle name="40% - Accent4 6 3 2 7" xfId="29169"/>
    <cellStyle name="40% - Accent4 6 3 3" xfId="4219"/>
    <cellStyle name="40% - Accent4 6 3 3 2" xfId="4220"/>
    <cellStyle name="40% - Accent4 6 3 3 2 2" xfId="15361"/>
    <cellStyle name="40% - Accent4 6 3 3 2 2 2" xfId="28910"/>
    <cellStyle name="40% - Accent4 6 3 3 2 3" xfId="24293"/>
    <cellStyle name="40% - Accent4 6 3 3 3" xfId="11151"/>
    <cellStyle name="40% - Accent4 6 3 3 3 2" xfId="25093"/>
    <cellStyle name="40% - Accent4 6 3 3 4" xfId="23119"/>
    <cellStyle name="40% - Accent4 6 3 4" xfId="4221"/>
    <cellStyle name="40% - Accent4 6 3 4 2" xfId="12235"/>
    <cellStyle name="40% - Accent4 6 3 4 2 2" xfId="25947"/>
    <cellStyle name="40% - Accent4 6 3 4 3" xfId="23118"/>
    <cellStyle name="40% - Accent4 6 3 5" xfId="4222"/>
    <cellStyle name="40% - Accent4 6 3 5 2" xfId="12930"/>
    <cellStyle name="40% - Accent4 6 3 5 2 2" xfId="26642"/>
    <cellStyle name="40% - Accent4 6 3 5 3" xfId="25293"/>
    <cellStyle name="40% - Accent4 6 3 6" xfId="4223"/>
    <cellStyle name="40% - Accent4 6 3 6 2" xfId="13799"/>
    <cellStyle name="40% - Accent4 6 3 6 2 2" xfId="27348"/>
    <cellStyle name="40% - Accent4 6 3 6 3" xfId="23117"/>
    <cellStyle name="40% - Accent4 6 3 7" xfId="4224"/>
    <cellStyle name="40% - Accent4 6 3 7 2" xfId="14380"/>
    <cellStyle name="40% - Accent4 6 3 7 2 2" xfId="27929"/>
    <cellStyle name="40% - Accent4 6 3 7 3" xfId="23116"/>
    <cellStyle name="40% - Accent4 6 3 8" xfId="4225"/>
    <cellStyle name="40% - Accent4 6 3 8 2" xfId="15359"/>
    <cellStyle name="40% - Accent4 6 3 8 2 2" xfId="28908"/>
    <cellStyle name="40% - Accent4 6 3 8 3" xfId="23115"/>
    <cellStyle name="40% - Accent4 6 3 9" xfId="4226"/>
    <cellStyle name="40% - Accent4 6 3 9 2" xfId="16266"/>
    <cellStyle name="40% - Accent4 6 3 9 2 2" xfId="29673"/>
    <cellStyle name="40% - Accent4 6 3 9 3" xfId="23114"/>
    <cellStyle name="40% - Accent4 6 4" xfId="4227"/>
    <cellStyle name="40% - Accent4 6 4 2" xfId="4228"/>
    <cellStyle name="40% - Accent4 6 4 2 2" xfId="11153"/>
    <cellStyle name="40% - Accent4 6 4 2 2 2" xfId="25095"/>
    <cellStyle name="40% - Accent4 6 4 2 3" xfId="23112"/>
    <cellStyle name="40% - Accent4 6 4 3" xfId="4229"/>
    <cellStyle name="40% - Accent4 6 4 3 2" xfId="12932"/>
    <cellStyle name="40% - Accent4 6 4 3 2 2" xfId="26644"/>
    <cellStyle name="40% - Accent4 6 4 3 3" xfId="29168"/>
    <cellStyle name="40% - Accent4 6 4 4" xfId="4230"/>
    <cellStyle name="40% - Accent4 6 4 4 2" xfId="15362"/>
    <cellStyle name="40% - Accent4 6 4 4 2 2" xfId="28911"/>
    <cellStyle name="40% - Accent4 6 4 4 3" xfId="23111"/>
    <cellStyle name="40% - Accent4 6 4 5" xfId="4231"/>
    <cellStyle name="40% - Accent4 6 4 5 2" xfId="16558"/>
    <cellStyle name="40% - Accent4 6 4 5 2 2" xfId="29965"/>
    <cellStyle name="40% - Accent4 6 4 5 3" xfId="23110"/>
    <cellStyle name="40% - Accent4 6 4 6" xfId="9426"/>
    <cellStyle name="40% - Accent4 6 4 6 2" xfId="23901"/>
    <cellStyle name="40% - Accent4 6 4 7" xfId="23113"/>
    <cellStyle name="40% - Accent4 6 5" xfId="4232"/>
    <cellStyle name="40% - Accent4 6 5 2" xfId="4233"/>
    <cellStyle name="40% - Accent4 6 5 2 2" xfId="15363"/>
    <cellStyle name="40% - Accent4 6 5 2 2 2" xfId="28912"/>
    <cellStyle name="40% - Accent4 6 5 2 3" xfId="23109"/>
    <cellStyle name="40% - Accent4 6 5 3" xfId="11146"/>
    <cellStyle name="40% - Accent4 6 5 3 2" xfId="25088"/>
    <cellStyle name="40% - Accent4 6 5 4" xfId="26862"/>
    <cellStyle name="40% - Accent4 6 6" xfId="4234"/>
    <cellStyle name="40% - Accent4 6 6 2" xfId="11933"/>
    <cellStyle name="40% - Accent4 6 6 2 2" xfId="25648"/>
    <cellStyle name="40% - Accent4 6 6 3" xfId="23108"/>
    <cellStyle name="40% - Accent4 6 7" xfId="4235"/>
    <cellStyle name="40% - Accent4 6 7 2" xfId="12925"/>
    <cellStyle name="40% - Accent4 6 7 2 2" xfId="26637"/>
    <cellStyle name="40% - Accent4 6 7 3" xfId="24290"/>
    <cellStyle name="40% - Accent4 6 8" xfId="4236"/>
    <cellStyle name="40% - Accent4 6 8 2" xfId="13510"/>
    <cellStyle name="40% - Accent4 6 8 2 2" xfId="27059"/>
    <cellStyle name="40% - Accent4 6 8 3" xfId="25292"/>
    <cellStyle name="40% - Accent4 6 9" xfId="4237"/>
    <cellStyle name="40% - Accent4 6 9 2" xfId="14091"/>
    <cellStyle name="40% - Accent4 6 9 2 2" xfId="27640"/>
    <cellStyle name="40% - Accent4 6 9 3" xfId="23107"/>
    <cellStyle name="40% - Accent4 7" xfId="4238"/>
    <cellStyle name="40% - Accent4 7 10" xfId="4239"/>
    <cellStyle name="40% - Accent4 7 10 2" xfId="15995"/>
    <cellStyle name="40% - Accent4 7 10 2 2" xfId="29402"/>
    <cellStyle name="40% - Accent4 7 10 3" xfId="24289"/>
    <cellStyle name="40% - Accent4 7 11" xfId="9427"/>
    <cellStyle name="40% - Accent4 7 11 2" xfId="23902"/>
    <cellStyle name="40% - Accent4 7 12" xfId="23106"/>
    <cellStyle name="40% - Accent4 7 2" xfId="4240"/>
    <cellStyle name="40% - Accent4 7 2 10" xfId="9428"/>
    <cellStyle name="40% - Accent4 7 2 10 2" xfId="23903"/>
    <cellStyle name="40% - Accent4 7 2 11" xfId="23105"/>
    <cellStyle name="40% - Accent4 7 2 2" xfId="4241"/>
    <cellStyle name="40% - Accent4 7 2 2 2" xfId="4242"/>
    <cellStyle name="40% - Accent4 7 2 2 2 2" xfId="11156"/>
    <cellStyle name="40% - Accent4 7 2 2 2 2 2" xfId="25098"/>
    <cellStyle name="40% - Accent4 7 2 2 2 3" xfId="24287"/>
    <cellStyle name="40% - Accent4 7 2 2 3" xfId="4243"/>
    <cellStyle name="40% - Accent4 7 2 2 3 2" xfId="12935"/>
    <cellStyle name="40% - Accent4 7 2 2 3 2 2" xfId="26647"/>
    <cellStyle name="40% - Accent4 7 2 2 3 3" xfId="23103"/>
    <cellStyle name="40% - Accent4 7 2 2 4" xfId="4244"/>
    <cellStyle name="40% - Accent4 7 2 2 4 2" xfId="15366"/>
    <cellStyle name="40% - Accent4 7 2 2 4 2 2" xfId="28915"/>
    <cellStyle name="40% - Accent4 7 2 2 4 3" xfId="23102"/>
    <cellStyle name="40% - Accent4 7 2 2 5" xfId="4245"/>
    <cellStyle name="40% - Accent4 7 2 2 5 2" xfId="16865"/>
    <cellStyle name="40% - Accent4 7 2 2 5 2 2" xfId="30272"/>
    <cellStyle name="40% - Accent4 7 2 2 5 3" xfId="29167"/>
    <cellStyle name="40% - Accent4 7 2 2 6" xfId="9429"/>
    <cellStyle name="40% - Accent4 7 2 2 6 2" xfId="23904"/>
    <cellStyle name="40% - Accent4 7 2 2 7" xfId="23104"/>
    <cellStyle name="40% - Accent4 7 2 3" xfId="4246"/>
    <cellStyle name="40% - Accent4 7 2 3 2" xfId="4247"/>
    <cellStyle name="40% - Accent4 7 2 3 2 2" xfId="15367"/>
    <cellStyle name="40% - Accent4 7 2 3 2 2 2" xfId="28916"/>
    <cellStyle name="40% - Accent4 7 2 3 2 3" xfId="23100"/>
    <cellStyle name="40% - Accent4 7 2 3 3" xfId="11155"/>
    <cellStyle name="40% - Accent4 7 2 3 3 2" xfId="25097"/>
    <cellStyle name="40% - Accent4 7 2 3 4" xfId="23101"/>
    <cellStyle name="40% - Accent4 7 2 4" xfId="4248"/>
    <cellStyle name="40% - Accent4 7 2 4 2" xfId="12253"/>
    <cellStyle name="40% - Accent4 7 2 4 2 2" xfId="25965"/>
    <cellStyle name="40% - Accent4 7 2 4 3" xfId="26861"/>
    <cellStyle name="40% - Accent4 7 2 5" xfId="4249"/>
    <cellStyle name="40% - Accent4 7 2 5 2" xfId="12934"/>
    <cellStyle name="40% - Accent4 7 2 5 2 2" xfId="26646"/>
    <cellStyle name="40% - Accent4 7 2 5 3" xfId="23099"/>
    <cellStyle name="40% - Accent4 7 2 6" xfId="4250"/>
    <cellStyle name="40% - Accent4 7 2 6 2" xfId="13817"/>
    <cellStyle name="40% - Accent4 7 2 6 2 2" xfId="27366"/>
    <cellStyle name="40% - Accent4 7 2 6 3" xfId="23098"/>
    <cellStyle name="40% - Accent4 7 2 7" xfId="4251"/>
    <cellStyle name="40% - Accent4 7 2 7 2" xfId="14398"/>
    <cellStyle name="40% - Accent4 7 2 7 2 2" xfId="27947"/>
    <cellStyle name="40% - Accent4 7 2 7 3" xfId="24288"/>
    <cellStyle name="40% - Accent4 7 2 8" xfId="4252"/>
    <cellStyle name="40% - Accent4 7 2 8 2" xfId="15365"/>
    <cellStyle name="40% - Accent4 7 2 8 2 2" xfId="28914"/>
    <cellStyle name="40% - Accent4 7 2 8 3" xfId="23097"/>
    <cellStyle name="40% - Accent4 7 2 9" xfId="4253"/>
    <cellStyle name="40% - Accent4 7 2 9 2" xfId="16284"/>
    <cellStyle name="40% - Accent4 7 2 9 2 2" xfId="29691"/>
    <cellStyle name="40% - Accent4 7 2 9 3" xfId="25291"/>
    <cellStyle name="40% - Accent4 7 3" xfId="4254"/>
    <cellStyle name="40% - Accent4 7 3 2" xfId="4255"/>
    <cellStyle name="40% - Accent4 7 3 2 2" xfId="11157"/>
    <cellStyle name="40% - Accent4 7 3 2 2 2" xfId="25099"/>
    <cellStyle name="40% - Accent4 7 3 2 3" xfId="23095"/>
    <cellStyle name="40% - Accent4 7 3 3" xfId="4256"/>
    <cellStyle name="40% - Accent4 7 3 3 2" xfId="12936"/>
    <cellStyle name="40% - Accent4 7 3 3 2 2" xfId="26648"/>
    <cellStyle name="40% - Accent4 7 3 3 3" xfId="23094"/>
    <cellStyle name="40% - Accent4 7 3 4" xfId="4257"/>
    <cellStyle name="40% - Accent4 7 3 4 2" xfId="15368"/>
    <cellStyle name="40% - Accent4 7 3 4 2 2" xfId="28917"/>
    <cellStyle name="40% - Accent4 7 3 4 3" xfId="24283"/>
    <cellStyle name="40% - Accent4 7 3 5" xfId="4258"/>
    <cellStyle name="40% - Accent4 7 3 5 2" xfId="16576"/>
    <cellStyle name="40% - Accent4 7 3 5 2 2" xfId="29983"/>
    <cellStyle name="40% - Accent4 7 3 5 3" xfId="23093"/>
    <cellStyle name="40% - Accent4 7 3 6" xfId="9430"/>
    <cellStyle name="40% - Accent4 7 3 6 2" xfId="23905"/>
    <cellStyle name="40% - Accent4 7 3 7" xfId="23096"/>
    <cellStyle name="40% - Accent4 7 4" xfId="4259"/>
    <cellStyle name="40% - Accent4 7 4 2" xfId="4260"/>
    <cellStyle name="40% - Accent4 7 4 2 2" xfId="15369"/>
    <cellStyle name="40% - Accent4 7 4 2 2 2" xfId="28918"/>
    <cellStyle name="40% - Accent4 7 4 2 3" xfId="29166"/>
    <cellStyle name="40% - Accent4 7 4 3" xfId="11154"/>
    <cellStyle name="40% - Accent4 7 4 3 2" xfId="25096"/>
    <cellStyle name="40% - Accent4 7 4 4" xfId="23092"/>
    <cellStyle name="40% - Accent4 7 5" xfId="4261"/>
    <cellStyle name="40% - Accent4 7 5 2" xfId="11951"/>
    <cellStyle name="40% - Accent4 7 5 2 2" xfId="25666"/>
    <cellStyle name="40% - Accent4 7 5 3" xfId="23091"/>
    <cellStyle name="40% - Accent4 7 6" xfId="4262"/>
    <cellStyle name="40% - Accent4 7 6 2" xfId="12933"/>
    <cellStyle name="40% - Accent4 7 6 2 2" xfId="26645"/>
    <cellStyle name="40% - Accent4 7 6 3" xfId="23090"/>
    <cellStyle name="40% - Accent4 7 7" xfId="4263"/>
    <cellStyle name="40% - Accent4 7 7 2" xfId="13528"/>
    <cellStyle name="40% - Accent4 7 7 2 2" xfId="27077"/>
    <cellStyle name="40% - Accent4 7 7 3" xfId="26860"/>
    <cellStyle name="40% - Accent4 7 8" xfId="4264"/>
    <cellStyle name="40% - Accent4 7 8 2" xfId="14109"/>
    <cellStyle name="40% - Accent4 7 8 2 2" xfId="27658"/>
    <cellStyle name="40% - Accent4 7 8 3" xfId="23089"/>
    <cellStyle name="40% - Accent4 7 9" xfId="4265"/>
    <cellStyle name="40% - Accent4 7 9 2" xfId="15364"/>
    <cellStyle name="40% - Accent4 7 9 2 2" xfId="28913"/>
    <cellStyle name="40% - Accent4 7 9 3" xfId="23088"/>
    <cellStyle name="40% - Accent4 8" xfId="4266"/>
    <cellStyle name="40% - Accent4 8 10" xfId="9431"/>
    <cellStyle name="40% - Accent4 8 10 2" xfId="23906"/>
    <cellStyle name="40% - Accent4 8 11" xfId="24286"/>
    <cellStyle name="40% - Accent4 8 2" xfId="4267"/>
    <cellStyle name="40% - Accent4 8 2 2" xfId="4268"/>
    <cellStyle name="40% - Accent4 8 2 2 2" xfId="11159"/>
    <cellStyle name="40% - Accent4 8 2 2 2 2" xfId="25101"/>
    <cellStyle name="40% - Accent4 8 2 2 3" xfId="25290"/>
    <cellStyle name="40% - Accent4 8 2 3" xfId="4269"/>
    <cellStyle name="40% - Accent4 8 2 3 2" xfId="12938"/>
    <cellStyle name="40% - Accent4 8 2 3 2 2" xfId="26650"/>
    <cellStyle name="40% - Accent4 8 2 3 3" xfId="23086"/>
    <cellStyle name="40% - Accent4 8 2 4" xfId="4270"/>
    <cellStyle name="40% - Accent4 8 2 4 2" xfId="15371"/>
    <cellStyle name="40% - Accent4 8 2 4 2 2" xfId="28920"/>
    <cellStyle name="40% - Accent4 8 2 4 3" xfId="23085"/>
    <cellStyle name="40% - Accent4 8 2 5" xfId="4271"/>
    <cellStyle name="40% - Accent4 8 2 5 2" xfId="16721"/>
    <cellStyle name="40% - Accent4 8 2 5 2 2" xfId="30128"/>
    <cellStyle name="40% - Accent4 8 2 5 3" xfId="24284"/>
    <cellStyle name="40% - Accent4 8 2 6" xfId="9432"/>
    <cellStyle name="40% - Accent4 8 2 6 2" xfId="23907"/>
    <cellStyle name="40% - Accent4 8 2 7" xfId="23087"/>
    <cellStyle name="40% - Accent4 8 3" xfId="4272"/>
    <cellStyle name="40% - Accent4 8 3 2" xfId="4273"/>
    <cellStyle name="40% - Accent4 8 3 2 2" xfId="15372"/>
    <cellStyle name="40% - Accent4 8 3 2 2 2" xfId="28921"/>
    <cellStyle name="40% - Accent4 8 3 2 3" xfId="23083"/>
    <cellStyle name="40% - Accent4 8 3 3" xfId="11158"/>
    <cellStyle name="40% - Accent4 8 3 3 2" xfId="25100"/>
    <cellStyle name="40% - Accent4 8 3 4" xfId="23084"/>
    <cellStyle name="40% - Accent4 8 4" xfId="4274"/>
    <cellStyle name="40% - Accent4 8 4 2" xfId="12099"/>
    <cellStyle name="40% - Accent4 8 4 2 2" xfId="25813"/>
    <cellStyle name="40% - Accent4 8 4 3" xfId="29165"/>
    <cellStyle name="40% - Accent4 8 5" xfId="4275"/>
    <cellStyle name="40% - Accent4 8 5 2" xfId="12937"/>
    <cellStyle name="40% - Accent4 8 5 2 2" xfId="26649"/>
    <cellStyle name="40% - Accent4 8 5 3" xfId="23082"/>
    <cellStyle name="40% - Accent4 8 6" xfId="4276"/>
    <cellStyle name="40% - Accent4 8 6 2" xfId="13673"/>
    <cellStyle name="40% - Accent4 8 6 2 2" xfId="27222"/>
    <cellStyle name="40% - Accent4 8 6 3" xfId="23081"/>
    <cellStyle name="40% - Accent4 8 7" xfId="4277"/>
    <cellStyle name="40% - Accent4 8 7 2" xfId="14254"/>
    <cellStyle name="40% - Accent4 8 7 2 2" xfId="27803"/>
    <cellStyle name="40% - Accent4 8 7 3" xfId="26859"/>
    <cellStyle name="40% - Accent4 8 8" xfId="4278"/>
    <cellStyle name="40% - Accent4 8 8 2" xfId="15370"/>
    <cellStyle name="40% - Accent4 8 8 2 2" xfId="28919"/>
    <cellStyle name="40% - Accent4 8 8 3" xfId="23080"/>
    <cellStyle name="40% - Accent4 8 9" xfId="4279"/>
    <cellStyle name="40% - Accent4 8 9 2" xfId="16140"/>
    <cellStyle name="40% - Accent4 8 9 2 2" xfId="29547"/>
    <cellStyle name="40% - Accent4 8 9 3" xfId="23079"/>
    <cellStyle name="40% - Accent4 9" xfId="4280"/>
    <cellStyle name="40% - Accent4 9 2" xfId="4281"/>
    <cellStyle name="40% - Accent4 9 2 2" xfId="11160"/>
    <cellStyle name="40% - Accent4 9 2 2 2" xfId="25102"/>
    <cellStyle name="40% - Accent4 9 2 3" xfId="23078"/>
    <cellStyle name="40% - Accent4 9 3" xfId="4282"/>
    <cellStyle name="40% - Accent4 9 3 2" xfId="12939"/>
    <cellStyle name="40% - Accent4 9 3 2 2" xfId="26651"/>
    <cellStyle name="40% - Accent4 9 3 3" xfId="25289"/>
    <cellStyle name="40% - Accent4 9 4" xfId="4283"/>
    <cellStyle name="40% - Accent4 9 4 2" xfId="15373"/>
    <cellStyle name="40% - Accent4 9 4 2 2" xfId="28922"/>
    <cellStyle name="40% - Accent4 9 4 3" xfId="23077"/>
    <cellStyle name="40% - Accent4 9 5" xfId="4284"/>
    <cellStyle name="40% - Accent4 9 5 2" xfId="17105"/>
    <cellStyle name="40% - Accent4 9 5 2 2" xfId="30464"/>
    <cellStyle name="40% - Accent4 9 5 3" xfId="23076"/>
    <cellStyle name="40% - Accent4 9 6" xfId="9433"/>
    <cellStyle name="40% - Accent4 9 6 2" xfId="23908"/>
    <cellStyle name="40% - Accent4 9 7" xfId="24285"/>
    <cellStyle name="40% - Accent5" xfId="44" builtinId="47" customBuiltin="1"/>
    <cellStyle name="40% - Accent5 10" xfId="4285"/>
    <cellStyle name="40% - Accent5 10 2" xfId="4286"/>
    <cellStyle name="40% - Accent5 10 2 2" xfId="4287"/>
    <cellStyle name="40% - Accent5 10 2 2 2" xfId="12942"/>
    <cellStyle name="40% - Accent5 10 2 2 2 2" xfId="26654"/>
    <cellStyle name="40% - Accent5 10 2 2 3" xfId="24282"/>
    <cellStyle name="40% - Accent5 10 2 3" xfId="4288"/>
    <cellStyle name="40% - Accent5 10 2 3 2" xfId="15376"/>
    <cellStyle name="40% - Accent5 10 2 3 2 2" xfId="28925"/>
    <cellStyle name="40% - Accent5 10 2 3 3" xfId="23073"/>
    <cellStyle name="40% - Accent5 10 2 4" xfId="11162"/>
    <cellStyle name="40% - Accent5 10 2 4 2" xfId="25104"/>
    <cellStyle name="40% - Accent5 10 2 5" xfId="23074"/>
    <cellStyle name="40% - Accent5 10 3" xfId="4289"/>
    <cellStyle name="40% - Accent5 10 3 2" xfId="12941"/>
    <cellStyle name="40% - Accent5 10 3 2 2" xfId="26653"/>
    <cellStyle name="40% - Accent5 10 3 3" xfId="23072"/>
    <cellStyle name="40% - Accent5 10 4" xfId="4290"/>
    <cellStyle name="40% - Accent5 10 4 2" xfId="15375"/>
    <cellStyle name="40% - Accent5 10 4 2 2" xfId="28924"/>
    <cellStyle name="40% - Accent5 10 4 3" xfId="23071"/>
    <cellStyle name="40% - Accent5 10 5" xfId="4291"/>
    <cellStyle name="40% - Accent5 10 5 2" xfId="17195"/>
    <cellStyle name="40% - Accent5 10 5 2 2" xfId="30554"/>
    <cellStyle name="40% - Accent5 10 5 3" xfId="29164"/>
    <cellStyle name="40% - Accent5 10 6" xfId="9435"/>
    <cellStyle name="40% - Accent5 10 6 2" xfId="23910"/>
    <cellStyle name="40% - Accent5 10 7" xfId="23075"/>
    <cellStyle name="40% - Accent5 11" xfId="4292"/>
    <cellStyle name="40% - Accent5 11 2" xfId="4293"/>
    <cellStyle name="40% - Accent5 11 2 2" xfId="11163"/>
    <cellStyle name="40% - Accent5 11 2 2 2" xfId="25105"/>
    <cellStyle name="40% - Accent5 11 2 3" xfId="23069"/>
    <cellStyle name="40% - Accent5 11 3" xfId="4294"/>
    <cellStyle name="40% - Accent5 11 3 2" xfId="12943"/>
    <cellStyle name="40% - Accent5 11 3 2 2" xfId="26655"/>
    <cellStyle name="40% - Accent5 11 3 3" xfId="26858"/>
    <cellStyle name="40% - Accent5 11 4" xfId="4295"/>
    <cellStyle name="40% - Accent5 11 4 2" xfId="15377"/>
    <cellStyle name="40% - Accent5 11 4 2 2" xfId="28926"/>
    <cellStyle name="40% - Accent5 11 4 3" xfId="23068"/>
    <cellStyle name="40% - Accent5 11 5" xfId="4296"/>
    <cellStyle name="40% - Accent5 11 5 2" xfId="17284"/>
    <cellStyle name="40% - Accent5 11 5 2 2" xfId="30643"/>
    <cellStyle name="40% - Accent5 11 5 3" xfId="23067"/>
    <cellStyle name="40% - Accent5 11 6" xfId="9436"/>
    <cellStyle name="40% - Accent5 11 6 2" xfId="23911"/>
    <cellStyle name="40% - Accent5 11 7" xfId="23070"/>
    <cellStyle name="40% - Accent5 12" xfId="4297"/>
    <cellStyle name="40% - Accent5 12 2" xfId="4298"/>
    <cellStyle name="40% - Accent5 12 2 2" xfId="4299"/>
    <cellStyle name="40% - Accent5 12 2 2 2" xfId="11165"/>
    <cellStyle name="40% - Accent5 12 2 2 2 2" xfId="25107"/>
    <cellStyle name="40% - Accent5 12 2 2 3" xfId="23066"/>
    <cellStyle name="40% - Accent5 12 2 3" xfId="4300"/>
    <cellStyle name="40% - Accent5 12 2 3 2" xfId="12945"/>
    <cellStyle name="40% - Accent5 12 2 3 2 2" xfId="26657"/>
    <cellStyle name="40% - Accent5 12 2 3 3" xfId="23065"/>
    <cellStyle name="40% - Accent5 12 2 4" xfId="4301"/>
    <cellStyle name="40% - Accent5 12 2 4 2" xfId="15379"/>
    <cellStyle name="40% - Accent5 12 2 4 2 2" xfId="28928"/>
    <cellStyle name="40% - Accent5 12 2 4 3" xfId="24280"/>
    <cellStyle name="40% - Accent5 12 2 5" xfId="9438"/>
    <cellStyle name="40% - Accent5 12 2 5 2" xfId="23913"/>
    <cellStyle name="40% - Accent5 12 2 6" xfId="25288"/>
    <cellStyle name="40% - Accent5 12 3" xfId="4302"/>
    <cellStyle name="40% - Accent5 12 3 2" xfId="11164"/>
    <cellStyle name="40% - Accent5 12 3 2 2" xfId="25106"/>
    <cellStyle name="40% - Accent5 12 3 3" xfId="23064"/>
    <cellStyle name="40% - Accent5 12 4" xfId="4303"/>
    <cellStyle name="40% - Accent5 12 4 2" xfId="12944"/>
    <cellStyle name="40% - Accent5 12 4 2 2" xfId="26656"/>
    <cellStyle name="40% - Accent5 12 4 3" xfId="23063"/>
    <cellStyle name="40% - Accent5 12 5" xfId="4304"/>
    <cellStyle name="40% - Accent5 12 5 2" xfId="15378"/>
    <cellStyle name="40% - Accent5 12 5 2 2" xfId="28927"/>
    <cellStyle name="40% - Accent5 12 5 3" xfId="24278"/>
    <cellStyle name="40% - Accent5 12 6" xfId="4305"/>
    <cellStyle name="40% - Accent5 12 6 2" xfId="16436"/>
    <cellStyle name="40% - Accent5 12 6 2 2" xfId="29843"/>
    <cellStyle name="40% - Accent5 12 6 3" xfId="23062"/>
    <cellStyle name="40% - Accent5 12 7" xfId="9437"/>
    <cellStyle name="40% - Accent5 12 7 2" xfId="23912"/>
    <cellStyle name="40% - Accent5 12 8" xfId="24281"/>
    <cellStyle name="40% - Accent5 13" xfId="4306"/>
    <cellStyle name="40% - Accent5 13 2" xfId="4307"/>
    <cellStyle name="40% - Accent5 13 2 2" xfId="11166"/>
    <cellStyle name="40% - Accent5 13 2 2 2" xfId="25108"/>
    <cellStyle name="40% - Accent5 13 2 3" xfId="29163"/>
    <cellStyle name="40% - Accent5 13 3" xfId="4308"/>
    <cellStyle name="40% - Accent5 13 3 2" xfId="12946"/>
    <cellStyle name="40% - Accent5 13 3 2 2" xfId="26658"/>
    <cellStyle name="40% - Accent5 13 3 3" xfId="23060"/>
    <cellStyle name="40% - Accent5 13 4" xfId="4309"/>
    <cellStyle name="40% - Accent5 13 4 2" xfId="15380"/>
    <cellStyle name="40% - Accent5 13 4 2 2" xfId="28929"/>
    <cellStyle name="40% - Accent5 13 4 3" xfId="23059"/>
    <cellStyle name="40% - Accent5 13 5" xfId="9439"/>
    <cellStyle name="40% - Accent5 13 5 2" xfId="23914"/>
    <cellStyle name="40% - Accent5 13 6" xfId="23061"/>
    <cellStyle name="40% - Accent5 14" xfId="4310"/>
    <cellStyle name="40% - Accent5 14 2" xfId="4311"/>
    <cellStyle name="40% - Accent5 14 2 2" xfId="11167"/>
    <cellStyle name="40% - Accent5 14 2 2 2" xfId="25109"/>
    <cellStyle name="40% - Accent5 14 2 3" xfId="23058"/>
    <cellStyle name="40% - Accent5 14 3" xfId="4312"/>
    <cellStyle name="40% - Accent5 14 3 2" xfId="12947"/>
    <cellStyle name="40% - Accent5 14 3 2 2" xfId="26659"/>
    <cellStyle name="40% - Accent5 14 3 3" xfId="23057"/>
    <cellStyle name="40% - Accent5 14 4" xfId="4313"/>
    <cellStyle name="40% - Accent5 14 4 2" xfId="15381"/>
    <cellStyle name="40% - Accent5 14 4 2 2" xfId="28930"/>
    <cellStyle name="40% - Accent5 14 4 3" xfId="24279"/>
    <cellStyle name="40% - Accent5 14 5" xfId="9440"/>
    <cellStyle name="40% - Accent5 14 5 2" xfId="23915"/>
    <cellStyle name="40% - Accent5 14 6" xfId="26857"/>
    <cellStyle name="40% - Accent5 15" xfId="4314"/>
    <cellStyle name="40% - Accent5 15 2" xfId="4315"/>
    <cellStyle name="40% - Accent5 15 2 2" xfId="11168"/>
    <cellStyle name="40% - Accent5 15 2 2 2" xfId="25110"/>
    <cellStyle name="40% - Accent5 15 2 3" xfId="25287"/>
    <cellStyle name="40% - Accent5 15 3" xfId="4316"/>
    <cellStyle name="40% - Accent5 15 3 2" xfId="12948"/>
    <cellStyle name="40% - Accent5 15 3 2 2" xfId="26660"/>
    <cellStyle name="40% - Accent5 15 3 3" xfId="23055"/>
    <cellStyle name="40% - Accent5 15 4" xfId="4317"/>
    <cellStyle name="40% - Accent5 15 4 2" xfId="15382"/>
    <cellStyle name="40% - Accent5 15 4 2 2" xfId="28931"/>
    <cellStyle name="40% - Accent5 15 4 3" xfId="23054"/>
    <cellStyle name="40% - Accent5 15 5" xfId="9441"/>
    <cellStyle name="40% - Accent5 15 5 2" xfId="23916"/>
    <cellStyle name="40% - Accent5 15 6" xfId="23056"/>
    <cellStyle name="40% - Accent5 16" xfId="4318"/>
    <cellStyle name="40% - Accent5 16 2" xfId="4319"/>
    <cellStyle name="40% - Accent5 16 2 2" xfId="11169"/>
    <cellStyle name="40% - Accent5 16 2 2 2" xfId="25111"/>
    <cellStyle name="40% - Accent5 16 2 3" xfId="24274"/>
    <cellStyle name="40% - Accent5 16 3" xfId="4320"/>
    <cellStyle name="40% - Accent5 16 3 2" xfId="12949"/>
    <cellStyle name="40% - Accent5 16 3 2 2" xfId="26661"/>
    <cellStyle name="40% - Accent5 16 3 3" xfId="23052"/>
    <cellStyle name="40% - Accent5 16 4" xfId="4321"/>
    <cellStyle name="40% - Accent5 16 4 2" xfId="15383"/>
    <cellStyle name="40% - Accent5 16 4 2 2" xfId="28932"/>
    <cellStyle name="40% - Accent5 16 4 3" xfId="23051"/>
    <cellStyle name="40% - Accent5 16 5" xfId="9442"/>
    <cellStyle name="40% - Accent5 16 5 2" xfId="23917"/>
    <cellStyle name="40% - Accent5 16 6" xfId="23053"/>
    <cellStyle name="40% - Accent5 17" xfId="4322"/>
    <cellStyle name="40% - Accent5 17 2" xfId="4323"/>
    <cellStyle name="40% - Accent5 17 2 2" xfId="11170"/>
    <cellStyle name="40% - Accent5 17 2 2 2" xfId="25112"/>
    <cellStyle name="40% - Accent5 17 2 3" xfId="23050"/>
    <cellStyle name="40% - Accent5 17 3" xfId="4324"/>
    <cellStyle name="40% - Accent5 17 3 2" xfId="12950"/>
    <cellStyle name="40% - Accent5 17 3 2 2" xfId="26662"/>
    <cellStyle name="40% - Accent5 17 3 3" xfId="23049"/>
    <cellStyle name="40% - Accent5 17 4" xfId="4325"/>
    <cellStyle name="40% - Accent5 17 4 2" xfId="15384"/>
    <cellStyle name="40% - Accent5 17 4 2 2" xfId="28933"/>
    <cellStyle name="40% - Accent5 17 4 3" xfId="26856"/>
    <cellStyle name="40% - Accent5 17 5" xfId="9443"/>
    <cellStyle name="40% - Accent5 17 5 2" xfId="23918"/>
    <cellStyle name="40% - Accent5 17 6" xfId="29162"/>
    <cellStyle name="40% - Accent5 18" xfId="4326"/>
    <cellStyle name="40% - Accent5 18 2" xfId="4327"/>
    <cellStyle name="40% - Accent5 18 2 2" xfId="11171"/>
    <cellStyle name="40% - Accent5 18 2 2 2" xfId="25113"/>
    <cellStyle name="40% - Accent5 18 2 3" xfId="23047"/>
    <cellStyle name="40% - Accent5 18 3" xfId="4328"/>
    <cellStyle name="40% - Accent5 18 3 2" xfId="12951"/>
    <cellStyle name="40% - Accent5 18 3 2 2" xfId="26663"/>
    <cellStyle name="40% - Accent5 18 3 3" xfId="24277"/>
    <cellStyle name="40% - Accent5 18 4" xfId="4329"/>
    <cellStyle name="40% - Accent5 18 4 2" xfId="15385"/>
    <cellStyle name="40% - Accent5 18 4 2 2" xfId="28934"/>
    <cellStyle name="40% - Accent5 18 4 3" xfId="23046"/>
    <cellStyle name="40% - Accent5 18 5" xfId="9444"/>
    <cellStyle name="40% - Accent5 18 5 2" xfId="23919"/>
    <cellStyle name="40% - Accent5 18 6" xfId="23048"/>
    <cellStyle name="40% - Accent5 19" xfId="4330"/>
    <cellStyle name="40% - Accent5 19 2" xfId="4331"/>
    <cellStyle name="40% - Accent5 19 2 2" xfId="11720"/>
    <cellStyle name="40% - Accent5 19 2 2 2" xfId="25440"/>
    <cellStyle name="40% - Accent5 19 2 3" xfId="23045"/>
    <cellStyle name="40% - Accent5 19 3" xfId="4332"/>
    <cellStyle name="40% - Accent5 19 3 2" xfId="12952"/>
    <cellStyle name="40% - Accent5 19 3 2 2" xfId="26664"/>
    <cellStyle name="40% - Accent5 19 3 3" xfId="23044"/>
    <cellStyle name="40% - Accent5 19 4" xfId="4333"/>
    <cellStyle name="40% - Accent5 19 4 2" xfId="15386"/>
    <cellStyle name="40% - Accent5 19 4 2 2" xfId="28935"/>
    <cellStyle name="40% - Accent5 19 4 3" xfId="24275"/>
    <cellStyle name="40% - Accent5 19 5" xfId="10472"/>
    <cellStyle name="40% - Accent5 19 5 2" xfId="24431"/>
    <cellStyle name="40% - Accent5 19 6" xfId="25286"/>
    <cellStyle name="40% - Accent5 2" xfId="4334"/>
    <cellStyle name="40% - Accent5 2 10" xfId="4335"/>
    <cellStyle name="40% - Accent5 2 10 2" xfId="4336"/>
    <cellStyle name="40% - Accent5 2 10 2 2" xfId="15388"/>
    <cellStyle name="40% - Accent5 2 10 2 2 2" xfId="28937"/>
    <cellStyle name="40% - Accent5 2 10 2 3" xfId="29161"/>
    <cellStyle name="40% - Accent5 2 10 3" xfId="11846"/>
    <cellStyle name="40% - Accent5 2 10 3 2" xfId="25561"/>
    <cellStyle name="40% - Accent5 2 10 4" xfId="23042"/>
    <cellStyle name="40% - Accent5 2 11" xfId="4337"/>
    <cellStyle name="40% - Accent5 2 11 2" xfId="12953"/>
    <cellStyle name="40% - Accent5 2 11 2 2" xfId="26665"/>
    <cellStyle name="40% - Accent5 2 11 3" xfId="23041"/>
    <cellStyle name="40% - Accent5 2 12" xfId="4338"/>
    <cellStyle name="40% - Accent5 2 12 2" xfId="13444"/>
    <cellStyle name="40% - Accent5 2 12 2 2" xfId="26993"/>
    <cellStyle name="40% - Accent5 2 12 3" xfId="23040"/>
    <cellStyle name="40% - Accent5 2 13" xfId="4339"/>
    <cellStyle name="40% - Accent5 2 13 2" xfId="14025"/>
    <cellStyle name="40% - Accent5 2 13 2 2" xfId="27574"/>
    <cellStyle name="40% - Accent5 2 13 3" xfId="26855"/>
    <cellStyle name="40% - Accent5 2 14" xfId="4340"/>
    <cellStyle name="40% - Accent5 2 14 2" xfId="15387"/>
    <cellStyle name="40% - Accent5 2 14 2 2" xfId="28936"/>
    <cellStyle name="40% - Accent5 2 14 3" xfId="23039"/>
    <cellStyle name="40% - Accent5 2 15" xfId="4341"/>
    <cellStyle name="40% - Accent5 2 15 2" xfId="15911"/>
    <cellStyle name="40% - Accent5 2 15 2 2" xfId="29318"/>
    <cellStyle name="40% - Accent5 2 15 3" xfId="23038"/>
    <cellStyle name="40% - Accent5 2 16" xfId="9445"/>
    <cellStyle name="40% - Accent5 2 16 2" xfId="23920"/>
    <cellStyle name="40% - Accent5 2 17" xfId="23043"/>
    <cellStyle name="40% - Accent5 2 18" xfId="33079"/>
    <cellStyle name="40% - Accent5 2 2" xfId="4342"/>
    <cellStyle name="40% - Accent5 2 2 10" xfId="4343"/>
    <cellStyle name="40% - Accent5 2 2 10 2" xfId="15389"/>
    <cellStyle name="40% - Accent5 2 2 10 2 2" xfId="28938"/>
    <cellStyle name="40% - Accent5 2 2 10 3" xfId="23037"/>
    <cellStyle name="40% - Accent5 2 2 11" xfId="4344"/>
    <cellStyle name="40% - Accent5 2 2 11 2" xfId="15957"/>
    <cellStyle name="40% - Accent5 2 2 11 2 2" xfId="29364"/>
    <cellStyle name="40% - Accent5 2 2 11 3" xfId="25285"/>
    <cellStyle name="40% - Accent5 2 2 12" xfId="9446"/>
    <cellStyle name="40% - Accent5 2 2 12 2" xfId="23921"/>
    <cellStyle name="40% - Accent5 2 2 13" xfId="24276"/>
    <cellStyle name="40% - Accent5 2 2 2" xfId="4345"/>
    <cellStyle name="40% - Accent5 2 2 2 10" xfId="4346"/>
    <cellStyle name="40% - Accent5 2 2 2 10 2" xfId="16100"/>
    <cellStyle name="40% - Accent5 2 2 2 10 2 2" xfId="29507"/>
    <cellStyle name="40% - Accent5 2 2 2 10 3" xfId="23035"/>
    <cellStyle name="40% - Accent5 2 2 2 11" xfId="9447"/>
    <cellStyle name="40% - Accent5 2 2 2 11 2" xfId="23922"/>
    <cellStyle name="40% - Accent5 2 2 2 12" xfId="23036"/>
    <cellStyle name="40% - Accent5 2 2 2 2" xfId="4347"/>
    <cellStyle name="40% - Accent5 2 2 2 2 10" xfId="9448"/>
    <cellStyle name="40% - Accent5 2 2 2 2 10 2" xfId="23923"/>
    <cellStyle name="40% - Accent5 2 2 2 2 11" xfId="23034"/>
    <cellStyle name="40% - Accent5 2 2 2 2 2" xfId="4348"/>
    <cellStyle name="40% - Accent5 2 2 2 2 2 2" xfId="4349"/>
    <cellStyle name="40% - Accent5 2 2 2 2 2 2 2" xfId="11176"/>
    <cellStyle name="40% - Accent5 2 2 2 2 2 2 2 2" xfId="25118"/>
    <cellStyle name="40% - Accent5 2 2 2 2 2 2 3" xfId="24273"/>
    <cellStyle name="40% - Accent5 2 2 2 2 2 3" xfId="4350"/>
    <cellStyle name="40% - Accent5 2 2 2 2 2 3 2" xfId="12957"/>
    <cellStyle name="40% - Accent5 2 2 2 2 2 3 2 2" xfId="26669"/>
    <cellStyle name="40% - Accent5 2 2 2 2 2 3 3" xfId="23032"/>
    <cellStyle name="40% - Accent5 2 2 2 2 2 4" xfId="4351"/>
    <cellStyle name="40% - Accent5 2 2 2 2 2 4 2" xfId="15392"/>
    <cellStyle name="40% - Accent5 2 2 2 2 2 4 2 2" xfId="28941"/>
    <cellStyle name="40% - Accent5 2 2 2 2 2 4 3" xfId="23031"/>
    <cellStyle name="40% - Accent5 2 2 2 2 2 5" xfId="4352"/>
    <cellStyle name="40% - Accent5 2 2 2 2 2 5 2" xfId="16970"/>
    <cellStyle name="40% - Accent5 2 2 2 2 2 5 2 2" xfId="30377"/>
    <cellStyle name="40% - Accent5 2 2 2 2 2 5 3" xfId="23030"/>
    <cellStyle name="40% - Accent5 2 2 2 2 2 6" xfId="9449"/>
    <cellStyle name="40% - Accent5 2 2 2 2 2 6 2" xfId="23924"/>
    <cellStyle name="40% - Accent5 2 2 2 2 2 7" xfId="23033"/>
    <cellStyle name="40% - Accent5 2 2 2 2 3" xfId="4353"/>
    <cellStyle name="40% - Accent5 2 2 2 2 3 2" xfId="4354"/>
    <cellStyle name="40% - Accent5 2 2 2 2 3 2 2" xfId="15393"/>
    <cellStyle name="40% - Accent5 2 2 2 2 3 2 2 2" xfId="28942"/>
    <cellStyle name="40% - Accent5 2 2 2 2 3 2 3" xfId="23029"/>
    <cellStyle name="40% - Accent5 2 2 2 2 3 3" xfId="11175"/>
    <cellStyle name="40% - Accent5 2 2 2 2 3 3 2" xfId="25117"/>
    <cellStyle name="40% - Accent5 2 2 2 2 3 4" xfId="29160"/>
    <cellStyle name="40% - Accent5 2 2 2 2 4" xfId="4355"/>
    <cellStyle name="40% - Accent5 2 2 2 2 4 2" xfId="12358"/>
    <cellStyle name="40% - Accent5 2 2 2 2 4 2 2" xfId="26070"/>
    <cellStyle name="40% - Accent5 2 2 2 2 4 3" xfId="23028"/>
    <cellStyle name="40% - Accent5 2 2 2 2 5" xfId="4356"/>
    <cellStyle name="40% - Accent5 2 2 2 2 5 2" xfId="12956"/>
    <cellStyle name="40% - Accent5 2 2 2 2 5 2 2" xfId="26668"/>
    <cellStyle name="40% - Accent5 2 2 2 2 5 3" xfId="26854"/>
    <cellStyle name="40% - Accent5 2 2 2 2 6" xfId="4357"/>
    <cellStyle name="40% - Accent5 2 2 2 2 6 2" xfId="13922"/>
    <cellStyle name="40% - Accent5 2 2 2 2 6 2 2" xfId="27471"/>
    <cellStyle name="40% - Accent5 2 2 2 2 6 3" xfId="23027"/>
    <cellStyle name="40% - Accent5 2 2 2 2 7" xfId="4358"/>
    <cellStyle name="40% - Accent5 2 2 2 2 7 2" xfId="14503"/>
    <cellStyle name="40% - Accent5 2 2 2 2 7 2 2" xfId="28052"/>
    <cellStyle name="40% - Accent5 2 2 2 2 7 3" xfId="23026"/>
    <cellStyle name="40% - Accent5 2 2 2 2 8" xfId="4359"/>
    <cellStyle name="40% - Accent5 2 2 2 2 8 2" xfId="15391"/>
    <cellStyle name="40% - Accent5 2 2 2 2 8 2 2" xfId="28940"/>
    <cellStyle name="40% - Accent5 2 2 2 2 8 3" xfId="24272"/>
    <cellStyle name="40% - Accent5 2 2 2 2 9" xfId="4360"/>
    <cellStyle name="40% - Accent5 2 2 2 2 9 2" xfId="16389"/>
    <cellStyle name="40% - Accent5 2 2 2 2 9 2 2" xfId="29796"/>
    <cellStyle name="40% - Accent5 2 2 2 2 9 3" xfId="25284"/>
    <cellStyle name="40% - Accent5 2 2 2 3" xfId="4361"/>
    <cellStyle name="40% - Accent5 2 2 2 3 2" xfId="4362"/>
    <cellStyle name="40% - Accent5 2 2 2 3 2 2" xfId="11177"/>
    <cellStyle name="40% - Accent5 2 2 2 3 2 2 2" xfId="25119"/>
    <cellStyle name="40% - Accent5 2 2 2 3 2 3" xfId="23024"/>
    <cellStyle name="40% - Accent5 2 2 2 3 3" xfId="4363"/>
    <cellStyle name="40% - Accent5 2 2 2 3 3 2" xfId="12958"/>
    <cellStyle name="40% - Accent5 2 2 2 3 3 2 2" xfId="26670"/>
    <cellStyle name="40% - Accent5 2 2 2 3 3 3" xfId="24271"/>
    <cellStyle name="40% - Accent5 2 2 2 3 4" xfId="4364"/>
    <cellStyle name="40% - Accent5 2 2 2 3 4 2" xfId="15394"/>
    <cellStyle name="40% - Accent5 2 2 2 3 4 2 2" xfId="28943"/>
    <cellStyle name="40% - Accent5 2 2 2 3 4 3" xfId="23023"/>
    <cellStyle name="40% - Accent5 2 2 2 3 5" xfId="4365"/>
    <cellStyle name="40% - Accent5 2 2 2 3 5 2" xfId="16681"/>
    <cellStyle name="40% - Accent5 2 2 2 3 5 2 2" xfId="30088"/>
    <cellStyle name="40% - Accent5 2 2 2 3 5 3" xfId="23022"/>
    <cellStyle name="40% - Accent5 2 2 2 3 6" xfId="9450"/>
    <cellStyle name="40% - Accent5 2 2 2 3 6 2" xfId="23925"/>
    <cellStyle name="40% - Accent5 2 2 2 3 7" xfId="23025"/>
    <cellStyle name="40% - Accent5 2 2 2 4" xfId="4366"/>
    <cellStyle name="40% - Accent5 2 2 2 4 2" xfId="4367"/>
    <cellStyle name="40% - Accent5 2 2 2 4 2 2" xfId="15395"/>
    <cellStyle name="40% - Accent5 2 2 2 4 2 2 2" xfId="28944"/>
    <cellStyle name="40% - Accent5 2 2 2 4 2 3" xfId="23021"/>
    <cellStyle name="40% - Accent5 2 2 2 4 3" xfId="11174"/>
    <cellStyle name="40% - Accent5 2 2 2 4 3 2" xfId="25116"/>
    <cellStyle name="40% - Accent5 2 2 2 4 4" xfId="24269"/>
    <cellStyle name="40% - Accent5 2 2 2 5" xfId="4368"/>
    <cellStyle name="40% - Accent5 2 2 2 5 2" xfId="12058"/>
    <cellStyle name="40% - Accent5 2 2 2 5 2 2" xfId="25773"/>
    <cellStyle name="40% - Accent5 2 2 2 5 3" xfId="23020"/>
    <cellStyle name="40% - Accent5 2 2 2 6" xfId="4369"/>
    <cellStyle name="40% - Accent5 2 2 2 6 2" xfId="12955"/>
    <cellStyle name="40% - Accent5 2 2 2 6 2 2" xfId="26667"/>
    <cellStyle name="40% - Accent5 2 2 2 6 3" xfId="29159"/>
    <cellStyle name="40% - Accent5 2 2 2 7" xfId="4370"/>
    <cellStyle name="40% - Accent5 2 2 2 7 2" xfId="13633"/>
    <cellStyle name="40% - Accent5 2 2 2 7 2 2" xfId="27182"/>
    <cellStyle name="40% - Accent5 2 2 2 7 3" xfId="23019"/>
    <cellStyle name="40% - Accent5 2 2 2 8" xfId="4371"/>
    <cellStyle name="40% - Accent5 2 2 2 8 2" xfId="14214"/>
    <cellStyle name="40% - Accent5 2 2 2 8 2 2" xfId="27763"/>
    <cellStyle name="40% - Accent5 2 2 2 8 3" xfId="23018"/>
    <cellStyle name="40% - Accent5 2 2 2 9" xfId="4372"/>
    <cellStyle name="40% - Accent5 2 2 2 9 2" xfId="15390"/>
    <cellStyle name="40% - Accent5 2 2 2 9 2 2" xfId="28939"/>
    <cellStyle name="40% - Accent5 2 2 2 9 3" xfId="26853"/>
    <cellStyle name="40% - Accent5 2 2 3" xfId="4373"/>
    <cellStyle name="40% - Accent5 2 2 3 10" xfId="9451"/>
    <cellStyle name="40% - Accent5 2 2 3 10 2" xfId="23926"/>
    <cellStyle name="40% - Accent5 2 2 3 11" xfId="23017"/>
    <cellStyle name="40% - Accent5 2 2 3 2" xfId="4374"/>
    <cellStyle name="40% - Accent5 2 2 3 2 2" xfId="4375"/>
    <cellStyle name="40% - Accent5 2 2 3 2 2 2" xfId="11179"/>
    <cellStyle name="40% - Accent5 2 2 3 2 2 2 2" xfId="25121"/>
    <cellStyle name="40% - Accent5 2 2 3 2 2 3" xfId="24270"/>
    <cellStyle name="40% - Accent5 2 2 3 2 3" xfId="4376"/>
    <cellStyle name="40% - Accent5 2 2 3 2 3 2" xfId="12960"/>
    <cellStyle name="40% - Accent5 2 2 3 2 3 2 2" xfId="26672"/>
    <cellStyle name="40% - Accent5 2 2 3 2 3 3" xfId="23015"/>
    <cellStyle name="40% - Accent5 2 2 3 2 4" xfId="4377"/>
    <cellStyle name="40% - Accent5 2 2 3 2 4 2" xfId="15397"/>
    <cellStyle name="40% - Accent5 2 2 3 2 4 2 2" xfId="28946"/>
    <cellStyle name="40% - Accent5 2 2 3 2 4 3" xfId="25283"/>
    <cellStyle name="40% - Accent5 2 2 3 2 5" xfId="4378"/>
    <cellStyle name="40% - Accent5 2 2 3 2 5 2" xfId="16827"/>
    <cellStyle name="40% - Accent5 2 2 3 2 5 2 2" xfId="30234"/>
    <cellStyle name="40% - Accent5 2 2 3 2 5 3" xfId="23014"/>
    <cellStyle name="40% - Accent5 2 2 3 2 6" xfId="9452"/>
    <cellStyle name="40% - Accent5 2 2 3 2 6 2" xfId="23927"/>
    <cellStyle name="40% - Accent5 2 2 3 2 7" xfId="23016"/>
    <cellStyle name="40% - Accent5 2 2 3 3" xfId="4379"/>
    <cellStyle name="40% - Accent5 2 2 3 3 2" xfId="4380"/>
    <cellStyle name="40% - Accent5 2 2 3 3 2 2" xfId="15398"/>
    <cellStyle name="40% - Accent5 2 2 3 3 2 2 2" xfId="28947"/>
    <cellStyle name="40% - Accent5 2 2 3 3 2 3" xfId="23012"/>
    <cellStyle name="40% - Accent5 2 2 3 3 3" xfId="11178"/>
    <cellStyle name="40% - Accent5 2 2 3 3 3 2" xfId="25120"/>
    <cellStyle name="40% - Accent5 2 2 3 3 4" xfId="23013"/>
    <cellStyle name="40% - Accent5 2 2 3 4" xfId="4381"/>
    <cellStyle name="40% - Accent5 2 2 3 4 2" xfId="12215"/>
    <cellStyle name="40% - Accent5 2 2 3 4 2 2" xfId="25927"/>
    <cellStyle name="40% - Accent5 2 2 3 4 3" xfId="24265"/>
    <cellStyle name="40% - Accent5 2 2 3 5" xfId="4382"/>
    <cellStyle name="40% - Accent5 2 2 3 5 2" xfId="12959"/>
    <cellStyle name="40% - Accent5 2 2 3 5 2 2" xfId="26671"/>
    <cellStyle name="40% - Accent5 2 2 3 5 3" xfId="23011"/>
    <cellStyle name="40% - Accent5 2 2 3 6" xfId="4383"/>
    <cellStyle name="40% - Accent5 2 2 3 6 2" xfId="13779"/>
    <cellStyle name="40% - Accent5 2 2 3 6 2 2" xfId="27328"/>
    <cellStyle name="40% - Accent5 2 2 3 6 3" xfId="23010"/>
    <cellStyle name="40% - Accent5 2 2 3 7" xfId="4384"/>
    <cellStyle name="40% - Accent5 2 2 3 7 2" xfId="14360"/>
    <cellStyle name="40% - Accent5 2 2 3 7 2 2" xfId="27909"/>
    <cellStyle name="40% - Accent5 2 2 3 7 3" xfId="29158"/>
    <cellStyle name="40% - Accent5 2 2 3 8" xfId="4385"/>
    <cellStyle name="40% - Accent5 2 2 3 8 2" xfId="15396"/>
    <cellStyle name="40% - Accent5 2 2 3 8 2 2" xfId="28945"/>
    <cellStyle name="40% - Accent5 2 2 3 8 3" xfId="23009"/>
    <cellStyle name="40% - Accent5 2 2 3 9" xfId="4386"/>
    <cellStyle name="40% - Accent5 2 2 3 9 2" xfId="16246"/>
    <cellStyle name="40% - Accent5 2 2 3 9 2 2" xfId="29653"/>
    <cellStyle name="40% - Accent5 2 2 3 9 3" xfId="23008"/>
    <cellStyle name="40% - Accent5 2 2 4" xfId="4387"/>
    <cellStyle name="40% - Accent5 2 2 4 2" xfId="4388"/>
    <cellStyle name="40% - Accent5 2 2 4 2 2" xfId="11180"/>
    <cellStyle name="40% - Accent5 2 2 4 2 2 2" xfId="25122"/>
    <cellStyle name="40% - Accent5 2 2 4 2 3" xfId="23007"/>
    <cellStyle name="40% - Accent5 2 2 4 3" xfId="4389"/>
    <cellStyle name="40% - Accent5 2 2 4 3 2" xfId="12961"/>
    <cellStyle name="40% - Accent5 2 2 4 3 2 2" xfId="26673"/>
    <cellStyle name="40% - Accent5 2 2 4 3 3" xfId="23006"/>
    <cellStyle name="40% - Accent5 2 2 4 4" xfId="4390"/>
    <cellStyle name="40% - Accent5 2 2 4 4 2" xfId="15399"/>
    <cellStyle name="40% - Accent5 2 2 4 4 2 2" xfId="28948"/>
    <cellStyle name="40% - Accent5 2 2 4 4 3" xfId="24268"/>
    <cellStyle name="40% - Accent5 2 2 4 5" xfId="4391"/>
    <cellStyle name="40% - Accent5 2 2 4 5 2" xfId="17174"/>
    <cellStyle name="40% - Accent5 2 2 4 5 2 2" xfId="30533"/>
    <cellStyle name="40% - Accent5 2 2 4 5 3" xfId="23005"/>
    <cellStyle name="40% - Accent5 2 2 4 6" xfId="9453"/>
    <cellStyle name="40% - Accent5 2 2 4 6 2" xfId="23928"/>
    <cellStyle name="40% - Accent5 2 2 4 7" xfId="26852"/>
    <cellStyle name="40% - Accent5 2 2 5" xfId="4392"/>
    <cellStyle name="40% - Accent5 2 2 5 2" xfId="4393"/>
    <cellStyle name="40% - Accent5 2 2 5 2 2" xfId="15400"/>
    <cellStyle name="40% - Accent5 2 2 5 2 2 2" xfId="28949"/>
    <cellStyle name="40% - Accent5 2 2 5 2 3" xfId="23004"/>
    <cellStyle name="40% - Accent5 2 2 5 3" xfId="4394"/>
    <cellStyle name="40% - Accent5 2 2 5 3 2" xfId="17263"/>
    <cellStyle name="40% - Accent5 2 2 5 3 2 2" xfId="30622"/>
    <cellStyle name="40% - Accent5 2 2 5 3 3" xfId="23003"/>
    <cellStyle name="40% - Accent5 2 2 5 4" xfId="11173"/>
    <cellStyle name="40% - Accent5 2 2 5 4 2" xfId="25115"/>
    <cellStyle name="40% - Accent5 2 2 5 5" xfId="25282"/>
    <cellStyle name="40% - Accent5 2 2 6" xfId="4395"/>
    <cellStyle name="40% - Accent5 2 2 6 2" xfId="4396"/>
    <cellStyle name="40% - Accent5 2 2 6 2 2" xfId="16538"/>
    <cellStyle name="40% - Accent5 2 2 6 2 2 2" xfId="29945"/>
    <cellStyle name="40% - Accent5 2 2 6 2 3" xfId="23002"/>
    <cellStyle name="40% - Accent5 2 2 6 3" xfId="11913"/>
    <cellStyle name="40% - Accent5 2 2 6 3 2" xfId="25628"/>
    <cellStyle name="40% - Accent5 2 2 6 4" xfId="24266"/>
    <cellStyle name="40% - Accent5 2 2 7" xfId="4397"/>
    <cellStyle name="40% - Accent5 2 2 7 2" xfId="12954"/>
    <cellStyle name="40% - Accent5 2 2 7 2 2" xfId="26666"/>
    <cellStyle name="40% - Accent5 2 2 7 3" xfId="23001"/>
    <cellStyle name="40% - Accent5 2 2 8" xfId="4398"/>
    <cellStyle name="40% - Accent5 2 2 8 2" xfId="13490"/>
    <cellStyle name="40% - Accent5 2 2 8 2 2" xfId="27039"/>
    <cellStyle name="40% - Accent5 2 2 8 3" xfId="29157"/>
    <cellStyle name="40% - Accent5 2 2 9" xfId="4399"/>
    <cellStyle name="40% - Accent5 2 2 9 2" xfId="14071"/>
    <cellStyle name="40% - Accent5 2 2 9 2 2" xfId="27620"/>
    <cellStyle name="40% - Accent5 2 2 9 3" xfId="23000"/>
    <cellStyle name="40% - Accent5 2 3" xfId="4400"/>
    <cellStyle name="40% - Accent5 2 3 10" xfId="4401"/>
    <cellStyle name="40% - Accent5 2 3 10 2" xfId="16054"/>
    <cellStyle name="40% - Accent5 2 3 10 2 2" xfId="29461"/>
    <cellStyle name="40% - Accent5 2 3 10 3" xfId="26851"/>
    <cellStyle name="40% - Accent5 2 3 11" xfId="9454"/>
    <cellStyle name="40% - Accent5 2 3 11 2" xfId="23929"/>
    <cellStyle name="40% - Accent5 2 3 12" xfId="22999"/>
    <cellStyle name="40% - Accent5 2 3 2" xfId="4402"/>
    <cellStyle name="40% - Accent5 2 3 2 10" xfId="9455"/>
    <cellStyle name="40% - Accent5 2 3 2 10 2" xfId="23930"/>
    <cellStyle name="40% - Accent5 2 3 2 11" xfId="22998"/>
    <cellStyle name="40% - Accent5 2 3 2 2" xfId="4403"/>
    <cellStyle name="40% - Accent5 2 3 2 2 2" xfId="4404"/>
    <cellStyle name="40% - Accent5 2 3 2 2 2 2" xfId="11183"/>
    <cellStyle name="40% - Accent5 2 3 2 2 2 2 2" xfId="25125"/>
    <cellStyle name="40% - Accent5 2 3 2 2 2 3" xfId="24267"/>
    <cellStyle name="40% - Accent5 2 3 2 2 3" xfId="4405"/>
    <cellStyle name="40% - Accent5 2 3 2 2 3 2" xfId="12964"/>
    <cellStyle name="40% - Accent5 2 3 2 2 3 2 2" xfId="26676"/>
    <cellStyle name="40% - Accent5 2 3 2 2 3 3" xfId="22996"/>
    <cellStyle name="40% - Accent5 2 3 2 2 4" xfId="4406"/>
    <cellStyle name="40% - Accent5 2 3 2 2 4 2" xfId="15403"/>
    <cellStyle name="40% - Accent5 2 3 2 2 4 2 2" xfId="28952"/>
    <cellStyle name="40% - Accent5 2 3 2 2 4 3" xfId="25281"/>
    <cellStyle name="40% - Accent5 2 3 2 2 5" xfId="4407"/>
    <cellStyle name="40% - Accent5 2 3 2 2 5 2" xfId="16924"/>
    <cellStyle name="40% - Accent5 2 3 2 2 5 2 2" xfId="30331"/>
    <cellStyle name="40% - Accent5 2 3 2 2 5 3" xfId="22995"/>
    <cellStyle name="40% - Accent5 2 3 2 2 6" xfId="9456"/>
    <cellStyle name="40% - Accent5 2 3 2 2 6 2" xfId="23931"/>
    <cellStyle name="40% - Accent5 2 3 2 2 7" xfId="22997"/>
    <cellStyle name="40% - Accent5 2 3 2 3" xfId="4408"/>
    <cellStyle name="40% - Accent5 2 3 2 3 2" xfId="4409"/>
    <cellStyle name="40% - Accent5 2 3 2 3 2 2" xfId="15404"/>
    <cellStyle name="40% - Accent5 2 3 2 3 2 2 2" xfId="28953"/>
    <cellStyle name="40% - Accent5 2 3 2 3 2 3" xfId="22993"/>
    <cellStyle name="40% - Accent5 2 3 2 3 3" xfId="11182"/>
    <cellStyle name="40% - Accent5 2 3 2 3 3 2" xfId="25124"/>
    <cellStyle name="40% - Accent5 2 3 2 3 4" xfId="22994"/>
    <cellStyle name="40% - Accent5 2 3 2 4" xfId="4410"/>
    <cellStyle name="40% - Accent5 2 3 2 4 2" xfId="12312"/>
    <cellStyle name="40% - Accent5 2 3 2 4 2 2" xfId="26024"/>
    <cellStyle name="40% - Accent5 2 3 2 4 3" xfId="22992"/>
    <cellStyle name="40% - Accent5 2 3 2 5" xfId="4411"/>
    <cellStyle name="40% - Accent5 2 3 2 5 2" xfId="12963"/>
    <cellStyle name="40% - Accent5 2 3 2 5 2 2" xfId="26675"/>
    <cellStyle name="40% - Accent5 2 3 2 5 3" xfId="24264"/>
    <cellStyle name="40% - Accent5 2 3 2 6" xfId="4412"/>
    <cellStyle name="40% - Accent5 2 3 2 6 2" xfId="13876"/>
    <cellStyle name="40% - Accent5 2 3 2 6 2 2" xfId="27425"/>
    <cellStyle name="40% - Accent5 2 3 2 6 3" xfId="22991"/>
    <cellStyle name="40% - Accent5 2 3 2 7" xfId="4413"/>
    <cellStyle name="40% - Accent5 2 3 2 7 2" xfId="14457"/>
    <cellStyle name="40% - Accent5 2 3 2 7 2 2" xfId="28006"/>
    <cellStyle name="40% - Accent5 2 3 2 7 3" xfId="30657"/>
    <cellStyle name="40% - Accent5 2 3 2 8" xfId="4414"/>
    <cellStyle name="40% - Accent5 2 3 2 8 2" xfId="15402"/>
    <cellStyle name="40% - Accent5 2 3 2 8 2 2" xfId="28951"/>
    <cellStyle name="40% - Accent5 2 3 2 8 3" xfId="22990"/>
    <cellStyle name="40% - Accent5 2 3 2 9" xfId="4415"/>
    <cellStyle name="40% - Accent5 2 3 2 9 2" xfId="16343"/>
    <cellStyle name="40% - Accent5 2 3 2 9 2 2" xfId="29750"/>
    <cellStyle name="40% - Accent5 2 3 2 9 3" xfId="22989"/>
    <cellStyle name="40% - Accent5 2 3 3" xfId="4416"/>
    <cellStyle name="40% - Accent5 2 3 3 2" xfId="4417"/>
    <cellStyle name="40% - Accent5 2 3 3 2 2" xfId="11184"/>
    <cellStyle name="40% - Accent5 2 3 3 2 2 2" xfId="25126"/>
    <cellStyle name="40% - Accent5 2 3 3 2 3" xfId="22987"/>
    <cellStyle name="40% - Accent5 2 3 3 3" xfId="4418"/>
    <cellStyle name="40% - Accent5 2 3 3 3 2" xfId="12965"/>
    <cellStyle name="40% - Accent5 2 3 3 3 2 2" xfId="26677"/>
    <cellStyle name="40% - Accent5 2 3 3 3 3" xfId="29156"/>
    <cellStyle name="40% - Accent5 2 3 3 4" xfId="4419"/>
    <cellStyle name="40% - Accent5 2 3 3 4 2" xfId="15405"/>
    <cellStyle name="40% - Accent5 2 3 3 4 2 2" xfId="28954"/>
    <cellStyle name="40% - Accent5 2 3 3 4 3" xfId="22986"/>
    <cellStyle name="40% - Accent5 2 3 3 5" xfId="4420"/>
    <cellStyle name="40% - Accent5 2 3 3 5 2" xfId="16635"/>
    <cellStyle name="40% - Accent5 2 3 3 5 2 2" xfId="30042"/>
    <cellStyle name="40% - Accent5 2 3 3 5 3" xfId="22985"/>
    <cellStyle name="40% - Accent5 2 3 3 6" xfId="9457"/>
    <cellStyle name="40% - Accent5 2 3 3 6 2" xfId="23932"/>
    <cellStyle name="40% - Accent5 2 3 3 7" xfId="22988"/>
    <cellStyle name="40% - Accent5 2 3 4" xfId="4421"/>
    <cellStyle name="40% - Accent5 2 3 4 2" xfId="4422"/>
    <cellStyle name="40% - Accent5 2 3 4 2 2" xfId="15406"/>
    <cellStyle name="40% - Accent5 2 3 4 2 2 2" xfId="28955"/>
    <cellStyle name="40% - Accent5 2 3 4 2 3" xfId="22984"/>
    <cellStyle name="40% - Accent5 2 3 4 3" xfId="11181"/>
    <cellStyle name="40% - Accent5 2 3 4 3 2" xfId="25123"/>
    <cellStyle name="40% - Accent5 2 3 4 4" xfId="24263"/>
    <cellStyle name="40% - Accent5 2 3 5" xfId="4423"/>
    <cellStyle name="40% - Accent5 2 3 5 2" xfId="12012"/>
    <cellStyle name="40% - Accent5 2 3 5 2 2" xfId="25727"/>
    <cellStyle name="40% - Accent5 2 3 5 3" xfId="25280"/>
    <cellStyle name="40% - Accent5 2 3 6" xfId="4424"/>
    <cellStyle name="40% - Accent5 2 3 6 2" xfId="12962"/>
    <cellStyle name="40% - Accent5 2 3 6 2 2" xfId="26674"/>
    <cellStyle name="40% - Accent5 2 3 6 3" xfId="22983"/>
    <cellStyle name="40% - Accent5 2 3 7" xfId="4425"/>
    <cellStyle name="40% - Accent5 2 3 7 2" xfId="13587"/>
    <cellStyle name="40% - Accent5 2 3 7 2 2" xfId="27136"/>
    <cellStyle name="40% - Accent5 2 3 7 3" xfId="22982"/>
    <cellStyle name="40% - Accent5 2 3 8" xfId="4426"/>
    <cellStyle name="40% - Accent5 2 3 8 2" xfId="14168"/>
    <cellStyle name="40% - Accent5 2 3 8 2 2" xfId="27717"/>
    <cellStyle name="40% - Accent5 2 3 8 3" xfId="24262"/>
    <cellStyle name="40% - Accent5 2 3 9" xfId="4427"/>
    <cellStyle name="40% - Accent5 2 3 9 2" xfId="15401"/>
    <cellStyle name="40% - Accent5 2 3 9 2 2" xfId="28950"/>
    <cellStyle name="40% - Accent5 2 3 9 3" xfId="22981"/>
    <cellStyle name="40% - Accent5 2 4" xfId="4428"/>
    <cellStyle name="40% - Accent5 2 4 10" xfId="9458"/>
    <cellStyle name="40% - Accent5 2 4 10 2" xfId="23933"/>
    <cellStyle name="40% - Accent5 2 4 11" xfId="26850"/>
    <cellStyle name="40% - Accent5 2 4 2" xfId="4429"/>
    <cellStyle name="40% - Accent5 2 4 2 2" xfId="4430"/>
    <cellStyle name="40% - Accent5 2 4 2 2 2" xfId="11186"/>
    <cellStyle name="40% - Accent5 2 4 2 2 2 2" xfId="25128"/>
    <cellStyle name="40% - Accent5 2 4 2 2 3" xfId="22979"/>
    <cellStyle name="40% - Accent5 2 4 2 3" xfId="4431"/>
    <cellStyle name="40% - Accent5 2 4 2 3 2" xfId="12967"/>
    <cellStyle name="40% - Accent5 2 4 2 3 2 2" xfId="26679"/>
    <cellStyle name="40% - Accent5 2 4 2 3 3" xfId="24260"/>
    <cellStyle name="40% - Accent5 2 4 2 4" xfId="4432"/>
    <cellStyle name="40% - Accent5 2 4 2 4 2" xfId="15408"/>
    <cellStyle name="40% - Accent5 2 4 2 4 2 2" xfId="28957"/>
    <cellStyle name="40% - Accent5 2 4 2 4 3" xfId="22978"/>
    <cellStyle name="40% - Accent5 2 4 2 5" xfId="4433"/>
    <cellStyle name="40% - Accent5 2 4 2 5 2" xfId="16781"/>
    <cellStyle name="40% - Accent5 2 4 2 5 2 2" xfId="30188"/>
    <cellStyle name="40% - Accent5 2 4 2 5 3" xfId="22977"/>
    <cellStyle name="40% - Accent5 2 4 2 6" xfId="9459"/>
    <cellStyle name="40% - Accent5 2 4 2 6 2" xfId="23934"/>
    <cellStyle name="40% - Accent5 2 4 2 7" xfId="22980"/>
    <cellStyle name="40% - Accent5 2 4 3" xfId="4434"/>
    <cellStyle name="40% - Accent5 2 4 3 2" xfId="4435"/>
    <cellStyle name="40% - Accent5 2 4 3 2 2" xfId="15409"/>
    <cellStyle name="40% - Accent5 2 4 3 2 2 2" xfId="28958"/>
    <cellStyle name="40% - Accent5 2 4 3 2 3" xfId="22976"/>
    <cellStyle name="40% - Accent5 2 4 3 3" xfId="11185"/>
    <cellStyle name="40% - Accent5 2 4 3 3 2" xfId="25127"/>
    <cellStyle name="40% - Accent5 2 4 3 4" xfId="29155"/>
    <cellStyle name="40% - Accent5 2 4 4" xfId="4436"/>
    <cellStyle name="40% - Accent5 2 4 4 2" xfId="12169"/>
    <cellStyle name="40% - Accent5 2 4 4 2 2" xfId="25881"/>
    <cellStyle name="40% - Accent5 2 4 4 3" xfId="22975"/>
    <cellStyle name="40% - Accent5 2 4 5" xfId="4437"/>
    <cellStyle name="40% - Accent5 2 4 5 2" xfId="12966"/>
    <cellStyle name="40% - Accent5 2 4 5 2 2" xfId="26678"/>
    <cellStyle name="40% - Accent5 2 4 5 3" xfId="26849"/>
    <cellStyle name="40% - Accent5 2 4 6" xfId="4438"/>
    <cellStyle name="40% - Accent5 2 4 6 2" xfId="13733"/>
    <cellStyle name="40% - Accent5 2 4 6 2 2" xfId="27282"/>
    <cellStyle name="40% - Accent5 2 4 6 3" xfId="22974"/>
    <cellStyle name="40% - Accent5 2 4 7" xfId="4439"/>
    <cellStyle name="40% - Accent5 2 4 7 2" xfId="14314"/>
    <cellStyle name="40% - Accent5 2 4 7 2 2" xfId="27863"/>
    <cellStyle name="40% - Accent5 2 4 7 3" xfId="22973"/>
    <cellStyle name="40% - Accent5 2 4 8" xfId="4440"/>
    <cellStyle name="40% - Accent5 2 4 8 2" xfId="15407"/>
    <cellStyle name="40% - Accent5 2 4 8 2 2" xfId="28956"/>
    <cellStyle name="40% - Accent5 2 4 8 3" xfId="24261"/>
    <cellStyle name="40% - Accent5 2 4 9" xfId="4441"/>
    <cellStyle name="40% - Accent5 2 4 9 2" xfId="16200"/>
    <cellStyle name="40% - Accent5 2 4 9 2 2" xfId="29607"/>
    <cellStyle name="40% - Accent5 2 4 9 3" xfId="22972"/>
    <cellStyle name="40% - Accent5 2 5" xfId="4442"/>
    <cellStyle name="40% - Accent5 2 5 2" xfId="4443"/>
    <cellStyle name="40% - Accent5 2 5 2 2" xfId="4444"/>
    <cellStyle name="40% - Accent5 2 5 2 2 2" xfId="11188"/>
    <cellStyle name="40% - Accent5 2 5 2 2 2 2" xfId="25130"/>
    <cellStyle name="40% - Accent5 2 5 2 2 3" xfId="22970"/>
    <cellStyle name="40% - Accent5 2 5 2 3" xfId="4445"/>
    <cellStyle name="40% - Accent5 2 5 2 3 2" xfId="12969"/>
    <cellStyle name="40% - Accent5 2 5 2 3 2 2" xfId="26681"/>
    <cellStyle name="40% - Accent5 2 5 2 3 3" xfId="22969"/>
    <cellStyle name="40% - Accent5 2 5 2 4" xfId="4446"/>
    <cellStyle name="40% - Accent5 2 5 2 4 2" xfId="15411"/>
    <cellStyle name="40% - Accent5 2 5 2 4 2 2" xfId="28960"/>
    <cellStyle name="40% - Accent5 2 5 2 4 3" xfId="24256"/>
    <cellStyle name="40% - Accent5 2 5 2 5" xfId="9461"/>
    <cellStyle name="40% - Accent5 2 5 2 5 2" xfId="23936"/>
    <cellStyle name="40% - Accent5 2 5 2 6" xfId="22971"/>
    <cellStyle name="40% - Accent5 2 5 3" xfId="4447"/>
    <cellStyle name="40% - Accent5 2 5 3 2" xfId="11187"/>
    <cellStyle name="40% - Accent5 2 5 3 2 2" xfId="25129"/>
    <cellStyle name="40% - Accent5 2 5 3 3" xfId="22968"/>
    <cellStyle name="40% - Accent5 2 5 4" xfId="4448"/>
    <cellStyle name="40% - Accent5 2 5 4 2" xfId="12968"/>
    <cellStyle name="40% - Accent5 2 5 4 2 2" xfId="26680"/>
    <cellStyle name="40% - Accent5 2 5 4 3" xfId="22967"/>
    <cellStyle name="40% - Accent5 2 5 5" xfId="4449"/>
    <cellStyle name="40% - Accent5 2 5 5 2" xfId="15410"/>
    <cellStyle name="40% - Accent5 2 5 5 2 2" xfId="28959"/>
    <cellStyle name="40% - Accent5 2 5 5 3" xfId="29154"/>
    <cellStyle name="40% - Accent5 2 5 6" xfId="4450"/>
    <cellStyle name="40% - Accent5 2 5 6 2" xfId="17017"/>
    <cellStyle name="40% - Accent5 2 5 6 2 2" xfId="30424"/>
    <cellStyle name="40% - Accent5 2 5 6 3" xfId="22966"/>
    <cellStyle name="40% - Accent5 2 5 7" xfId="9460"/>
    <cellStyle name="40% - Accent5 2 5 7 2" xfId="23935"/>
    <cellStyle name="40% - Accent5 2 5 8" xfId="25279"/>
    <cellStyle name="40% - Accent5 2 6" xfId="4451"/>
    <cellStyle name="40% - Accent5 2 6 2" xfId="4452"/>
    <cellStyle name="40% - Accent5 2 6 2 2" xfId="11189"/>
    <cellStyle name="40% - Accent5 2 6 2 2 2" xfId="25131"/>
    <cellStyle name="40% - Accent5 2 6 2 3" xfId="26848"/>
    <cellStyle name="40% - Accent5 2 6 3" xfId="4453"/>
    <cellStyle name="40% - Accent5 2 6 3 2" xfId="12970"/>
    <cellStyle name="40% - Accent5 2 6 3 2 2" xfId="26682"/>
    <cellStyle name="40% - Accent5 2 6 3 3" xfId="22964"/>
    <cellStyle name="40% - Accent5 2 6 4" xfId="4454"/>
    <cellStyle name="40% - Accent5 2 6 4 2" xfId="15412"/>
    <cellStyle name="40% - Accent5 2 6 4 2 2" xfId="28961"/>
    <cellStyle name="40% - Accent5 2 6 4 3" xfId="22963"/>
    <cellStyle name="40% - Accent5 2 6 5" xfId="4455"/>
    <cellStyle name="40% - Accent5 2 6 5 2" xfId="17128"/>
    <cellStyle name="40% - Accent5 2 6 5 2 2" xfId="30487"/>
    <cellStyle name="40% - Accent5 2 6 5 3" xfId="24259"/>
    <cellStyle name="40% - Accent5 2 6 6" xfId="9462"/>
    <cellStyle name="40% - Accent5 2 6 6 2" xfId="23937"/>
    <cellStyle name="40% - Accent5 2 6 7" xfId="22965"/>
    <cellStyle name="40% - Accent5 2 7" xfId="4456"/>
    <cellStyle name="40% - Accent5 2 7 2" xfId="4457"/>
    <cellStyle name="40% - Accent5 2 7 2 2" xfId="11190"/>
    <cellStyle name="40% - Accent5 2 7 2 2 2" xfId="25132"/>
    <cellStyle name="40% - Accent5 2 7 2 3" xfId="25278"/>
    <cellStyle name="40% - Accent5 2 7 3" xfId="4458"/>
    <cellStyle name="40% - Accent5 2 7 3 2" xfId="12971"/>
    <cellStyle name="40% - Accent5 2 7 3 2 2" xfId="26683"/>
    <cellStyle name="40% - Accent5 2 7 3 3" xfId="22961"/>
    <cellStyle name="40% - Accent5 2 7 4" xfId="4459"/>
    <cellStyle name="40% - Accent5 2 7 4 2" xfId="15413"/>
    <cellStyle name="40% - Accent5 2 7 4 2 2" xfId="28962"/>
    <cellStyle name="40% - Accent5 2 7 4 3" xfId="22960"/>
    <cellStyle name="40% - Accent5 2 7 5" xfId="4460"/>
    <cellStyle name="40% - Accent5 2 7 5 2" xfId="17217"/>
    <cellStyle name="40% - Accent5 2 7 5 2 2" xfId="30576"/>
    <cellStyle name="40% - Accent5 2 7 5 3" xfId="24257"/>
    <cellStyle name="40% - Accent5 2 7 6" xfId="9463"/>
    <cellStyle name="40% - Accent5 2 7 6 2" xfId="23938"/>
    <cellStyle name="40% - Accent5 2 7 7" xfId="22962"/>
    <cellStyle name="40% - Accent5 2 8" xfId="4461"/>
    <cellStyle name="40% - Accent5 2 8 2" xfId="4462"/>
    <cellStyle name="40% - Accent5 2 8 2 2" xfId="12972"/>
    <cellStyle name="40% - Accent5 2 8 2 2 2" xfId="26684"/>
    <cellStyle name="40% - Accent5 2 8 2 3" xfId="22958"/>
    <cellStyle name="40% - Accent5 2 8 3" xfId="4463"/>
    <cellStyle name="40% - Accent5 2 8 3 2" xfId="15414"/>
    <cellStyle name="40% - Accent5 2 8 3 2 2" xfId="28963"/>
    <cellStyle name="40% - Accent5 2 8 3 3" xfId="29153"/>
    <cellStyle name="40% - Accent5 2 8 4" xfId="4464"/>
    <cellStyle name="40% - Accent5 2 8 4 2" xfId="16492"/>
    <cellStyle name="40% - Accent5 2 8 4 2 2" xfId="29899"/>
    <cellStyle name="40% - Accent5 2 8 4 3" xfId="22957"/>
    <cellStyle name="40% - Accent5 2 8 5" xfId="10538"/>
    <cellStyle name="40% - Accent5 2 8 5 2" xfId="24480"/>
    <cellStyle name="40% - Accent5 2 8 6" xfId="22959"/>
    <cellStyle name="40% - Accent5 2 9" xfId="4465"/>
    <cellStyle name="40% - Accent5 2 9 2" xfId="4466"/>
    <cellStyle name="40% - Accent5 2 9 2 2" xfId="12973"/>
    <cellStyle name="40% - Accent5 2 9 2 2 2" xfId="26685"/>
    <cellStyle name="40% - Accent5 2 9 2 3" xfId="26847"/>
    <cellStyle name="40% - Accent5 2 9 3" xfId="4467"/>
    <cellStyle name="40% - Accent5 2 9 3 2" xfId="15415"/>
    <cellStyle name="40% - Accent5 2 9 3 2 2" xfId="28964"/>
    <cellStyle name="40% - Accent5 2 9 3 3" xfId="22955"/>
    <cellStyle name="40% - Accent5 2 9 4" xfId="11172"/>
    <cellStyle name="40% - Accent5 2 9 4 2" xfId="25114"/>
    <cellStyle name="40% - Accent5 2 9 5" xfId="22956"/>
    <cellStyle name="40% - Accent5 20" xfId="4468"/>
    <cellStyle name="40% - Accent5 20 2" xfId="4469"/>
    <cellStyle name="40% - Accent5 20 2 2" xfId="12974"/>
    <cellStyle name="40% - Accent5 20 2 2 2" xfId="26686"/>
    <cellStyle name="40% - Accent5 20 2 3" xfId="24258"/>
    <cellStyle name="40% - Accent5 20 3" xfId="4470"/>
    <cellStyle name="40% - Accent5 20 3 2" xfId="15416"/>
    <cellStyle name="40% - Accent5 20 3 2 2" xfId="28965"/>
    <cellStyle name="40% - Accent5 20 3 3" xfId="22953"/>
    <cellStyle name="40% - Accent5 20 4" xfId="10513"/>
    <cellStyle name="40% - Accent5 20 4 2" xfId="24461"/>
    <cellStyle name="40% - Accent5 20 5" xfId="22954"/>
    <cellStyle name="40% - Accent5 21" xfId="4471"/>
    <cellStyle name="40% - Accent5 21 2" xfId="4472"/>
    <cellStyle name="40% - Accent5 21 2 2" xfId="12975"/>
    <cellStyle name="40% - Accent5 21 2 2 2" xfId="26687"/>
    <cellStyle name="40% - Accent5 21 2 3" xfId="22952"/>
    <cellStyle name="40% - Accent5 21 3" xfId="4473"/>
    <cellStyle name="40% - Accent5 21 3 2" xfId="15417"/>
    <cellStyle name="40% - Accent5 21 3 2 2" xfId="28966"/>
    <cellStyle name="40% - Accent5 21 3 3" xfId="22951"/>
    <cellStyle name="40% - Accent5 21 4" xfId="11161"/>
    <cellStyle name="40% - Accent5 21 4 2" xfId="25103"/>
    <cellStyle name="40% - Accent5 21 5" xfId="25277"/>
    <cellStyle name="40% - Accent5 22" xfId="4474"/>
    <cellStyle name="40% - Accent5 22 2" xfId="11749"/>
    <cellStyle name="40% - Accent5 22 2 2" xfId="25464"/>
    <cellStyle name="40% - Accent5 22 3" xfId="22950"/>
    <cellStyle name="40% - Accent5 23" xfId="4475"/>
    <cellStyle name="40% - Accent5 23 2" xfId="12940"/>
    <cellStyle name="40% - Accent5 23 2 2" xfId="26652"/>
    <cellStyle name="40% - Accent5 23 3" xfId="22949"/>
    <cellStyle name="40% - Accent5 24" xfId="4476"/>
    <cellStyle name="40% - Accent5 24 2" xfId="13388"/>
    <cellStyle name="40% - Accent5 24 2 2" xfId="26937"/>
    <cellStyle name="40% - Accent5 24 3" xfId="24255"/>
    <cellStyle name="40% - Accent5 25" xfId="4477"/>
    <cellStyle name="40% - Accent5 25 2" xfId="13969"/>
    <cellStyle name="40% - Accent5 25 2 2" xfId="27518"/>
    <cellStyle name="40% - Accent5 25 3" xfId="23241"/>
    <cellStyle name="40% - Accent5 26" xfId="4478"/>
    <cellStyle name="40% - Accent5 26 2" xfId="15374"/>
    <cellStyle name="40% - Accent5 26 2 2" xfId="28923"/>
    <cellStyle name="40% - Accent5 26 3" xfId="30682"/>
    <cellStyle name="40% - Accent5 27" xfId="4479"/>
    <cellStyle name="40% - Accent5 27 2" xfId="15831"/>
    <cellStyle name="40% - Accent5 27 2 2" xfId="29238"/>
    <cellStyle name="40% - Accent5 27 3" xfId="22948"/>
    <cellStyle name="40% - Accent5 28" xfId="4480"/>
    <cellStyle name="40% - Accent5 28 2" xfId="15855"/>
    <cellStyle name="40% - Accent5 28 2 2" xfId="29262"/>
    <cellStyle name="40% - Accent5 28 3" xfId="22947"/>
    <cellStyle name="40% - Accent5 29" xfId="4481"/>
    <cellStyle name="40% - Accent5 29 2" xfId="9434"/>
    <cellStyle name="40% - Accent5 29 2 2" xfId="23909"/>
    <cellStyle name="40% - Accent5 29 3" xfId="24221"/>
    <cellStyle name="40% - Accent5 3" xfId="4482"/>
    <cellStyle name="40% - Accent5 3 10" xfId="4483"/>
    <cellStyle name="40% - Accent5 3 10 2" xfId="14048"/>
    <cellStyle name="40% - Accent5 3 10 2 2" xfId="27597"/>
    <cellStyle name="40% - Accent5 3 10 3" xfId="22946"/>
    <cellStyle name="40% - Accent5 3 11" xfId="4484"/>
    <cellStyle name="40% - Accent5 3 11 2" xfId="15418"/>
    <cellStyle name="40% - Accent5 3 11 2 2" xfId="28967"/>
    <cellStyle name="40% - Accent5 3 11 3" xfId="22945"/>
    <cellStyle name="40% - Accent5 3 12" xfId="4485"/>
    <cellStyle name="40% - Accent5 3 12 2" xfId="15934"/>
    <cellStyle name="40% - Accent5 3 12 2 2" xfId="29341"/>
    <cellStyle name="40% - Accent5 3 12 3" xfId="22944"/>
    <cellStyle name="40% - Accent5 3 13" xfId="9464"/>
    <cellStyle name="40% - Accent5 3 13 2" xfId="23939"/>
    <cellStyle name="40% - Accent5 3 14" xfId="23204"/>
    <cellStyle name="40% - Accent5 3 2" xfId="4486"/>
    <cellStyle name="40% - Accent5 3 2 10" xfId="4487"/>
    <cellStyle name="40% - Accent5 3 2 10 2" xfId="16077"/>
    <cellStyle name="40% - Accent5 3 2 10 2 2" xfId="29484"/>
    <cellStyle name="40% - Accent5 3 2 10 3" xfId="22942"/>
    <cellStyle name="40% - Accent5 3 2 11" xfId="9465"/>
    <cellStyle name="40% - Accent5 3 2 11 2" xfId="23940"/>
    <cellStyle name="40% - Accent5 3 2 12" xfId="22943"/>
    <cellStyle name="40% - Accent5 3 2 2" xfId="4488"/>
    <cellStyle name="40% - Accent5 3 2 2 10" xfId="9466"/>
    <cellStyle name="40% - Accent5 3 2 2 10 2" xfId="23941"/>
    <cellStyle name="40% - Accent5 3 2 2 11" xfId="25256"/>
    <cellStyle name="40% - Accent5 3 2 2 2" xfId="4489"/>
    <cellStyle name="40% - Accent5 3 2 2 2 2" xfId="4490"/>
    <cellStyle name="40% - Accent5 3 2 2 2 2 2" xfId="11194"/>
    <cellStyle name="40% - Accent5 3 2 2 2 2 2 2" xfId="25136"/>
    <cellStyle name="40% - Accent5 3 2 2 2 2 3" xfId="29152"/>
    <cellStyle name="40% - Accent5 3 2 2 2 3" xfId="4491"/>
    <cellStyle name="40% - Accent5 3 2 2 2 3 2" xfId="12979"/>
    <cellStyle name="40% - Accent5 3 2 2 2 3 2 2" xfId="26691"/>
    <cellStyle name="40% - Accent5 3 2 2 2 3 3" xfId="22940"/>
    <cellStyle name="40% - Accent5 3 2 2 2 4" xfId="4492"/>
    <cellStyle name="40% - Accent5 3 2 2 2 4 2" xfId="15421"/>
    <cellStyle name="40% - Accent5 3 2 2 2 4 2 2" xfId="28970"/>
    <cellStyle name="40% - Accent5 3 2 2 2 4 3" xfId="22939"/>
    <cellStyle name="40% - Accent5 3 2 2 2 5" xfId="4493"/>
    <cellStyle name="40% - Accent5 3 2 2 2 5 2" xfId="16947"/>
    <cellStyle name="40% - Accent5 3 2 2 2 5 2 2" xfId="30354"/>
    <cellStyle name="40% - Accent5 3 2 2 2 5 3" xfId="22938"/>
    <cellStyle name="40% - Accent5 3 2 2 2 6" xfId="9467"/>
    <cellStyle name="40% - Accent5 3 2 2 2 6 2" xfId="23942"/>
    <cellStyle name="40% - Accent5 3 2 2 2 7" xfId="22941"/>
    <cellStyle name="40% - Accent5 3 2 2 3" xfId="4494"/>
    <cellStyle name="40% - Accent5 3 2 2 3 2" xfId="4495"/>
    <cellStyle name="40% - Accent5 3 2 2 3 2 2" xfId="15422"/>
    <cellStyle name="40% - Accent5 3 2 2 3 2 2 2" xfId="28971"/>
    <cellStyle name="40% - Accent5 3 2 2 3 2 3" xfId="22937"/>
    <cellStyle name="40% - Accent5 3 2 2 3 3" xfId="11193"/>
    <cellStyle name="40% - Accent5 3 2 2 3 3 2" xfId="25135"/>
    <cellStyle name="40% - Accent5 3 2 2 3 4" xfId="29151"/>
    <cellStyle name="40% - Accent5 3 2 2 4" xfId="4496"/>
    <cellStyle name="40% - Accent5 3 2 2 4 2" xfId="12335"/>
    <cellStyle name="40% - Accent5 3 2 2 4 2 2" xfId="26047"/>
    <cellStyle name="40% - Accent5 3 2 2 4 3" xfId="22936"/>
    <cellStyle name="40% - Accent5 3 2 2 5" xfId="4497"/>
    <cellStyle name="40% - Accent5 3 2 2 5 2" xfId="12978"/>
    <cellStyle name="40% - Accent5 3 2 2 5 2 2" xfId="26690"/>
    <cellStyle name="40% - Accent5 3 2 2 5 3" xfId="22935"/>
    <cellStyle name="40% - Accent5 3 2 2 6" xfId="4498"/>
    <cellStyle name="40% - Accent5 3 2 2 6 2" xfId="13899"/>
    <cellStyle name="40% - Accent5 3 2 2 6 2 2" xfId="27448"/>
    <cellStyle name="40% - Accent5 3 2 2 6 3" xfId="22934"/>
    <cellStyle name="40% - Accent5 3 2 2 7" xfId="4499"/>
    <cellStyle name="40% - Accent5 3 2 2 7 2" xfId="14480"/>
    <cellStyle name="40% - Accent5 3 2 2 7 2 2" xfId="28029"/>
    <cellStyle name="40% - Accent5 3 2 2 7 3" xfId="24254"/>
    <cellStyle name="40% - Accent5 3 2 2 8" xfId="4500"/>
    <cellStyle name="40% - Accent5 3 2 2 8 2" xfId="15420"/>
    <cellStyle name="40% - Accent5 3 2 2 8 2 2" xfId="28969"/>
    <cellStyle name="40% - Accent5 3 2 2 8 3" xfId="25276"/>
    <cellStyle name="40% - Accent5 3 2 2 9" xfId="4501"/>
    <cellStyle name="40% - Accent5 3 2 2 9 2" xfId="16366"/>
    <cellStyle name="40% - Accent5 3 2 2 9 2 2" xfId="29773"/>
    <cellStyle name="40% - Accent5 3 2 2 9 3" xfId="22933"/>
    <cellStyle name="40% - Accent5 3 2 3" xfId="4502"/>
    <cellStyle name="40% - Accent5 3 2 3 2" xfId="4503"/>
    <cellStyle name="40% - Accent5 3 2 3 2 2" xfId="11195"/>
    <cellStyle name="40% - Accent5 3 2 3 2 2 2" xfId="25137"/>
    <cellStyle name="40% - Accent5 3 2 3 2 3" xfId="29150"/>
    <cellStyle name="40% - Accent5 3 2 3 3" xfId="4504"/>
    <cellStyle name="40% - Accent5 3 2 3 3 2" xfId="12980"/>
    <cellStyle name="40% - Accent5 3 2 3 3 2 2" xfId="26692"/>
    <cellStyle name="40% - Accent5 3 2 3 3 3" xfId="22931"/>
    <cellStyle name="40% - Accent5 3 2 3 4" xfId="4505"/>
    <cellStyle name="40% - Accent5 3 2 3 4 2" xfId="15423"/>
    <cellStyle name="40% - Accent5 3 2 3 4 2 2" xfId="28972"/>
    <cellStyle name="40% - Accent5 3 2 3 4 3" xfId="22930"/>
    <cellStyle name="40% - Accent5 3 2 3 5" xfId="4506"/>
    <cellStyle name="40% - Accent5 3 2 3 5 2" xfId="16658"/>
    <cellStyle name="40% - Accent5 3 2 3 5 2 2" xfId="30065"/>
    <cellStyle name="40% - Accent5 3 2 3 5 3" xfId="22929"/>
    <cellStyle name="40% - Accent5 3 2 3 6" xfId="9468"/>
    <cellStyle name="40% - Accent5 3 2 3 6 2" xfId="23943"/>
    <cellStyle name="40% - Accent5 3 2 3 7" xfId="22932"/>
    <cellStyle name="40% - Accent5 3 2 4" xfId="4507"/>
    <cellStyle name="40% - Accent5 3 2 4 2" xfId="4508"/>
    <cellStyle name="40% - Accent5 3 2 4 2 2" xfId="15424"/>
    <cellStyle name="40% - Accent5 3 2 4 2 2 2" xfId="28973"/>
    <cellStyle name="40% - Accent5 3 2 4 2 3" xfId="22928"/>
    <cellStyle name="40% - Accent5 3 2 4 3" xfId="11192"/>
    <cellStyle name="40% - Accent5 3 2 4 3 2" xfId="25134"/>
    <cellStyle name="40% - Accent5 3 2 4 4" xfId="24253"/>
    <cellStyle name="40% - Accent5 3 2 5" xfId="4509"/>
    <cellStyle name="40% - Accent5 3 2 5 2" xfId="12035"/>
    <cellStyle name="40% - Accent5 3 2 5 2 2" xfId="25750"/>
    <cellStyle name="40% - Accent5 3 2 5 3" xfId="25275"/>
    <cellStyle name="40% - Accent5 3 2 6" xfId="4510"/>
    <cellStyle name="40% - Accent5 3 2 6 2" xfId="12977"/>
    <cellStyle name="40% - Accent5 3 2 6 2 2" xfId="26689"/>
    <cellStyle name="40% - Accent5 3 2 6 3" xfId="22927"/>
    <cellStyle name="40% - Accent5 3 2 7" xfId="4511"/>
    <cellStyle name="40% - Accent5 3 2 7 2" xfId="13610"/>
    <cellStyle name="40% - Accent5 3 2 7 2 2" xfId="27159"/>
    <cellStyle name="40% - Accent5 3 2 7 3" xfId="22926"/>
    <cellStyle name="40% - Accent5 3 2 8" xfId="4512"/>
    <cellStyle name="40% - Accent5 3 2 8 2" xfId="14191"/>
    <cellStyle name="40% - Accent5 3 2 8 2 2" xfId="27740"/>
    <cellStyle name="40% - Accent5 3 2 8 3" xfId="24252"/>
    <cellStyle name="40% - Accent5 3 2 9" xfId="4513"/>
    <cellStyle name="40% - Accent5 3 2 9 2" xfId="15419"/>
    <cellStyle name="40% - Accent5 3 2 9 2 2" xfId="28968"/>
    <cellStyle name="40% - Accent5 3 2 9 3" xfId="22925"/>
    <cellStyle name="40% - Accent5 3 3" xfId="4514"/>
    <cellStyle name="40% - Accent5 3 3 10" xfId="9469"/>
    <cellStyle name="40% - Accent5 3 3 10 2" xfId="23944"/>
    <cellStyle name="40% - Accent5 3 3 11" xfId="25274"/>
    <cellStyle name="40% - Accent5 3 3 2" xfId="4515"/>
    <cellStyle name="40% - Accent5 3 3 2 2" xfId="4516"/>
    <cellStyle name="40% - Accent5 3 3 2 2 2" xfId="11197"/>
    <cellStyle name="40% - Accent5 3 3 2 2 2 2" xfId="25139"/>
    <cellStyle name="40% - Accent5 3 3 2 2 3" xfId="22923"/>
    <cellStyle name="40% - Accent5 3 3 2 3" xfId="4517"/>
    <cellStyle name="40% - Accent5 3 3 2 3 2" xfId="12982"/>
    <cellStyle name="40% - Accent5 3 3 2 3 2 2" xfId="26694"/>
    <cellStyle name="40% - Accent5 3 3 2 3 3" xfId="24251"/>
    <cellStyle name="40% - Accent5 3 3 2 4" xfId="4518"/>
    <cellStyle name="40% - Accent5 3 3 2 4 2" xfId="15426"/>
    <cellStyle name="40% - Accent5 3 3 2 4 2 2" xfId="28975"/>
    <cellStyle name="40% - Accent5 3 3 2 4 3" xfId="22922"/>
    <cellStyle name="40% - Accent5 3 3 2 5" xfId="4519"/>
    <cellStyle name="40% - Accent5 3 3 2 5 2" xfId="16804"/>
    <cellStyle name="40% - Accent5 3 3 2 5 2 2" xfId="30211"/>
    <cellStyle name="40% - Accent5 3 3 2 5 3" xfId="22921"/>
    <cellStyle name="40% - Accent5 3 3 2 6" xfId="9470"/>
    <cellStyle name="40% - Accent5 3 3 2 6 2" xfId="23945"/>
    <cellStyle name="40% - Accent5 3 3 2 7" xfId="22924"/>
    <cellStyle name="40% - Accent5 3 3 3" xfId="4520"/>
    <cellStyle name="40% - Accent5 3 3 3 2" xfId="4521"/>
    <cellStyle name="40% - Accent5 3 3 3 2 2" xfId="15427"/>
    <cellStyle name="40% - Accent5 3 3 3 2 2 2" xfId="28976"/>
    <cellStyle name="40% - Accent5 3 3 3 2 3" xfId="22920"/>
    <cellStyle name="40% - Accent5 3 3 3 3" xfId="11196"/>
    <cellStyle name="40% - Accent5 3 3 3 3 2" xfId="25138"/>
    <cellStyle name="40% - Accent5 3 3 3 4" xfId="24249"/>
    <cellStyle name="40% - Accent5 3 3 4" xfId="4522"/>
    <cellStyle name="40% - Accent5 3 3 4 2" xfId="12192"/>
    <cellStyle name="40% - Accent5 3 3 4 2 2" xfId="25904"/>
    <cellStyle name="40% - Accent5 3 3 4 3" xfId="25272"/>
    <cellStyle name="40% - Accent5 3 3 5" xfId="4523"/>
    <cellStyle name="40% - Accent5 3 3 5 2" xfId="12981"/>
    <cellStyle name="40% - Accent5 3 3 5 2 2" xfId="26693"/>
    <cellStyle name="40% - Accent5 3 3 5 3" xfId="22919"/>
    <cellStyle name="40% - Accent5 3 3 6" xfId="4524"/>
    <cellStyle name="40% - Accent5 3 3 6 2" xfId="13756"/>
    <cellStyle name="40% - Accent5 3 3 6 2 2" xfId="27305"/>
    <cellStyle name="40% - Accent5 3 3 6 3" xfId="24250"/>
    <cellStyle name="40% - Accent5 3 3 7" xfId="4525"/>
    <cellStyle name="40% - Accent5 3 3 7 2" xfId="14337"/>
    <cellStyle name="40% - Accent5 3 3 7 2 2" xfId="27886"/>
    <cellStyle name="40% - Accent5 3 3 7 3" xfId="25273"/>
    <cellStyle name="40% - Accent5 3 3 8" xfId="4526"/>
    <cellStyle name="40% - Accent5 3 3 8 2" xfId="15425"/>
    <cellStyle name="40% - Accent5 3 3 8 2 2" xfId="28974"/>
    <cellStyle name="40% - Accent5 3 3 8 3" xfId="22918"/>
    <cellStyle name="40% - Accent5 3 3 9" xfId="4527"/>
    <cellStyle name="40% - Accent5 3 3 9 2" xfId="16223"/>
    <cellStyle name="40% - Accent5 3 3 9 2 2" xfId="29630"/>
    <cellStyle name="40% - Accent5 3 3 9 3" xfId="22917"/>
    <cellStyle name="40% - Accent5 3 4" xfId="4528"/>
    <cellStyle name="40% - Accent5 3 4 2" xfId="4529"/>
    <cellStyle name="40% - Accent5 3 4 2 2" xfId="11198"/>
    <cellStyle name="40% - Accent5 3 4 2 2 2" xfId="25140"/>
    <cellStyle name="40% - Accent5 3 4 2 3" xfId="24247"/>
    <cellStyle name="40% - Accent5 3 4 3" xfId="4530"/>
    <cellStyle name="40% - Accent5 3 4 3 2" xfId="12983"/>
    <cellStyle name="40% - Accent5 3 4 3 2 2" xfId="26695"/>
    <cellStyle name="40% - Accent5 3 4 3 3" xfId="22915"/>
    <cellStyle name="40% - Accent5 3 4 4" xfId="4531"/>
    <cellStyle name="40% - Accent5 3 4 4 2" xfId="15428"/>
    <cellStyle name="40% - Accent5 3 4 4 2 2" xfId="28977"/>
    <cellStyle name="40% - Accent5 3 4 4 3" xfId="22914"/>
    <cellStyle name="40% - Accent5 3 4 5" xfId="4532"/>
    <cellStyle name="40% - Accent5 3 4 5 2" xfId="17151"/>
    <cellStyle name="40% - Accent5 3 4 5 2 2" xfId="30510"/>
    <cellStyle name="40% - Accent5 3 4 5 3" xfId="29149"/>
    <cellStyle name="40% - Accent5 3 4 6" xfId="9471"/>
    <cellStyle name="40% - Accent5 3 4 6 2" xfId="23946"/>
    <cellStyle name="40% - Accent5 3 4 7" xfId="22916"/>
    <cellStyle name="40% - Accent5 3 5" xfId="4533"/>
    <cellStyle name="40% - Accent5 3 5 2" xfId="4534"/>
    <cellStyle name="40% - Accent5 3 5 2 2" xfId="11199"/>
    <cellStyle name="40% - Accent5 3 5 2 2 2" xfId="25141"/>
    <cellStyle name="40% - Accent5 3 5 2 3" xfId="22912"/>
    <cellStyle name="40% - Accent5 3 5 3" xfId="4535"/>
    <cellStyle name="40% - Accent5 3 5 3 2" xfId="12984"/>
    <cellStyle name="40% - Accent5 3 5 3 2 2" xfId="26696"/>
    <cellStyle name="40% - Accent5 3 5 3 3" xfId="26843"/>
    <cellStyle name="40% - Accent5 3 5 4" xfId="4536"/>
    <cellStyle name="40% - Accent5 3 5 4 2" xfId="15429"/>
    <cellStyle name="40% - Accent5 3 5 4 2 2" xfId="28978"/>
    <cellStyle name="40% - Accent5 3 5 4 3" xfId="22911"/>
    <cellStyle name="40% - Accent5 3 5 5" xfId="4537"/>
    <cellStyle name="40% - Accent5 3 5 5 2" xfId="17240"/>
    <cellStyle name="40% - Accent5 3 5 5 2 2" xfId="30599"/>
    <cellStyle name="40% - Accent5 3 5 5 3" xfId="22910"/>
    <cellStyle name="40% - Accent5 3 5 6" xfId="9472"/>
    <cellStyle name="40% - Accent5 3 5 6 2" xfId="23947"/>
    <cellStyle name="40% - Accent5 3 5 7" xfId="22913"/>
    <cellStyle name="40% - Accent5 3 6" xfId="4538"/>
    <cellStyle name="40% - Accent5 3 6 2" xfId="4539"/>
    <cellStyle name="40% - Accent5 3 6 2 2" xfId="15430"/>
    <cellStyle name="40% - Accent5 3 6 2 2 2" xfId="28979"/>
    <cellStyle name="40% - Accent5 3 6 2 3" xfId="22909"/>
    <cellStyle name="40% - Accent5 3 6 3" xfId="4540"/>
    <cellStyle name="40% - Accent5 3 6 3 2" xfId="16515"/>
    <cellStyle name="40% - Accent5 3 6 3 2 2" xfId="29922"/>
    <cellStyle name="40% - Accent5 3 6 3 3" xfId="25271"/>
    <cellStyle name="40% - Accent5 3 6 4" xfId="11191"/>
    <cellStyle name="40% - Accent5 3 6 4 2" xfId="25133"/>
    <cellStyle name="40% - Accent5 3 6 5" xfId="24248"/>
    <cellStyle name="40% - Accent5 3 7" xfId="4541"/>
    <cellStyle name="40% - Accent5 3 7 2" xfId="11887"/>
    <cellStyle name="40% - Accent5 3 7 2 2" xfId="25602"/>
    <cellStyle name="40% - Accent5 3 7 3" xfId="22908"/>
    <cellStyle name="40% - Accent5 3 8" xfId="4542"/>
    <cellStyle name="40% - Accent5 3 8 2" xfId="12976"/>
    <cellStyle name="40% - Accent5 3 8 2 2" xfId="26688"/>
    <cellStyle name="40% - Accent5 3 8 3" xfId="22907"/>
    <cellStyle name="40% - Accent5 3 9" xfId="4543"/>
    <cellStyle name="40% - Accent5 3 9 2" xfId="13467"/>
    <cellStyle name="40% - Accent5 3 9 2 2" xfId="27016"/>
    <cellStyle name="40% - Accent5 3 9 3" xfId="22906"/>
    <cellStyle name="40% - Accent5 30" xfId="23260"/>
    <cellStyle name="40% - Accent5 4" xfId="4544"/>
    <cellStyle name="40% - Accent5 4 10" xfId="4545"/>
    <cellStyle name="40% - Accent5 4 10 2" xfId="15431"/>
    <cellStyle name="40% - Accent5 4 10 2 2" xfId="28980"/>
    <cellStyle name="40% - Accent5 4 10 3" xfId="22905"/>
    <cellStyle name="40% - Accent5 4 11" xfId="4546"/>
    <cellStyle name="40% - Accent5 4 11 2" xfId="15889"/>
    <cellStyle name="40% - Accent5 4 11 2 2" xfId="29296"/>
    <cellStyle name="40% - Accent5 4 11 3" xfId="22904"/>
    <cellStyle name="40% - Accent5 4 12" xfId="9473"/>
    <cellStyle name="40% - Accent5 4 12 2" xfId="23948"/>
    <cellStyle name="40% - Accent5 4 13" xfId="24243"/>
    <cellStyle name="40% - Accent5 4 2" xfId="4547"/>
    <cellStyle name="40% - Accent5 4 2 10" xfId="4548"/>
    <cellStyle name="40% - Accent5 4 2 10 2" xfId="16032"/>
    <cellStyle name="40% - Accent5 4 2 10 2 2" xfId="29439"/>
    <cellStyle name="40% - Accent5 4 2 10 3" xfId="22903"/>
    <cellStyle name="40% - Accent5 4 2 11" xfId="9474"/>
    <cellStyle name="40% - Accent5 4 2 11 2" xfId="23949"/>
    <cellStyle name="40% - Accent5 4 2 12" xfId="29148"/>
    <cellStyle name="40% - Accent5 4 2 2" xfId="4549"/>
    <cellStyle name="40% - Accent5 4 2 2 10" xfId="9475"/>
    <cellStyle name="40% - Accent5 4 2 2 10 2" xfId="23950"/>
    <cellStyle name="40% - Accent5 4 2 2 11" xfId="22902"/>
    <cellStyle name="40% - Accent5 4 2 2 2" xfId="4550"/>
    <cellStyle name="40% - Accent5 4 2 2 2 2" xfId="4551"/>
    <cellStyle name="40% - Accent5 4 2 2 2 2 2" xfId="11203"/>
    <cellStyle name="40% - Accent5 4 2 2 2 2 2 2" xfId="25145"/>
    <cellStyle name="40% - Accent5 4 2 2 2 2 3" xfId="22901"/>
    <cellStyle name="40% - Accent5 4 2 2 2 3" xfId="4552"/>
    <cellStyle name="40% - Accent5 4 2 2 2 3 2" xfId="12988"/>
    <cellStyle name="40% - Accent5 4 2 2 2 3 2 2" xfId="26700"/>
    <cellStyle name="40% - Accent5 4 2 2 2 3 3" xfId="22900"/>
    <cellStyle name="40% - Accent5 4 2 2 2 4" xfId="4553"/>
    <cellStyle name="40% - Accent5 4 2 2 2 4 2" xfId="15434"/>
    <cellStyle name="40% - Accent5 4 2 2 2 4 2 2" xfId="28983"/>
    <cellStyle name="40% - Accent5 4 2 2 2 4 3" xfId="24246"/>
    <cellStyle name="40% - Accent5 4 2 2 2 5" xfId="4554"/>
    <cellStyle name="40% - Accent5 4 2 2 2 5 2" xfId="16902"/>
    <cellStyle name="40% - Accent5 4 2 2 2 5 2 2" xfId="30309"/>
    <cellStyle name="40% - Accent5 4 2 2 2 5 3" xfId="22899"/>
    <cellStyle name="40% - Accent5 4 2 2 2 6" xfId="9476"/>
    <cellStyle name="40% - Accent5 4 2 2 2 6 2" xfId="23951"/>
    <cellStyle name="40% - Accent5 4 2 2 2 7" xfId="26842"/>
    <cellStyle name="40% - Accent5 4 2 2 3" xfId="4555"/>
    <cellStyle name="40% - Accent5 4 2 2 3 2" xfId="4556"/>
    <cellStyle name="40% - Accent5 4 2 2 3 2 2" xfId="15435"/>
    <cellStyle name="40% - Accent5 4 2 2 3 2 2 2" xfId="28984"/>
    <cellStyle name="40% - Accent5 4 2 2 3 2 3" xfId="22898"/>
    <cellStyle name="40% - Accent5 4 2 2 3 3" xfId="11202"/>
    <cellStyle name="40% - Accent5 4 2 2 3 3 2" xfId="25144"/>
    <cellStyle name="40% - Accent5 4 2 2 3 4" xfId="25270"/>
    <cellStyle name="40% - Accent5 4 2 2 4" xfId="4557"/>
    <cellStyle name="40% - Accent5 4 2 2 4 2" xfId="12290"/>
    <cellStyle name="40% - Accent5 4 2 2 4 2 2" xfId="26002"/>
    <cellStyle name="40% - Accent5 4 2 2 4 3" xfId="22897"/>
    <cellStyle name="40% - Accent5 4 2 2 5" xfId="4558"/>
    <cellStyle name="40% - Accent5 4 2 2 5 2" xfId="12987"/>
    <cellStyle name="40% - Accent5 4 2 2 5 2 2" xfId="26699"/>
    <cellStyle name="40% - Accent5 4 2 2 5 3" xfId="24244"/>
    <cellStyle name="40% - Accent5 4 2 2 6" xfId="4559"/>
    <cellStyle name="40% - Accent5 4 2 2 6 2" xfId="13854"/>
    <cellStyle name="40% - Accent5 4 2 2 6 2 2" xfId="27403"/>
    <cellStyle name="40% - Accent5 4 2 2 6 3" xfId="22896"/>
    <cellStyle name="40% - Accent5 4 2 2 7" xfId="4560"/>
    <cellStyle name="40% - Accent5 4 2 2 7 2" xfId="14435"/>
    <cellStyle name="40% - Accent5 4 2 2 7 2 2" xfId="27984"/>
    <cellStyle name="40% - Accent5 4 2 2 7 3" xfId="22895"/>
    <cellStyle name="40% - Accent5 4 2 2 8" xfId="4561"/>
    <cellStyle name="40% - Accent5 4 2 2 8 2" xfId="15433"/>
    <cellStyle name="40% - Accent5 4 2 2 8 2 2" xfId="28982"/>
    <cellStyle name="40% - Accent5 4 2 2 8 3" xfId="29147"/>
    <cellStyle name="40% - Accent5 4 2 2 9" xfId="4562"/>
    <cellStyle name="40% - Accent5 4 2 2 9 2" xfId="16321"/>
    <cellStyle name="40% - Accent5 4 2 2 9 2 2" xfId="29728"/>
    <cellStyle name="40% - Accent5 4 2 2 9 3" xfId="22894"/>
    <cellStyle name="40% - Accent5 4 2 3" xfId="4563"/>
    <cellStyle name="40% - Accent5 4 2 3 2" xfId="4564"/>
    <cellStyle name="40% - Accent5 4 2 3 2 2" xfId="11204"/>
    <cellStyle name="40% - Accent5 4 2 3 2 2 2" xfId="25146"/>
    <cellStyle name="40% - Accent5 4 2 3 2 3" xfId="26841"/>
    <cellStyle name="40% - Accent5 4 2 3 3" xfId="4565"/>
    <cellStyle name="40% - Accent5 4 2 3 3 2" xfId="12989"/>
    <cellStyle name="40% - Accent5 4 2 3 3 2 2" xfId="26701"/>
    <cellStyle name="40% - Accent5 4 2 3 3 3" xfId="22892"/>
    <cellStyle name="40% - Accent5 4 2 3 4" xfId="4566"/>
    <cellStyle name="40% - Accent5 4 2 3 4 2" xfId="15436"/>
    <cellStyle name="40% - Accent5 4 2 3 4 2 2" xfId="28985"/>
    <cellStyle name="40% - Accent5 4 2 3 4 3" xfId="22891"/>
    <cellStyle name="40% - Accent5 4 2 3 5" xfId="4567"/>
    <cellStyle name="40% - Accent5 4 2 3 5 2" xfId="16613"/>
    <cellStyle name="40% - Accent5 4 2 3 5 2 2" xfId="30020"/>
    <cellStyle name="40% - Accent5 4 2 3 5 3" xfId="24245"/>
    <cellStyle name="40% - Accent5 4 2 3 6" xfId="9477"/>
    <cellStyle name="40% - Accent5 4 2 3 6 2" xfId="23952"/>
    <cellStyle name="40% - Accent5 4 2 3 7" xfId="22893"/>
    <cellStyle name="40% - Accent5 4 2 4" xfId="4568"/>
    <cellStyle name="40% - Accent5 4 2 4 2" xfId="4569"/>
    <cellStyle name="40% - Accent5 4 2 4 2 2" xfId="15437"/>
    <cellStyle name="40% - Accent5 4 2 4 2 2 2" xfId="28986"/>
    <cellStyle name="40% - Accent5 4 2 4 2 3" xfId="25269"/>
    <cellStyle name="40% - Accent5 4 2 4 3" xfId="11201"/>
    <cellStyle name="40% - Accent5 4 2 4 3 2" xfId="25143"/>
    <cellStyle name="40% - Accent5 4 2 4 4" xfId="22890"/>
    <cellStyle name="40% - Accent5 4 2 5" xfId="4570"/>
    <cellStyle name="40% - Accent5 4 2 5 2" xfId="11990"/>
    <cellStyle name="40% - Accent5 4 2 5 2 2" xfId="25705"/>
    <cellStyle name="40% - Accent5 4 2 5 3" xfId="22889"/>
    <cellStyle name="40% - Accent5 4 2 6" xfId="4571"/>
    <cellStyle name="40% - Accent5 4 2 6 2" xfId="12986"/>
    <cellStyle name="40% - Accent5 4 2 6 2 2" xfId="26698"/>
    <cellStyle name="40% - Accent5 4 2 6 3" xfId="22888"/>
    <cellStyle name="40% - Accent5 4 2 7" xfId="4572"/>
    <cellStyle name="40% - Accent5 4 2 7 2" xfId="13565"/>
    <cellStyle name="40% - Accent5 4 2 7 2 2" xfId="27114"/>
    <cellStyle name="40% - Accent5 4 2 7 3" xfId="22887"/>
    <cellStyle name="40% - Accent5 4 2 8" xfId="4573"/>
    <cellStyle name="40% - Accent5 4 2 8 2" xfId="14146"/>
    <cellStyle name="40% - Accent5 4 2 8 2 2" xfId="27695"/>
    <cellStyle name="40% - Accent5 4 2 8 3" xfId="22886"/>
    <cellStyle name="40% - Accent5 4 2 9" xfId="4574"/>
    <cellStyle name="40% - Accent5 4 2 9 2" xfId="15432"/>
    <cellStyle name="40% - Accent5 4 2 9 2 2" xfId="28981"/>
    <cellStyle name="40% - Accent5 4 2 9 3" xfId="22885"/>
    <cellStyle name="40% - Accent5 4 3" xfId="4575"/>
    <cellStyle name="40% - Accent5 4 3 10" xfId="9478"/>
    <cellStyle name="40% - Accent5 4 3 10 2" xfId="23953"/>
    <cellStyle name="40% - Accent5 4 3 11" xfId="22884"/>
    <cellStyle name="40% - Accent5 4 3 2" xfId="4576"/>
    <cellStyle name="40% - Accent5 4 3 2 2" xfId="4577"/>
    <cellStyle name="40% - Accent5 4 3 2 2 2" xfId="11206"/>
    <cellStyle name="40% - Accent5 4 3 2 2 2 2" xfId="25148"/>
    <cellStyle name="40% - Accent5 4 3 2 2 3" xfId="22883"/>
    <cellStyle name="40% - Accent5 4 3 2 3" xfId="4578"/>
    <cellStyle name="40% - Accent5 4 3 2 3 2" xfId="12991"/>
    <cellStyle name="40% - Accent5 4 3 2 3 2 2" xfId="26703"/>
    <cellStyle name="40% - Accent5 4 3 2 3 3" xfId="22882"/>
    <cellStyle name="40% - Accent5 4 3 2 4" xfId="4579"/>
    <cellStyle name="40% - Accent5 4 3 2 4 2" xfId="15439"/>
    <cellStyle name="40% - Accent5 4 3 2 4 2 2" xfId="28988"/>
    <cellStyle name="40% - Accent5 4 3 2 4 3" xfId="22881"/>
    <cellStyle name="40% - Accent5 4 3 2 5" xfId="4580"/>
    <cellStyle name="40% - Accent5 4 3 2 5 2" xfId="16762"/>
    <cellStyle name="40% - Accent5 4 3 2 5 2 2" xfId="30169"/>
    <cellStyle name="40% - Accent5 4 3 2 5 3" xfId="26840"/>
    <cellStyle name="40% - Accent5 4 3 2 6" xfId="9479"/>
    <cellStyle name="40% - Accent5 4 3 2 6 2" xfId="23954"/>
    <cellStyle name="40% - Accent5 4 3 2 7" xfId="29146"/>
    <cellStyle name="40% - Accent5 4 3 3" xfId="4581"/>
    <cellStyle name="40% - Accent5 4 3 3 2" xfId="4582"/>
    <cellStyle name="40% - Accent5 4 3 3 2 2" xfId="15440"/>
    <cellStyle name="40% - Accent5 4 3 3 2 2 2" xfId="28989"/>
    <cellStyle name="40% - Accent5 4 3 3 2 3" xfId="22879"/>
    <cellStyle name="40% - Accent5 4 3 3 3" xfId="11205"/>
    <cellStyle name="40% - Accent5 4 3 3 3 2" xfId="25147"/>
    <cellStyle name="40% - Accent5 4 3 3 4" xfId="22880"/>
    <cellStyle name="40% - Accent5 4 3 4" xfId="4583"/>
    <cellStyle name="40% - Accent5 4 3 4 2" xfId="12150"/>
    <cellStyle name="40% - Accent5 4 3 4 2 2" xfId="25862"/>
    <cellStyle name="40% - Accent5 4 3 4 3" xfId="24242"/>
    <cellStyle name="40% - Accent5 4 3 5" xfId="4584"/>
    <cellStyle name="40% - Accent5 4 3 5 2" xfId="12990"/>
    <cellStyle name="40% - Accent5 4 3 5 2 2" xfId="26702"/>
    <cellStyle name="40% - Accent5 4 3 5 3" xfId="22878"/>
    <cellStyle name="40% - Accent5 4 3 6" xfId="4585"/>
    <cellStyle name="40% - Accent5 4 3 6 2" xfId="13714"/>
    <cellStyle name="40% - Accent5 4 3 6 2 2" xfId="27263"/>
    <cellStyle name="40% - Accent5 4 3 6 3" xfId="25268"/>
    <cellStyle name="40% - Accent5 4 3 7" xfId="4586"/>
    <cellStyle name="40% - Accent5 4 3 7 2" xfId="14295"/>
    <cellStyle name="40% - Accent5 4 3 7 2 2" xfId="27844"/>
    <cellStyle name="40% - Accent5 4 3 7 3" xfId="22877"/>
    <cellStyle name="40% - Accent5 4 3 8" xfId="4587"/>
    <cellStyle name="40% - Accent5 4 3 8 2" xfId="15438"/>
    <cellStyle name="40% - Accent5 4 3 8 2 2" xfId="28987"/>
    <cellStyle name="40% - Accent5 4 3 8 3" xfId="22876"/>
    <cellStyle name="40% - Accent5 4 3 9" xfId="4588"/>
    <cellStyle name="40% - Accent5 4 3 9 2" xfId="16181"/>
    <cellStyle name="40% - Accent5 4 3 9 2 2" xfId="29588"/>
    <cellStyle name="40% - Accent5 4 3 9 3" xfId="24241"/>
    <cellStyle name="40% - Accent5 4 4" xfId="4589"/>
    <cellStyle name="40% - Accent5 4 4 2" xfId="4590"/>
    <cellStyle name="40% - Accent5 4 4 2 2" xfId="11207"/>
    <cellStyle name="40% - Accent5 4 4 2 2 2" xfId="25149"/>
    <cellStyle name="40% - Accent5 4 4 2 3" xfId="22874"/>
    <cellStyle name="40% - Accent5 4 4 3" xfId="4591"/>
    <cellStyle name="40% - Accent5 4 4 3 2" xfId="12992"/>
    <cellStyle name="40% - Accent5 4 4 3 2 2" xfId="26704"/>
    <cellStyle name="40% - Accent5 4 4 3 3" xfId="24239"/>
    <cellStyle name="40% - Accent5 4 4 4" xfId="4592"/>
    <cellStyle name="40% - Accent5 4 4 4 2" xfId="15441"/>
    <cellStyle name="40% - Accent5 4 4 4 2 2" xfId="28990"/>
    <cellStyle name="40% - Accent5 4 4 4 3" xfId="22873"/>
    <cellStyle name="40% - Accent5 4 4 5" xfId="4593"/>
    <cellStyle name="40% - Accent5 4 4 5 2" xfId="16470"/>
    <cellStyle name="40% - Accent5 4 4 5 2 2" xfId="29877"/>
    <cellStyle name="40% - Accent5 4 4 5 3" xfId="22872"/>
    <cellStyle name="40% - Accent5 4 4 6" xfId="9480"/>
    <cellStyle name="40% - Accent5 4 4 6 2" xfId="23955"/>
    <cellStyle name="40% - Accent5 4 4 7" xfId="22875"/>
    <cellStyle name="40% - Accent5 4 5" xfId="4594"/>
    <cellStyle name="40% - Accent5 4 5 2" xfId="4595"/>
    <cellStyle name="40% - Accent5 4 5 2 2" xfId="15442"/>
    <cellStyle name="40% - Accent5 4 5 2 2 2" xfId="28991"/>
    <cellStyle name="40% - Accent5 4 5 2 3" xfId="22871"/>
    <cellStyle name="40% - Accent5 4 5 3" xfId="11200"/>
    <cellStyle name="40% - Accent5 4 5 3 2" xfId="25142"/>
    <cellStyle name="40% - Accent5 4 5 4" xfId="29145"/>
    <cellStyle name="40% - Accent5 4 6" xfId="4596"/>
    <cellStyle name="40% - Accent5 4 6 2" xfId="11821"/>
    <cellStyle name="40% - Accent5 4 6 2 2" xfId="25536"/>
    <cellStyle name="40% - Accent5 4 6 3" xfId="22870"/>
    <cellStyle name="40% - Accent5 4 7" xfId="4597"/>
    <cellStyle name="40% - Accent5 4 7 2" xfId="12985"/>
    <cellStyle name="40% - Accent5 4 7 2 2" xfId="26697"/>
    <cellStyle name="40% - Accent5 4 7 3" xfId="26839"/>
    <cellStyle name="40% - Accent5 4 8" xfId="4598"/>
    <cellStyle name="40% - Accent5 4 8 2" xfId="13422"/>
    <cellStyle name="40% - Accent5 4 8 2 2" xfId="26971"/>
    <cellStyle name="40% - Accent5 4 8 3" xfId="22869"/>
    <cellStyle name="40% - Accent5 4 9" xfId="4599"/>
    <cellStyle name="40% - Accent5 4 9 2" xfId="14003"/>
    <cellStyle name="40% - Accent5 4 9 2 2" xfId="27552"/>
    <cellStyle name="40% - Accent5 4 9 3" xfId="22868"/>
    <cellStyle name="40% - Accent5 5" xfId="4600"/>
    <cellStyle name="40% - Accent5 5 10" xfId="4601"/>
    <cellStyle name="40% - Accent5 5 10 2" xfId="15443"/>
    <cellStyle name="40% - Accent5 5 10 2 2" xfId="28992"/>
    <cellStyle name="40% - Accent5 5 10 3" xfId="22867"/>
    <cellStyle name="40% - Accent5 5 11" xfId="4602"/>
    <cellStyle name="40% - Accent5 5 11 2" xfId="15872"/>
    <cellStyle name="40% - Accent5 5 11 2 2" xfId="29279"/>
    <cellStyle name="40% - Accent5 5 11 3" xfId="25267"/>
    <cellStyle name="40% - Accent5 5 12" xfId="9481"/>
    <cellStyle name="40% - Accent5 5 12 2" xfId="23956"/>
    <cellStyle name="40% - Accent5 5 13" xfId="24240"/>
    <cellStyle name="40% - Accent5 5 2" xfId="4603"/>
    <cellStyle name="40% - Accent5 5 2 10" xfId="4604"/>
    <cellStyle name="40% - Accent5 5 2 10 2" xfId="16015"/>
    <cellStyle name="40% - Accent5 5 2 10 2 2" xfId="29422"/>
    <cellStyle name="40% - Accent5 5 2 10 3" xfId="22865"/>
    <cellStyle name="40% - Accent5 5 2 11" xfId="9482"/>
    <cellStyle name="40% - Accent5 5 2 11 2" xfId="23957"/>
    <cellStyle name="40% - Accent5 5 2 12" xfId="22866"/>
    <cellStyle name="40% - Accent5 5 2 2" xfId="4605"/>
    <cellStyle name="40% - Accent5 5 2 2 10" xfId="9483"/>
    <cellStyle name="40% - Accent5 5 2 2 10 2" xfId="23958"/>
    <cellStyle name="40% - Accent5 5 2 2 11" xfId="22864"/>
    <cellStyle name="40% - Accent5 5 2 2 2" xfId="4606"/>
    <cellStyle name="40% - Accent5 5 2 2 2 2" xfId="4607"/>
    <cellStyle name="40% - Accent5 5 2 2 2 2 2" xfId="11211"/>
    <cellStyle name="40% - Accent5 5 2 2 2 2 2 2" xfId="25153"/>
    <cellStyle name="40% - Accent5 5 2 2 2 2 3" xfId="22863"/>
    <cellStyle name="40% - Accent5 5 2 2 2 3" xfId="4608"/>
    <cellStyle name="40% - Accent5 5 2 2 2 3 2" xfId="12996"/>
    <cellStyle name="40% - Accent5 5 2 2 2 3 2 2" xfId="26708"/>
    <cellStyle name="40% - Accent5 5 2 2 2 3 3" xfId="22862"/>
    <cellStyle name="40% - Accent5 5 2 2 2 4" xfId="4609"/>
    <cellStyle name="40% - Accent5 5 2 2 2 4 2" xfId="15446"/>
    <cellStyle name="40% - Accent5 5 2 2 2 4 2 2" xfId="28995"/>
    <cellStyle name="40% - Accent5 5 2 2 2 4 3" xfId="29144"/>
    <cellStyle name="40% - Accent5 5 2 2 2 5" xfId="4610"/>
    <cellStyle name="40% - Accent5 5 2 2 2 5 2" xfId="16885"/>
    <cellStyle name="40% - Accent5 5 2 2 2 5 2 2" xfId="30292"/>
    <cellStyle name="40% - Accent5 5 2 2 2 5 3" xfId="22861"/>
    <cellStyle name="40% - Accent5 5 2 2 2 6" xfId="9484"/>
    <cellStyle name="40% - Accent5 5 2 2 2 6 2" xfId="23959"/>
    <cellStyle name="40% - Accent5 5 2 2 2 7" xfId="24235"/>
    <cellStyle name="40% - Accent5 5 2 2 3" xfId="4611"/>
    <cellStyle name="40% - Accent5 5 2 2 3 2" xfId="4612"/>
    <cellStyle name="40% - Accent5 5 2 2 3 2 2" xfId="15447"/>
    <cellStyle name="40% - Accent5 5 2 2 3 2 2 2" xfId="28996"/>
    <cellStyle name="40% - Accent5 5 2 2 3 2 3" xfId="26838"/>
    <cellStyle name="40% - Accent5 5 2 2 3 3" xfId="11210"/>
    <cellStyle name="40% - Accent5 5 2 2 3 3 2" xfId="25152"/>
    <cellStyle name="40% - Accent5 5 2 2 3 4" xfId="22860"/>
    <cellStyle name="40% - Accent5 5 2 2 4" xfId="4613"/>
    <cellStyle name="40% - Accent5 5 2 2 4 2" xfId="12273"/>
    <cellStyle name="40% - Accent5 5 2 2 4 2 2" xfId="25985"/>
    <cellStyle name="40% - Accent5 5 2 2 4 3" xfId="22859"/>
    <cellStyle name="40% - Accent5 5 2 2 5" xfId="4614"/>
    <cellStyle name="40% - Accent5 5 2 2 5 2" xfId="12995"/>
    <cellStyle name="40% - Accent5 5 2 2 5 2 2" xfId="26707"/>
    <cellStyle name="40% - Accent5 5 2 2 5 3" xfId="22858"/>
    <cellStyle name="40% - Accent5 5 2 2 6" xfId="4615"/>
    <cellStyle name="40% - Accent5 5 2 2 6 2" xfId="13837"/>
    <cellStyle name="40% - Accent5 5 2 2 6 2 2" xfId="27386"/>
    <cellStyle name="40% - Accent5 5 2 2 6 3" xfId="24238"/>
    <cellStyle name="40% - Accent5 5 2 2 7" xfId="4616"/>
    <cellStyle name="40% - Accent5 5 2 2 7 2" xfId="14418"/>
    <cellStyle name="40% - Accent5 5 2 2 7 2 2" xfId="27967"/>
    <cellStyle name="40% - Accent5 5 2 2 7 3" xfId="22857"/>
    <cellStyle name="40% - Accent5 5 2 2 8" xfId="4617"/>
    <cellStyle name="40% - Accent5 5 2 2 8 2" xfId="15445"/>
    <cellStyle name="40% - Accent5 5 2 2 8 2 2" xfId="28994"/>
    <cellStyle name="40% - Accent5 5 2 2 8 3" xfId="25266"/>
    <cellStyle name="40% - Accent5 5 2 2 9" xfId="4618"/>
    <cellStyle name="40% - Accent5 5 2 2 9 2" xfId="16304"/>
    <cellStyle name="40% - Accent5 5 2 2 9 2 2" xfId="29711"/>
    <cellStyle name="40% - Accent5 5 2 2 9 3" xfId="22856"/>
    <cellStyle name="40% - Accent5 5 2 3" xfId="4619"/>
    <cellStyle name="40% - Accent5 5 2 3 2" xfId="4620"/>
    <cellStyle name="40% - Accent5 5 2 3 2 2" xfId="11212"/>
    <cellStyle name="40% - Accent5 5 2 3 2 2 2" xfId="25154"/>
    <cellStyle name="40% - Accent5 5 2 3 2 3" xfId="24236"/>
    <cellStyle name="40% - Accent5 5 2 3 3" xfId="4621"/>
    <cellStyle name="40% - Accent5 5 2 3 3 2" xfId="12997"/>
    <cellStyle name="40% - Accent5 5 2 3 3 2 2" xfId="26709"/>
    <cellStyle name="40% - Accent5 5 2 3 3 3" xfId="22854"/>
    <cellStyle name="40% - Accent5 5 2 3 4" xfId="4622"/>
    <cellStyle name="40% - Accent5 5 2 3 4 2" xfId="15448"/>
    <cellStyle name="40% - Accent5 5 2 3 4 2 2" xfId="28997"/>
    <cellStyle name="40% - Accent5 5 2 3 4 3" xfId="22853"/>
    <cellStyle name="40% - Accent5 5 2 3 5" xfId="4623"/>
    <cellStyle name="40% - Accent5 5 2 3 5 2" xfId="16596"/>
    <cellStyle name="40% - Accent5 5 2 3 5 2 2" xfId="30003"/>
    <cellStyle name="40% - Accent5 5 2 3 5 3" xfId="29143"/>
    <cellStyle name="40% - Accent5 5 2 3 6" xfId="9485"/>
    <cellStyle name="40% - Accent5 5 2 3 6 2" xfId="23960"/>
    <cellStyle name="40% - Accent5 5 2 3 7" xfId="22855"/>
    <cellStyle name="40% - Accent5 5 2 4" xfId="4624"/>
    <cellStyle name="40% - Accent5 5 2 4 2" xfId="4625"/>
    <cellStyle name="40% - Accent5 5 2 4 2 2" xfId="15449"/>
    <cellStyle name="40% - Accent5 5 2 4 2 2 2" xfId="28998"/>
    <cellStyle name="40% - Accent5 5 2 4 2 3" xfId="22851"/>
    <cellStyle name="40% - Accent5 5 2 4 3" xfId="11209"/>
    <cellStyle name="40% - Accent5 5 2 4 3 2" xfId="25151"/>
    <cellStyle name="40% - Accent5 5 2 4 4" xfId="22852"/>
    <cellStyle name="40% - Accent5 5 2 5" xfId="4626"/>
    <cellStyle name="40% - Accent5 5 2 5 2" xfId="11973"/>
    <cellStyle name="40% - Accent5 5 2 5 2 2" xfId="25688"/>
    <cellStyle name="40% - Accent5 5 2 5 3" xfId="26837"/>
    <cellStyle name="40% - Accent5 5 2 6" xfId="4627"/>
    <cellStyle name="40% - Accent5 5 2 6 2" xfId="12994"/>
    <cellStyle name="40% - Accent5 5 2 6 2 2" xfId="26706"/>
    <cellStyle name="40% - Accent5 5 2 6 3" xfId="22850"/>
    <cellStyle name="40% - Accent5 5 2 7" xfId="4628"/>
    <cellStyle name="40% - Accent5 5 2 7 2" xfId="13548"/>
    <cellStyle name="40% - Accent5 5 2 7 2 2" xfId="27097"/>
    <cellStyle name="40% - Accent5 5 2 7 3" xfId="22849"/>
    <cellStyle name="40% - Accent5 5 2 8" xfId="4629"/>
    <cellStyle name="40% - Accent5 5 2 8 2" xfId="14129"/>
    <cellStyle name="40% - Accent5 5 2 8 2 2" xfId="27678"/>
    <cellStyle name="40% - Accent5 5 2 8 3" xfId="24237"/>
    <cellStyle name="40% - Accent5 5 2 9" xfId="4630"/>
    <cellStyle name="40% - Accent5 5 2 9 2" xfId="15444"/>
    <cellStyle name="40% - Accent5 5 2 9 2 2" xfId="28993"/>
    <cellStyle name="40% - Accent5 5 2 9 3" xfId="22848"/>
    <cellStyle name="40% - Accent5 5 3" xfId="4631"/>
    <cellStyle name="40% - Accent5 5 3 10" xfId="9486"/>
    <cellStyle name="40% - Accent5 5 3 10 2" xfId="23961"/>
    <cellStyle name="40% - Accent5 5 3 11" xfId="25265"/>
    <cellStyle name="40% - Accent5 5 3 2" xfId="4632"/>
    <cellStyle name="40% - Accent5 5 3 2 2" xfId="4633"/>
    <cellStyle name="40% - Accent5 5 3 2 2 2" xfId="11214"/>
    <cellStyle name="40% - Accent5 5 3 2 2 2 2" xfId="25156"/>
    <cellStyle name="40% - Accent5 5 3 2 2 3" xfId="22846"/>
    <cellStyle name="40% - Accent5 5 3 2 3" xfId="4634"/>
    <cellStyle name="40% - Accent5 5 3 2 3 2" xfId="12999"/>
    <cellStyle name="40% - Accent5 5 3 2 3 2 2" xfId="26711"/>
    <cellStyle name="40% - Accent5 5 3 2 3 3" xfId="22845"/>
    <cellStyle name="40% - Accent5 5 3 2 4" xfId="4635"/>
    <cellStyle name="40% - Accent5 5 3 2 4 2" xfId="15451"/>
    <cellStyle name="40% - Accent5 5 3 2 4 2 2" xfId="29000"/>
    <cellStyle name="40% - Accent5 5 3 2 4 3" xfId="22844"/>
    <cellStyle name="40% - Accent5 5 3 2 5" xfId="4636"/>
    <cellStyle name="40% - Accent5 5 3 2 5 2" xfId="16745"/>
    <cellStyle name="40% - Accent5 5 3 2 5 2 2" xfId="30152"/>
    <cellStyle name="40% - Accent5 5 3 2 5 3" xfId="24234"/>
    <cellStyle name="40% - Accent5 5 3 2 6" xfId="9487"/>
    <cellStyle name="40% - Accent5 5 3 2 6 2" xfId="23962"/>
    <cellStyle name="40% - Accent5 5 3 2 7" xfId="22847"/>
    <cellStyle name="40% - Accent5 5 3 3" xfId="4637"/>
    <cellStyle name="40% - Accent5 5 3 3 2" xfId="4638"/>
    <cellStyle name="40% - Accent5 5 3 3 2 2" xfId="15452"/>
    <cellStyle name="40% - Accent5 5 3 3 2 2 2" xfId="29001"/>
    <cellStyle name="40% - Accent5 5 3 3 2 3" xfId="23231"/>
    <cellStyle name="40% - Accent5 5 3 3 3" xfId="11213"/>
    <cellStyle name="40% - Accent5 5 3 3 3 2" xfId="25155"/>
    <cellStyle name="40% - Accent5 5 3 3 4" xfId="22843"/>
    <cellStyle name="40% - Accent5 5 3 4" xfId="4639"/>
    <cellStyle name="40% - Accent5 5 3 4 2" xfId="12133"/>
    <cellStyle name="40% - Accent5 5 3 4 2 2" xfId="25845"/>
    <cellStyle name="40% - Accent5 5 3 4 3" xfId="24233"/>
    <cellStyle name="40% - Accent5 5 3 5" xfId="4640"/>
    <cellStyle name="40% - Accent5 5 3 5 2" xfId="12998"/>
    <cellStyle name="40% - Accent5 5 3 5 2 2" xfId="26710"/>
    <cellStyle name="40% - Accent5 5 3 5 3" xfId="22842"/>
    <cellStyle name="40% - Accent5 5 3 6" xfId="4641"/>
    <cellStyle name="40% - Accent5 5 3 6 2" xfId="13697"/>
    <cellStyle name="40% - Accent5 5 3 6 2 2" xfId="27246"/>
    <cellStyle name="40% - Accent5 5 3 6 3" xfId="22841"/>
    <cellStyle name="40% - Accent5 5 3 7" xfId="4642"/>
    <cellStyle name="40% - Accent5 5 3 7 2" xfId="14278"/>
    <cellStyle name="40% - Accent5 5 3 7 2 2" xfId="27827"/>
    <cellStyle name="40% - Accent5 5 3 7 3" xfId="22840"/>
    <cellStyle name="40% - Accent5 5 3 8" xfId="4643"/>
    <cellStyle name="40% - Accent5 5 3 8 2" xfId="15450"/>
    <cellStyle name="40% - Accent5 5 3 8 2 2" xfId="28999"/>
    <cellStyle name="40% - Accent5 5 3 8 3" xfId="22839"/>
    <cellStyle name="40% - Accent5 5 3 9" xfId="4644"/>
    <cellStyle name="40% - Accent5 5 3 9 2" xfId="16164"/>
    <cellStyle name="40% - Accent5 5 3 9 2 2" xfId="29571"/>
    <cellStyle name="40% - Accent5 5 3 9 3" xfId="22838"/>
    <cellStyle name="40% - Accent5 5 4" xfId="4645"/>
    <cellStyle name="40% - Accent5 5 4 2" xfId="4646"/>
    <cellStyle name="40% - Accent5 5 4 2 2" xfId="11215"/>
    <cellStyle name="40% - Accent5 5 4 2 2 2" xfId="25157"/>
    <cellStyle name="40% - Accent5 5 4 2 3" xfId="29142"/>
    <cellStyle name="40% - Accent5 5 4 3" xfId="4647"/>
    <cellStyle name="40% - Accent5 5 4 3 2" xfId="13000"/>
    <cellStyle name="40% - Accent5 5 4 3 2 2" xfId="26712"/>
    <cellStyle name="40% - Accent5 5 4 3 3" xfId="22837"/>
    <cellStyle name="40% - Accent5 5 4 4" xfId="4648"/>
    <cellStyle name="40% - Accent5 5 4 4 2" xfId="15453"/>
    <cellStyle name="40% - Accent5 5 4 4 2 2" xfId="29002"/>
    <cellStyle name="40% - Accent5 5 4 4 3" xfId="22836"/>
    <cellStyle name="40% - Accent5 5 4 5" xfId="4649"/>
    <cellStyle name="40% - Accent5 5 4 5 2" xfId="16453"/>
    <cellStyle name="40% - Accent5 5 4 5 2 2" xfId="29860"/>
    <cellStyle name="40% - Accent5 5 4 5 3" xfId="22835"/>
    <cellStyle name="40% - Accent5 5 4 6" xfId="9488"/>
    <cellStyle name="40% - Accent5 5 4 6 2" xfId="23963"/>
    <cellStyle name="40% - Accent5 5 4 7" xfId="25451"/>
    <cellStyle name="40% - Accent5 5 5" xfId="4650"/>
    <cellStyle name="40% - Accent5 5 5 2" xfId="4651"/>
    <cellStyle name="40% - Accent5 5 5 2 2" xfId="15454"/>
    <cellStyle name="40% - Accent5 5 5 2 2 2" xfId="29003"/>
    <cellStyle name="40% - Accent5 5 5 2 3" xfId="22834"/>
    <cellStyle name="40% - Accent5 5 5 3" xfId="11208"/>
    <cellStyle name="40% - Accent5 5 5 3 2" xfId="25150"/>
    <cellStyle name="40% - Accent5 5 5 4" xfId="25264"/>
    <cellStyle name="40% - Accent5 5 6" xfId="4652"/>
    <cellStyle name="40% - Accent5 5 6 2" xfId="11804"/>
    <cellStyle name="40% - Accent5 5 6 2 2" xfId="25519"/>
    <cellStyle name="40% - Accent5 5 6 3" xfId="22833"/>
    <cellStyle name="40% - Accent5 5 7" xfId="4653"/>
    <cellStyle name="40% - Accent5 5 7 2" xfId="12993"/>
    <cellStyle name="40% - Accent5 5 7 2 2" xfId="26705"/>
    <cellStyle name="40% - Accent5 5 7 3" xfId="24232"/>
    <cellStyle name="40% - Accent5 5 8" xfId="4654"/>
    <cellStyle name="40% - Accent5 5 8 2" xfId="13405"/>
    <cellStyle name="40% - Accent5 5 8 2 2" xfId="26954"/>
    <cellStyle name="40% - Accent5 5 8 3" xfId="25263"/>
    <cellStyle name="40% - Accent5 5 9" xfId="4655"/>
    <cellStyle name="40% - Accent5 5 9 2" xfId="13986"/>
    <cellStyle name="40% - Accent5 5 9 2 2" xfId="27535"/>
    <cellStyle name="40% - Accent5 5 9 3" xfId="22832"/>
    <cellStyle name="40% - Accent5 6" xfId="4656"/>
    <cellStyle name="40% - Accent5 6 10" xfId="4657"/>
    <cellStyle name="40% - Accent5 6 10 2" xfId="15455"/>
    <cellStyle name="40% - Accent5 6 10 2 2" xfId="29004"/>
    <cellStyle name="40% - Accent5 6 10 3" xfId="24231"/>
    <cellStyle name="40% - Accent5 6 11" xfId="4658"/>
    <cellStyle name="40% - Accent5 6 11 2" xfId="15978"/>
    <cellStyle name="40% - Accent5 6 11 2 2" xfId="29385"/>
    <cellStyle name="40% - Accent5 6 11 3" xfId="25262"/>
    <cellStyle name="40% - Accent5 6 12" xfId="9489"/>
    <cellStyle name="40% - Accent5 6 12 2" xfId="23964"/>
    <cellStyle name="40% - Accent5 6 13" xfId="22831"/>
    <cellStyle name="40% - Accent5 6 2" xfId="4659"/>
    <cellStyle name="40% - Accent5 6 2 10" xfId="4660"/>
    <cellStyle name="40% - Accent5 6 2 10 2" xfId="16121"/>
    <cellStyle name="40% - Accent5 6 2 10 2 2" xfId="29528"/>
    <cellStyle name="40% - Accent5 6 2 10 3" xfId="22829"/>
    <cellStyle name="40% - Accent5 6 2 11" xfId="9490"/>
    <cellStyle name="40% - Accent5 6 2 11 2" xfId="23965"/>
    <cellStyle name="40% - Accent5 6 2 12" xfId="22830"/>
    <cellStyle name="40% - Accent5 6 2 2" xfId="4661"/>
    <cellStyle name="40% - Accent5 6 2 2 10" xfId="9491"/>
    <cellStyle name="40% - Accent5 6 2 2 10 2" xfId="23966"/>
    <cellStyle name="40% - Accent5 6 2 2 11" xfId="24230"/>
    <cellStyle name="40% - Accent5 6 2 2 2" xfId="4662"/>
    <cellStyle name="40% - Accent5 6 2 2 2 2" xfId="4663"/>
    <cellStyle name="40% - Accent5 6 2 2 2 2 2" xfId="11219"/>
    <cellStyle name="40% - Accent5 6 2 2 2 2 2 2" xfId="25161"/>
    <cellStyle name="40% - Accent5 6 2 2 2 2 3" xfId="22828"/>
    <cellStyle name="40% - Accent5 6 2 2 2 3" xfId="4664"/>
    <cellStyle name="40% - Accent5 6 2 2 2 3 2" xfId="13004"/>
    <cellStyle name="40% - Accent5 6 2 2 2 3 2 2" xfId="26716"/>
    <cellStyle name="40% - Accent5 6 2 2 2 3 3" xfId="22827"/>
    <cellStyle name="40% - Accent5 6 2 2 2 4" xfId="4665"/>
    <cellStyle name="40% - Accent5 6 2 2 2 4 2" xfId="15458"/>
    <cellStyle name="40% - Accent5 6 2 2 2 4 2 2" xfId="29007"/>
    <cellStyle name="40% - Accent5 6 2 2 2 4 3" xfId="24229"/>
    <cellStyle name="40% - Accent5 6 2 2 2 5" xfId="4666"/>
    <cellStyle name="40% - Accent5 6 2 2 2 5 2" xfId="16991"/>
    <cellStyle name="40% - Accent5 6 2 2 2 5 2 2" xfId="30398"/>
    <cellStyle name="40% - Accent5 6 2 2 2 5 3" xfId="25260"/>
    <cellStyle name="40% - Accent5 6 2 2 2 6" xfId="9492"/>
    <cellStyle name="40% - Accent5 6 2 2 2 6 2" xfId="23967"/>
    <cellStyle name="40% - Accent5 6 2 2 2 7" xfId="25261"/>
    <cellStyle name="40% - Accent5 6 2 2 3" xfId="4667"/>
    <cellStyle name="40% - Accent5 6 2 2 3 2" xfId="4668"/>
    <cellStyle name="40% - Accent5 6 2 2 3 2 2" xfId="15459"/>
    <cellStyle name="40% - Accent5 6 2 2 3 2 2 2" xfId="29008"/>
    <cellStyle name="40% - Accent5 6 2 2 3 2 3" xfId="22825"/>
    <cellStyle name="40% - Accent5 6 2 2 3 3" xfId="11218"/>
    <cellStyle name="40% - Accent5 6 2 2 3 3 2" xfId="25160"/>
    <cellStyle name="40% - Accent5 6 2 2 3 4" xfId="22826"/>
    <cellStyle name="40% - Accent5 6 2 2 4" xfId="4669"/>
    <cellStyle name="40% - Accent5 6 2 2 4 2" xfId="12379"/>
    <cellStyle name="40% - Accent5 6 2 2 4 2 2" xfId="26091"/>
    <cellStyle name="40% - Accent5 6 2 2 4 3" xfId="24228"/>
    <cellStyle name="40% - Accent5 6 2 2 5" xfId="4670"/>
    <cellStyle name="40% - Accent5 6 2 2 5 2" xfId="13003"/>
    <cellStyle name="40% - Accent5 6 2 2 5 2 2" xfId="26715"/>
    <cellStyle name="40% - Accent5 6 2 2 5 3" xfId="22824"/>
    <cellStyle name="40% - Accent5 6 2 2 6" xfId="4671"/>
    <cellStyle name="40% - Accent5 6 2 2 6 2" xfId="13943"/>
    <cellStyle name="40% - Accent5 6 2 2 6 2 2" xfId="27492"/>
    <cellStyle name="40% - Accent5 6 2 2 6 3" xfId="25259"/>
    <cellStyle name="40% - Accent5 6 2 2 7" xfId="4672"/>
    <cellStyle name="40% - Accent5 6 2 2 7 2" xfId="14524"/>
    <cellStyle name="40% - Accent5 6 2 2 7 2 2" xfId="28073"/>
    <cellStyle name="40% - Accent5 6 2 2 7 3" xfId="22823"/>
    <cellStyle name="40% - Accent5 6 2 2 8" xfId="4673"/>
    <cellStyle name="40% - Accent5 6 2 2 8 2" xfId="15457"/>
    <cellStyle name="40% - Accent5 6 2 2 8 2 2" xfId="29006"/>
    <cellStyle name="40% - Accent5 6 2 2 8 3" xfId="22822"/>
    <cellStyle name="40% - Accent5 6 2 2 9" xfId="4674"/>
    <cellStyle name="40% - Accent5 6 2 2 9 2" xfId="16410"/>
    <cellStyle name="40% - Accent5 6 2 2 9 2 2" xfId="29817"/>
    <cellStyle name="40% - Accent5 6 2 2 9 3" xfId="24226"/>
    <cellStyle name="40% - Accent5 6 2 3" xfId="4675"/>
    <cellStyle name="40% - Accent5 6 2 3 2" xfId="4676"/>
    <cellStyle name="40% - Accent5 6 2 3 2 2" xfId="11220"/>
    <cellStyle name="40% - Accent5 6 2 3 2 2 2" xfId="25162"/>
    <cellStyle name="40% - Accent5 6 2 3 2 3" xfId="25257"/>
    <cellStyle name="40% - Accent5 6 2 3 3" xfId="4677"/>
    <cellStyle name="40% - Accent5 6 2 3 3 2" xfId="13005"/>
    <cellStyle name="40% - Accent5 6 2 3 3 2 2" xfId="26717"/>
    <cellStyle name="40% - Accent5 6 2 3 3 3" xfId="22820"/>
    <cellStyle name="40% - Accent5 6 2 3 4" xfId="4678"/>
    <cellStyle name="40% - Accent5 6 2 3 4 2" xfId="15460"/>
    <cellStyle name="40% - Accent5 6 2 3 4 2 2" xfId="29009"/>
    <cellStyle name="40% - Accent5 6 2 3 4 3" xfId="24227"/>
    <cellStyle name="40% - Accent5 6 2 3 5" xfId="4679"/>
    <cellStyle name="40% - Accent5 6 2 3 5 2" xfId="16702"/>
    <cellStyle name="40% - Accent5 6 2 3 5 2 2" xfId="30109"/>
    <cellStyle name="40% - Accent5 6 2 3 5 3" xfId="25258"/>
    <cellStyle name="40% - Accent5 6 2 3 6" xfId="9493"/>
    <cellStyle name="40% - Accent5 6 2 3 6 2" xfId="23968"/>
    <cellStyle name="40% - Accent5 6 2 3 7" xfId="22821"/>
    <cellStyle name="40% - Accent5 6 2 4" xfId="4680"/>
    <cellStyle name="40% - Accent5 6 2 4 2" xfId="4681"/>
    <cellStyle name="40% - Accent5 6 2 4 2 2" xfId="15461"/>
    <cellStyle name="40% - Accent5 6 2 4 2 2 2" xfId="29010"/>
    <cellStyle name="40% - Accent5 6 2 4 2 3" xfId="22818"/>
    <cellStyle name="40% - Accent5 6 2 4 3" xfId="11217"/>
    <cellStyle name="40% - Accent5 6 2 4 3 2" xfId="25159"/>
    <cellStyle name="40% - Accent5 6 2 4 4" xfId="22819"/>
    <cellStyle name="40% - Accent5 6 2 5" xfId="4682"/>
    <cellStyle name="40% - Accent5 6 2 5 2" xfId="12079"/>
    <cellStyle name="40% - Accent5 6 2 5 2 2" xfId="25794"/>
    <cellStyle name="40% - Accent5 6 2 5 3" xfId="22817"/>
    <cellStyle name="40% - Accent5 6 2 6" xfId="4683"/>
    <cellStyle name="40% - Accent5 6 2 6 2" xfId="13002"/>
    <cellStyle name="40% - Accent5 6 2 6 2 2" xfId="26714"/>
    <cellStyle name="40% - Accent5 6 2 6 3" xfId="24225"/>
    <cellStyle name="40% - Accent5 6 2 7" xfId="4684"/>
    <cellStyle name="40% - Accent5 6 2 7 2" xfId="13654"/>
    <cellStyle name="40% - Accent5 6 2 7 2 2" xfId="27203"/>
    <cellStyle name="40% - Accent5 6 2 7 3" xfId="22816"/>
    <cellStyle name="40% - Accent5 6 2 8" xfId="4685"/>
    <cellStyle name="40% - Accent5 6 2 8 2" xfId="14235"/>
    <cellStyle name="40% - Accent5 6 2 8 2 2" xfId="27784"/>
    <cellStyle name="40% - Accent5 6 2 8 3" xfId="22815"/>
    <cellStyle name="40% - Accent5 6 2 9" xfId="4686"/>
    <cellStyle name="40% - Accent5 6 2 9 2" xfId="15456"/>
    <cellStyle name="40% - Accent5 6 2 9 2 2" xfId="29005"/>
    <cellStyle name="40% - Accent5 6 2 9 3" xfId="24224"/>
    <cellStyle name="40% - Accent5 6 3" xfId="4687"/>
    <cellStyle name="40% - Accent5 6 3 10" xfId="9494"/>
    <cellStyle name="40% - Accent5 6 3 10 2" xfId="23969"/>
    <cellStyle name="40% - Accent5 6 3 11" xfId="22814"/>
    <cellStyle name="40% - Accent5 6 3 2" xfId="4688"/>
    <cellStyle name="40% - Accent5 6 3 2 2" xfId="4689"/>
    <cellStyle name="40% - Accent5 6 3 2 2 2" xfId="11222"/>
    <cellStyle name="40% - Accent5 6 3 2 2 2 2" xfId="25164"/>
    <cellStyle name="40% - Accent5 6 3 2 2 3" xfId="26835"/>
    <cellStyle name="40% - Accent5 6 3 2 3" xfId="4690"/>
    <cellStyle name="40% - Accent5 6 3 2 3 2" xfId="13007"/>
    <cellStyle name="40% - Accent5 6 3 2 3 2 2" xfId="26719"/>
    <cellStyle name="40% - Accent5 6 3 2 3 3" xfId="22812"/>
    <cellStyle name="40% - Accent5 6 3 2 4" xfId="4691"/>
    <cellStyle name="40% - Accent5 6 3 2 4 2" xfId="15463"/>
    <cellStyle name="40% - Accent5 6 3 2 4 2 2" xfId="29012"/>
    <cellStyle name="40% - Accent5 6 3 2 4 3" xfId="22811"/>
    <cellStyle name="40% - Accent5 6 3 2 5" xfId="4692"/>
    <cellStyle name="40% - Accent5 6 3 2 5 2" xfId="16848"/>
    <cellStyle name="40% - Accent5 6 3 2 5 2 2" xfId="30255"/>
    <cellStyle name="40% - Accent5 6 3 2 5 3" xfId="24223"/>
    <cellStyle name="40% - Accent5 6 3 2 6" xfId="9495"/>
    <cellStyle name="40% - Accent5 6 3 2 6 2" xfId="23970"/>
    <cellStyle name="40% - Accent5 6 3 2 7" xfId="22813"/>
    <cellStyle name="40% - Accent5 6 3 3" xfId="4693"/>
    <cellStyle name="40% - Accent5 6 3 3 2" xfId="4694"/>
    <cellStyle name="40% - Accent5 6 3 3 2 2" xfId="15464"/>
    <cellStyle name="40% - Accent5 6 3 3 2 2 2" xfId="29013"/>
    <cellStyle name="40% - Accent5 6 3 3 2 3" xfId="26833"/>
    <cellStyle name="40% - Accent5 6 3 3 3" xfId="11221"/>
    <cellStyle name="40% - Accent5 6 3 3 3 2" xfId="25163"/>
    <cellStyle name="40% - Accent5 6 3 3 4" xfId="22810"/>
    <cellStyle name="40% - Accent5 6 3 4" xfId="4695"/>
    <cellStyle name="40% - Accent5 6 3 4 2" xfId="12236"/>
    <cellStyle name="40% - Accent5 6 3 4 2 2" xfId="25948"/>
    <cellStyle name="40% - Accent5 6 3 4 3" xfId="22809"/>
    <cellStyle name="40% - Accent5 6 3 5" xfId="4696"/>
    <cellStyle name="40% - Accent5 6 3 5 2" xfId="13006"/>
    <cellStyle name="40% - Accent5 6 3 5 2 2" xfId="26718"/>
    <cellStyle name="40% - Accent5 6 3 5 3" xfId="22808"/>
    <cellStyle name="40% - Accent5 6 3 6" xfId="4697"/>
    <cellStyle name="40% - Accent5 6 3 6 2" xfId="13800"/>
    <cellStyle name="40% - Accent5 6 3 6 2 2" xfId="27349"/>
    <cellStyle name="40% - Accent5 6 3 6 3" xfId="24222"/>
    <cellStyle name="40% - Accent5 6 3 7" xfId="4698"/>
    <cellStyle name="40% - Accent5 6 3 7 2" xfId="14381"/>
    <cellStyle name="40% - Accent5 6 3 7 2 2" xfId="27930"/>
    <cellStyle name="40% - Accent5 6 3 7 3" xfId="22807"/>
    <cellStyle name="40% - Accent5 6 3 8" xfId="4699"/>
    <cellStyle name="40% - Accent5 6 3 8 2" xfId="15462"/>
    <cellStyle name="40% - Accent5 6 3 8 2 2" xfId="29011"/>
    <cellStyle name="40% - Accent5 6 3 8 3" xfId="22806"/>
    <cellStyle name="40% - Accent5 6 3 9" xfId="4700"/>
    <cellStyle name="40% - Accent5 6 3 9 2" xfId="16267"/>
    <cellStyle name="40% - Accent5 6 3 9 2 2" xfId="29674"/>
    <cellStyle name="40% - Accent5 6 3 9 3" xfId="23203"/>
    <cellStyle name="40% - Accent5 6 4" xfId="4701"/>
    <cellStyle name="40% - Accent5 6 4 2" xfId="4702"/>
    <cellStyle name="40% - Accent5 6 4 2 2" xfId="11223"/>
    <cellStyle name="40% - Accent5 6 4 2 2 2" xfId="25165"/>
    <cellStyle name="40% - Accent5 6 4 2 3" xfId="30686"/>
    <cellStyle name="40% - Accent5 6 4 3" xfId="4703"/>
    <cellStyle name="40% - Accent5 6 4 3 2" xfId="13008"/>
    <cellStyle name="40% - Accent5 6 4 3 2 2" xfId="26720"/>
    <cellStyle name="40% - Accent5 6 4 3 3" xfId="22805"/>
    <cellStyle name="40% - Accent5 6 4 4" xfId="4704"/>
    <cellStyle name="40% - Accent5 6 4 4 2" xfId="15465"/>
    <cellStyle name="40% - Accent5 6 4 4 2 2" xfId="29014"/>
    <cellStyle name="40% - Accent5 6 4 4 3" xfId="26832"/>
    <cellStyle name="40% - Accent5 6 4 5" xfId="4705"/>
    <cellStyle name="40% - Accent5 6 4 5 2" xfId="16559"/>
    <cellStyle name="40% - Accent5 6 4 5 2 2" xfId="29966"/>
    <cellStyle name="40% - Accent5 6 4 5 3" xfId="22804"/>
    <cellStyle name="40% - Accent5 6 4 6" xfId="9496"/>
    <cellStyle name="40% - Accent5 6 4 6 2" xfId="23971"/>
    <cellStyle name="40% - Accent5 6 4 7" xfId="23237"/>
    <cellStyle name="40% - Accent5 6 5" xfId="4706"/>
    <cellStyle name="40% - Accent5 6 5 2" xfId="4707"/>
    <cellStyle name="40% - Accent5 6 5 2 2" xfId="15466"/>
    <cellStyle name="40% - Accent5 6 5 2 2 2" xfId="29015"/>
    <cellStyle name="40% - Accent5 6 5 2 3" xfId="23208"/>
    <cellStyle name="40% - Accent5 6 5 3" xfId="11216"/>
    <cellStyle name="40% - Accent5 6 5 3 2" xfId="25158"/>
    <cellStyle name="40% - Accent5 6 5 4" xfId="22803"/>
    <cellStyle name="40% - Accent5 6 6" xfId="4708"/>
    <cellStyle name="40% - Accent5 6 6 2" xfId="11934"/>
    <cellStyle name="40% - Accent5 6 6 2 2" xfId="25649"/>
    <cellStyle name="40% - Accent5 6 6 3" xfId="26831"/>
    <cellStyle name="40% - Accent5 6 7" xfId="4709"/>
    <cellStyle name="40% - Accent5 6 7 2" xfId="13001"/>
    <cellStyle name="40% - Accent5 6 7 2 2" xfId="26713"/>
    <cellStyle name="40% - Accent5 6 7 3" xfId="22802"/>
    <cellStyle name="40% - Accent5 6 8" xfId="4710"/>
    <cellStyle name="40% - Accent5 6 8 2" xfId="13511"/>
    <cellStyle name="40% - Accent5 6 8 2 2" xfId="27060"/>
    <cellStyle name="40% - Accent5 6 8 3" xfId="24220"/>
    <cellStyle name="40% - Accent5 6 9" xfId="4711"/>
    <cellStyle name="40% - Accent5 6 9 2" xfId="14092"/>
    <cellStyle name="40% - Accent5 6 9 2 2" xfId="27641"/>
    <cellStyle name="40% - Accent5 6 9 3" xfId="22801"/>
    <cellStyle name="40% - Accent5 7" xfId="4712"/>
    <cellStyle name="40% - Accent5 7 10" xfId="4713"/>
    <cellStyle name="40% - Accent5 7 10 2" xfId="15997"/>
    <cellStyle name="40% - Accent5 7 10 2 2" xfId="29404"/>
    <cellStyle name="40% - Accent5 7 10 3" xfId="23230"/>
    <cellStyle name="40% - Accent5 7 11" xfId="9497"/>
    <cellStyle name="40% - Accent5 7 11 2" xfId="23972"/>
    <cellStyle name="40% - Accent5 7 12" xfId="22800"/>
    <cellStyle name="40% - Accent5 7 2" xfId="4714"/>
    <cellStyle name="40% - Accent5 7 2 10" xfId="9498"/>
    <cellStyle name="40% - Accent5 7 2 10 2" xfId="23973"/>
    <cellStyle name="40% - Accent5 7 2 11" xfId="24219"/>
    <cellStyle name="40% - Accent5 7 2 2" xfId="4715"/>
    <cellStyle name="40% - Accent5 7 2 2 2" xfId="4716"/>
    <cellStyle name="40% - Accent5 7 2 2 2 2" xfId="11226"/>
    <cellStyle name="40% - Accent5 7 2 2 2 2 2" xfId="25168"/>
    <cellStyle name="40% - Accent5 7 2 2 2 3" xfId="24218"/>
    <cellStyle name="40% - Accent5 7 2 2 3" xfId="4717"/>
    <cellStyle name="40% - Accent5 7 2 2 3 2" xfId="13011"/>
    <cellStyle name="40% - Accent5 7 2 2 3 2 2" xfId="26723"/>
    <cellStyle name="40% - Accent5 7 2 2 3 3" xfId="22798"/>
    <cellStyle name="40% - Accent5 7 2 2 4" xfId="4718"/>
    <cellStyle name="40% - Accent5 7 2 2 4 2" xfId="15469"/>
    <cellStyle name="40% - Accent5 7 2 2 4 2 2" xfId="29018"/>
    <cellStyle name="40% - Accent5 7 2 2 4 3" xfId="22797"/>
    <cellStyle name="40% - Accent5 7 2 2 5" xfId="4719"/>
    <cellStyle name="40% - Accent5 7 2 2 5 2" xfId="16867"/>
    <cellStyle name="40% - Accent5 7 2 2 5 2 2" xfId="30274"/>
    <cellStyle name="40% - Accent5 7 2 2 5 3" xfId="22796"/>
    <cellStyle name="40% - Accent5 7 2 2 6" xfId="9499"/>
    <cellStyle name="40% - Accent5 7 2 2 6 2" xfId="23974"/>
    <cellStyle name="40% - Accent5 7 2 2 7" xfId="22799"/>
    <cellStyle name="40% - Accent5 7 2 3" xfId="4720"/>
    <cellStyle name="40% - Accent5 7 2 3 2" xfId="4721"/>
    <cellStyle name="40% - Accent5 7 2 3 2 2" xfId="15470"/>
    <cellStyle name="40% - Accent5 7 2 3 2 2 2" xfId="29019"/>
    <cellStyle name="40% - Accent5 7 2 3 2 3" xfId="26830"/>
    <cellStyle name="40% - Accent5 7 2 3 3" xfId="11225"/>
    <cellStyle name="40% - Accent5 7 2 3 3 2" xfId="25167"/>
    <cellStyle name="40% - Accent5 7 2 3 4" xfId="24463"/>
    <cellStyle name="40% - Accent5 7 2 4" xfId="4722"/>
    <cellStyle name="40% - Accent5 7 2 4 2" xfId="12255"/>
    <cellStyle name="40% - Accent5 7 2 4 2 2" xfId="25967"/>
    <cellStyle name="40% - Accent5 7 2 4 3" xfId="22795"/>
    <cellStyle name="40% - Accent5 7 2 5" xfId="4723"/>
    <cellStyle name="40% - Accent5 7 2 5 2" xfId="13010"/>
    <cellStyle name="40% - Accent5 7 2 5 2 2" xfId="26722"/>
    <cellStyle name="40% - Accent5 7 2 5 3" xfId="22794"/>
    <cellStyle name="40% - Accent5 7 2 6" xfId="4724"/>
    <cellStyle name="40% - Accent5 7 2 6 2" xfId="13819"/>
    <cellStyle name="40% - Accent5 7 2 6 2 2" xfId="27368"/>
    <cellStyle name="40% - Accent5 7 2 6 3" xfId="23242"/>
    <cellStyle name="40% - Accent5 7 2 7" xfId="4725"/>
    <cellStyle name="40% - Accent5 7 2 7 2" xfId="14400"/>
    <cellStyle name="40% - Accent5 7 2 7 2 2" xfId="27949"/>
    <cellStyle name="40% - Accent5 7 2 7 3" xfId="23291"/>
    <cellStyle name="40% - Accent5 7 2 8" xfId="4726"/>
    <cellStyle name="40% - Accent5 7 2 8 2" xfId="15468"/>
    <cellStyle name="40% - Accent5 7 2 8 2 2" xfId="29017"/>
    <cellStyle name="40% - Accent5 7 2 8 3" xfId="22793"/>
    <cellStyle name="40% - Accent5 7 2 9" xfId="4727"/>
    <cellStyle name="40% - Accent5 7 2 9 2" xfId="16286"/>
    <cellStyle name="40% - Accent5 7 2 9 2 2" xfId="29693"/>
    <cellStyle name="40% - Accent5 7 2 9 3" xfId="24217"/>
    <cellStyle name="40% - Accent5 7 3" xfId="4728"/>
    <cellStyle name="40% - Accent5 7 3 2" xfId="4729"/>
    <cellStyle name="40% - Accent5 7 3 2 2" xfId="11227"/>
    <cellStyle name="40% - Accent5 7 3 2 2 2" xfId="25169"/>
    <cellStyle name="40% - Accent5 7 3 2 3" xfId="24216"/>
    <cellStyle name="40% - Accent5 7 3 3" xfId="4730"/>
    <cellStyle name="40% - Accent5 7 3 3 2" xfId="13012"/>
    <cellStyle name="40% - Accent5 7 3 3 2 2" xfId="26724"/>
    <cellStyle name="40% - Accent5 7 3 3 3" xfId="22791"/>
    <cellStyle name="40% - Accent5 7 3 4" xfId="4731"/>
    <cellStyle name="40% - Accent5 7 3 4 2" xfId="15471"/>
    <cellStyle name="40% - Accent5 7 3 4 2 2" xfId="29020"/>
    <cellStyle name="40% - Accent5 7 3 4 3" xfId="24215"/>
    <cellStyle name="40% - Accent5 7 3 5" xfId="4732"/>
    <cellStyle name="40% - Accent5 7 3 5 2" xfId="16578"/>
    <cellStyle name="40% - Accent5 7 3 5 2 2" xfId="29985"/>
    <cellStyle name="40% - Accent5 7 3 5 3" xfId="22790"/>
    <cellStyle name="40% - Accent5 7 3 6" xfId="9500"/>
    <cellStyle name="40% - Accent5 7 3 6 2" xfId="23975"/>
    <cellStyle name="40% - Accent5 7 3 7" xfId="22792"/>
    <cellStyle name="40% - Accent5 7 4" xfId="4733"/>
    <cellStyle name="40% - Accent5 7 4 2" xfId="4734"/>
    <cellStyle name="40% - Accent5 7 4 2 2" xfId="15472"/>
    <cellStyle name="40% - Accent5 7 4 2 2 2" xfId="29021"/>
    <cellStyle name="40% - Accent5 7 4 2 3" xfId="22789"/>
    <cellStyle name="40% - Accent5 7 4 3" xfId="11224"/>
    <cellStyle name="40% - Accent5 7 4 3 2" xfId="25166"/>
    <cellStyle name="40% - Accent5 7 4 4" xfId="24214"/>
    <cellStyle name="40% - Accent5 7 5" xfId="4735"/>
    <cellStyle name="40% - Accent5 7 5 2" xfId="11953"/>
    <cellStyle name="40% - Accent5 7 5 2 2" xfId="25668"/>
    <cellStyle name="40% - Accent5 7 5 3" xfId="24212"/>
    <cellStyle name="40% - Accent5 7 6" xfId="4736"/>
    <cellStyle name="40% - Accent5 7 6 2" xfId="13009"/>
    <cellStyle name="40% - Accent5 7 6 2 2" xfId="26721"/>
    <cellStyle name="40% - Accent5 7 6 3" xfId="24213"/>
    <cellStyle name="40% - Accent5 7 7" xfId="4737"/>
    <cellStyle name="40% - Accent5 7 7 2" xfId="13530"/>
    <cellStyle name="40% - Accent5 7 7 2 2" xfId="27079"/>
    <cellStyle name="40% - Accent5 7 7 3" xfId="22788"/>
    <cellStyle name="40% - Accent5 7 8" xfId="4738"/>
    <cellStyle name="40% - Accent5 7 8 2" xfId="14111"/>
    <cellStyle name="40% - Accent5 7 8 2 2" xfId="27660"/>
    <cellStyle name="40% - Accent5 7 8 3" xfId="22787"/>
    <cellStyle name="40% - Accent5 7 9" xfId="4739"/>
    <cellStyle name="40% - Accent5 7 9 2" xfId="15467"/>
    <cellStyle name="40% - Accent5 7 9 2 2" xfId="29016"/>
    <cellStyle name="40% - Accent5 7 9 3" xfId="24211"/>
    <cellStyle name="40% - Accent5 8" xfId="4740"/>
    <cellStyle name="40% - Accent5 8 10" xfId="9501"/>
    <cellStyle name="40% - Accent5 8 10 2" xfId="23976"/>
    <cellStyle name="40% - Accent5 8 11" xfId="26828"/>
    <cellStyle name="40% - Accent5 8 2" xfId="4741"/>
    <cellStyle name="40% - Accent5 8 2 2" xfId="4742"/>
    <cellStyle name="40% - Accent5 8 2 2 2" xfId="11229"/>
    <cellStyle name="40% - Accent5 8 2 2 2 2" xfId="25171"/>
    <cellStyle name="40% - Accent5 8 2 2 3" xfId="26829"/>
    <cellStyle name="40% - Accent5 8 2 3" xfId="4743"/>
    <cellStyle name="40% - Accent5 8 2 3 2" xfId="13014"/>
    <cellStyle name="40% - Accent5 8 2 3 2 2" xfId="26726"/>
    <cellStyle name="40% - Accent5 8 2 3 3" xfId="22785"/>
    <cellStyle name="40% - Accent5 8 2 4" xfId="4744"/>
    <cellStyle name="40% - Accent5 8 2 4 2" xfId="15474"/>
    <cellStyle name="40% - Accent5 8 2 4 2 2" xfId="29023"/>
    <cellStyle name="40% - Accent5 8 2 4 3" xfId="22784"/>
    <cellStyle name="40% - Accent5 8 2 5" xfId="4745"/>
    <cellStyle name="40% - Accent5 8 2 5 2" xfId="16722"/>
    <cellStyle name="40% - Accent5 8 2 5 2 2" xfId="30129"/>
    <cellStyle name="40% - Accent5 8 2 5 3" xfId="24209"/>
    <cellStyle name="40% - Accent5 8 2 6" xfId="9502"/>
    <cellStyle name="40% - Accent5 8 2 6 2" xfId="23977"/>
    <cellStyle name="40% - Accent5 8 2 7" xfId="22786"/>
    <cellStyle name="40% - Accent5 8 3" xfId="4746"/>
    <cellStyle name="40% - Accent5 8 3 2" xfId="4747"/>
    <cellStyle name="40% - Accent5 8 3 2 2" xfId="15475"/>
    <cellStyle name="40% - Accent5 8 3 2 2 2" xfId="29024"/>
    <cellStyle name="40% - Accent5 8 3 2 3" xfId="22783"/>
    <cellStyle name="40% - Accent5 8 3 3" xfId="11228"/>
    <cellStyle name="40% - Accent5 8 3 3 2" xfId="25170"/>
    <cellStyle name="40% - Accent5 8 3 4" xfId="24210"/>
    <cellStyle name="40% - Accent5 8 4" xfId="4748"/>
    <cellStyle name="40% - Accent5 8 4 2" xfId="12100"/>
    <cellStyle name="40% - Accent5 8 4 2 2" xfId="25814"/>
    <cellStyle name="40% - Accent5 8 4 3" xfId="22782"/>
    <cellStyle name="40% - Accent5 8 5" xfId="4749"/>
    <cellStyle name="40% - Accent5 8 5 2" xfId="13013"/>
    <cellStyle name="40% - Accent5 8 5 2 2" xfId="26725"/>
    <cellStyle name="40% - Accent5 8 5 3" xfId="24208"/>
    <cellStyle name="40% - Accent5 8 6" xfId="4750"/>
    <cellStyle name="40% - Accent5 8 6 2" xfId="13674"/>
    <cellStyle name="40% - Accent5 8 6 2 2" xfId="27223"/>
    <cellStyle name="40% - Accent5 8 6 3" xfId="22781"/>
    <cellStyle name="40% - Accent5 8 7" xfId="4751"/>
    <cellStyle name="40% - Accent5 8 7 2" xfId="14255"/>
    <cellStyle name="40% - Accent5 8 7 2 2" xfId="27804"/>
    <cellStyle name="40% - Accent5 8 7 3" xfId="24205"/>
    <cellStyle name="40% - Accent5 8 8" xfId="4752"/>
    <cellStyle name="40% - Accent5 8 8 2" xfId="15473"/>
    <cellStyle name="40% - Accent5 8 8 2 2" xfId="29022"/>
    <cellStyle name="40% - Accent5 8 8 3" xfId="22780"/>
    <cellStyle name="40% - Accent5 8 9" xfId="4753"/>
    <cellStyle name="40% - Accent5 8 9 2" xfId="16141"/>
    <cellStyle name="40% - Accent5 8 9 2 2" xfId="29548"/>
    <cellStyle name="40% - Accent5 8 9 3" xfId="25255"/>
    <cellStyle name="40% - Accent5 9" xfId="4754"/>
    <cellStyle name="40% - Accent5 9 2" xfId="4755"/>
    <cellStyle name="40% - Accent5 9 2 2" xfId="11230"/>
    <cellStyle name="40% - Accent5 9 2 2 2" xfId="25172"/>
    <cellStyle name="40% - Accent5 9 2 3" xfId="24445"/>
    <cellStyle name="40% - Accent5 9 3" xfId="4756"/>
    <cellStyle name="40% - Accent5 9 3 2" xfId="13015"/>
    <cellStyle name="40% - Accent5 9 3 2 2" xfId="26727"/>
    <cellStyle name="40% - Accent5 9 3 3" xfId="29141"/>
    <cellStyle name="40% - Accent5 9 4" xfId="4757"/>
    <cellStyle name="40% - Accent5 9 4 2" xfId="15476"/>
    <cellStyle name="40% - Accent5 9 4 2 2" xfId="29025"/>
    <cellStyle name="40% - Accent5 9 4 3" xfId="22778"/>
    <cellStyle name="40% - Accent5 9 5" xfId="4758"/>
    <cellStyle name="40% - Accent5 9 5 2" xfId="17106"/>
    <cellStyle name="40% - Accent5 9 5 2 2" xfId="30465"/>
    <cellStyle name="40% - Accent5 9 5 3" xfId="22777"/>
    <cellStyle name="40% - Accent5 9 6" xfId="9503"/>
    <cellStyle name="40% - Accent5 9 6 2" xfId="23978"/>
    <cellStyle name="40% - Accent5 9 7" xfId="22779"/>
    <cellStyle name="40% - Accent6" xfId="48" builtinId="51" customBuiltin="1"/>
    <cellStyle name="40% - Accent6 10" xfId="4759"/>
    <cellStyle name="40% - Accent6 10 2" xfId="4760"/>
    <cellStyle name="40% - Accent6 10 2 2" xfId="4761"/>
    <cellStyle name="40% - Accent6 10 2 2 2" xfId="13018"/>
    <cellStyle name="40% - Accent6 10 2 2 2 2" xfId="26730"/>
    <cellStyle name="40% - Accent6 10 2 2 3" xfId="24206"/>
    <cellStyle name="40% - Accent6 10 2 3" xfId="4762"/>
    <cellStyle name="40% - Accent6 10 2 3 2" xfId="15479"/>
    <cellStyle name="40% - Accent6 10 2 3 2 2" xfId="29028"/>
    <cellStyle name="40% - Accent6 10 2 3 3" xfId="22775"/>
    <cellStyle name="40% - Accent6 10 2 4" xfId="11232"/>
    <cellStyle name="40% - Accent6 10 2 4 2" xfId="25174"/>
    <cellStyle name="40% - Accent6 10 2 5" xfId="22776"/>
    <cellStyle name="40% - Accent6 10 3" xfId="4763"/>
    <cellStyle name="40% - Accent6 10 3 2" xfId="13017"/>
    <cellStyle name="40% - Accent6 10 3 2 2" xfId="26729"/>
    <cellStyle name="40% - Accent6 10 3 3" xfId="23244"/>
    <cellStyle name="40% - Accent6 10 4" xfId="4764"/>
    <cellStyle name="40% - Accent6 10 4 2" xfId="15478"/>
    <cellStyle name="40% - Accent6 10 4 2 2" xfId="29027"/>
    <cellStyle name="40% - Accent6 10 4 3" xfId="24204"/>
    <cellStyle name="40% - Accent6 10 5" xfId="4765"/>
    <cellStyle name="40% - Accent6 10 5 2" xfId="17196"/>
    <cellStyle name="40% - Accent6 10 5 2 2" xfId="30555"/>
    <cellStyle name="40% - Accent6 10 5 3" xfId="22774"/>
    <cellStyle name="40% - Accent6 10 6" xfId="9505"/>
    <cellStyle name="40% - Accent6 10 6 2" xfId="23980"/>
    <cellStyle name="40% - Accent6 10 7" xfId="24207"/>
    <cellStyle name="40% - Accent6 11" xfId="4766"/>
    <cellStyle name="40% - Accent6 11 2" xfId="4767"/>
    <cellStyle name="40% - Accent6 11 2 2" xfId="11233"/>
    <cellStyle name="40% - Accent6 11 2 2 2" xfId="25175"/>
    <cellStyle name="40% - Accent6 11 2 3" xfId="22773"/>
    <cellStyle name="40% - Accent6 11 3" xfId="4768"/>
    <cellStyle name="40% - Accent6 11 3 2" xfId="13019"/>
    <cellStyle name="40% - Accent6 11 3 2 2" xfId="26731"/>
    <cellStyle name="40% - Accent6 11 3 3" xfId="24202"/>
    <cellStyle name="40% - Accent6 11 4" xfId="4769"/>
    <cellStyle name="40% - Accent6 11 4 2" xfId="15480"/>
    <cellStyle name="40% - Accent6 11 4 2 2" xfId="29029"/>
    <cellStyle name="40% - Accent6 11 4 3" xfId="22772"/>
    <cellStyle name="40% - Accent6 11 5" xfId="4770"/>
    <cellStyle name="40% - Accent6 11 5 2" xfId="17285"/>
    <cellStyle name="40% - Accent6 11 5 2 2" xfId="30644"/>
    <cellStyle name="40% - Accent6 11 5 3" xfId="24201"/>
    <cellStyle name="40% - Accent6 11 6" xfId="9506"/>
    <cellStyle name="40% - Accent6 11 6 2" xfId="23981"/>
    <cellStyle name="40% - Accent6 11 7" xfId="24203"/>
    <cellStyle name="40% - Accent6 12" xfId="4771"/>
    <cellStyle name="40% - Accent6 12 2" xfId="4772"/>
    <cellStyle name="40% - Accent6 12 2 2" xfId="4773"/>
    <cellStyle name="40% - Accent6 12 2 2 2" xfId="11235"/>
    <cellStyle name="40% - Accent6 12 2 2 2 2" xfId="25177"/>
    <cellStyle name="40% - Accent6 12 2 2 3" xfId="24200"/>
    <cellStyle name="40% - Accent6 12 2 3" xfId="4774"/>
    <cellStyle name="40% - Accent6 12 2 3 2" xfId="13021"/>
    <cellStyle name="40% - Accent6 12 2 3 2 2" xfId="26733"/>
    <cellStyle name="40% - Accent6 12 2 3 3" xfId="22770"/>
    <cellStyle name="40% - Accent6 12 2 4" xfId="4775"/>
    <cellStyle name="40% - Accent6 12 2 4 2" xfId="15482"/>
    <cellStyle name="40% - Accent6 12 2 4 2 2" xfId="29031"/>
    <cellStyle name="40% - Accent6 12 2 4 3" xfId="22769"/>
    <cellStyle name="40% - Accent6 12 2 5" xfId="9508"/>
    <cellStyle name="40% - Accent6 12 2 5 2" xfId="23983"/>
    <cellStyle name="40% - Accent6 12 2 6" xfId="24199"/>
    <cellStyle name="40% - Accent6 12 3" xfId="4776"/>
    <cellStyle name="40% - Accent6 12 3 2" xfId="11234"/>
    <cellStyle name="40% - Accent6 12 3 2 2" xfId="25176"/>
    <cellStyle name="40% - Accent6 12 3 3" xfId="24198"/>
    <cellStyle name="40% - Accent6 12 4" xfId="4777"/>
    <cellStyle name="40% - Accent6 12 4 2" xfId="13020"/>
    <cellStyle name="40% - Accent6 12 4 2 2" xfId="26732"/>
    <cellStyle name="40% - Accent6 12 4 3" xfId="26826"/>
    <cellStyle name="40% - Accent6 12 5" xfId="4778"/>
    <cellStyle name="40% - Accent6 12 5 2" xfId="15481"/>
    <cellStyle name="40% - Accent6 12 5 2 2" xfId="29030"/>
    <cellStyle name="40% - Accent6 12 5 3" xfId="22768"/>
    <cellStyle name="40% - Accent6 12 6" xfId="4779"/>
    <cellStyle name="40% - Accent6 12 6 2" xfId="16437"/>
    <cellStyle name="40% - Accent6 12 6 2 2" xfId="29844"/>
    <cellStyle name="40% - Accent6 12 6 3" xfId="26827"/>
    <cellStyle name="40% - Accent6 12 7" xfId="9507"/>
    <cellStyle name="40% - Accent6 12 7 2" xfId="23982"/>
    <cellStyle name="40% - Accent6 12 8" xfId="22771"/>
    <cellStyle name="40% - Accent6 13" xfId="4780"/>
    <cellStyle name="40% - Accent6 13 2" xfId="4781"/>
    <cellStyle name="40% - Accent6 13 2 2" xfId="11236"/>
    <cellStyle name="40% - Accent6 13 2 2 2" xfId="25178"/>
    <cellStyle name="40% - Accent6 13 2 3" xfId="22766"/>
    <cellStyle name="40% - Accent6 13 3" xfId="4782"/>
    <cellStyle name="40% - Accent6 13 3 2" xfId="13022"/>
    <cellStyle name="40% - Accent6 13 3 2 2" xfId="26734"/>
    <cellStyle name="40% - Accent6 13 3 3" xfId="24196"/>
    <cellStyle name="40% - Accent6 13 4" xfId="4783"/>
    <cellStyle name="40% - Accent6 13 4 2" xfId="15483"/>
    <cellStyle name="40% - Accent6 13 4 2 2" xfId="29032"/>
    <cellStyle name="40% - Accent6 13 4 3" xfId="24197"/>
    <cellStyle name="40% - Accent6 13 5" xfId="9509"/>
    <cellStyle name="40% - Accent6 13 5 2" xfId="23984"/>
    <cellStyle name="40% - Accent6 13 6" xfId="22767"/>
    <cellStyle name="40% - Accent6 14" xfId="4784"/>
    <cellStyle name="40% - Accent6 14 2" xfId="4785"/>
    <cellStyle name="40% - Accent6 14 2 2" xfId="11237"/>
    <cellStyle name="40% - Accent6 14 2 2 2" xfId="25179"/>
    <cellStyle name="40% - Accent6 14 2 3" xfId="22764"/>
    <cellStyle name="40% - Accent6 14 3" xfId="4786"/>
    <cellStyle name="40% - Accent6 14 3 2" xfId="13023"/>
    <cellStyle name="40% - Accent6 14 3 2 2" xfId="26735"/>
    <cellStyle name="40% - Accent6 14 3 3" xfId="24195"/>
    <cellStyle name="40% - Accent6 14 4" xfId="4787"/>
    <cellStyle name="40% - Accent6 14 4 2" xfId="15484"/>
    <cellStyle name="40% - Accent6 14 4 2 2" xfId="29033"/>
    <cellStyle name="40% - Accent6 14 4 3" xfId="22763"/>
    <cellStyle name="40% - Accent6 14 5" xfId="9510"/>
    <cellStyle name="40% - Accent6 14 5 2" xfId="23985"/>
    <cellStyle name="40% - Accent6 14 6" xfId="22765"/>
    <cellStyle name="40% - Accent6 15" xfId="4788"/>
    <cellStyle name="40% - Accent6 15 2" xfId="4789"/>
    <cellStyle name="40% - Accent6 15 2 2" xfId="11238"/>
    <cellStyle name="40% - Accent6 15 2 2 2" xfId="25180"/>
    <cellStyle name="40% - Accent6 15 2 3" xfId="22762"/>
    <cellStyle name="40% - Accent6 15 3" xfId="4790"/>
    <cellStyle name="40% - Accent6 15 3 2" xfId="13024"/>
    <cellStyle name="40% - Accent6 15 3 2 2" xfId="26736"/>
    <cellStyle name="40% - Accent6 15 3 3" xfId="25254"/>
    <cellStyle name="40% - Accent6 15 4" xfId="4791"/>
    <cellStyle name="40% - Accent6 15 4 2" xfId="15485"/>
    <cellStyle name="40% - Accent6 15 4 2 2" xfId="29034"/>
    <cellStyle name="40% - Accent6 15 4 3" xfId="22761"/>
    <cellStyle name="40% - Accent6 15 5" xfId="9511"/>
    <cellStyle name="40% - Accent6 15 5 2" xfId="23986"/>
    <cellStyle name="40% - Accent6 15 6" xfId="24192"/>
    <cellStyle name="40% - Accent6 16" xfId="4792"/>
    <cellStyle name="40% - Accent6 16 2" xfId="4793"/>
    <cellStyle name="40% - Accent6 16 2 2" xfId="11239"/>
    <cellStyle name="40% - Accent6 16 2 2 2" xfId="25181"/>
    <cellStyle name="40% - Accent6 16 2 3" xfId="29140"/>
    <cellStyle name="40% - Accent6 16 3" xfId="4794"/>
    <cellStyle name="40% - Accent6 16 3 2" xfId="13025"/>
    <cellStyle name="40% - Accent6 16 3 2 2" xfId="26737"/>
    <cellStyle name="40% - Accent6 16 3 3" xfId="22760"/>
    <cellStyle name="40% - Accent6 16 4" xfId="4795"/>
    <cellStyle name="40% - Accent6 16 4 2" xfId="15486"/>
    <cellStyle name="40% - Accent6 16 4 2 2" xfId="29035"/>
    <cellStyle name="40% - Accent6 16 4 3" xfId="22759"/>
    <cellStyle name="40% - Accent6 16 5" xfId="9512"/>
    <cellStyle name="40% - Accent6 16 5 2" xfId="23987"/>
    <cellStyle name="40% - Accent6 16 6" xfId="24444"/>
    <cellStyle name="40% - Accent6 17" xfId="4796"/>
    <cellStyle name="40% - Accent6 17 2" xfId="4797"/>
    <cellStyle name="40% - Accent6 17 2 2" xfId="11240"/>
    <cellStyle name="40% - Accent6 17 2 2 2" xfId="25182"/>
    <cellStyle name="40% - Accent6 17 2 3" xfId="22758"/>
    <cellStyle name="40% - Accent6 17 3" xfId="4798"/>
    <cellStyle name="40% - Accent6 17 3 2" xfId="13026"/>
    <cellStyle name="40% - Accent6 17 3 2 2" xfId="26738"/>
    <cellStyle name="40% - Accent6 17 3 3" xfId="24193"/>
    <cellStyle name="40% - Accent6 17 4" xfId="4799"/>
    <cellStyle name="40% - Accent6 17 4 2" xfId="15487"/>
    <cellStyle name="40% - Accent6 17 4 2 2" xfId="29036"/>
    <cellStyle name="40% - Accent6 17 4 3" xfId="22757"/>
    <cellStyle name="40% - Accent6 17 5" xfId="9513"/>
    <cellStyle name="40% - Accent6 17 5 2" xfId="23988"/>
    <cellStyle name="40% - Accent6 17 6" xfId="24194"/>
    <cellStyle name="40% - Accent6 18" xfId="4800"/>
    <cellStyle name="40% - Accent6 18 2" xfId="4801"/>
    <cellStyle name="40% - Accent6 18 2 2" xfId="11241"/>
    <cellStyle name="40% - Accent6 18 2 2 2" xfId="25183"/>
    <cellStyle name="40% - Accent6 18 2 3" xfId="24191"/>
    <cellStyle name="40% - Accent6 18 3" xfId="4802"/>
    <cellStyle name="40% - Accent6 18 3 2" xfId="13027"/>
    <cellStyle name="40% - Accent6 18 3 2 2" xfId="26739"/>
    <cellStyle name="40% - Accent6 18 3 3" xfId="22756"/>
    <cellStyle name="40% - Accent6 18 4" xfId="4803"/>
    <cellStyle name="40% - Accent6 18 4 2" xfId="15488"/>
    <cellStyle name="40% - Accent6 18 4 2 2" xfId="29037"/>
    <cellStyle name="40% - Accent6 18 4 3" xfId="24190"/>
    <cellStyle name="40% - Accent6 18 5" xfId="9514"/>
    <cellStyle name="40% - Accent6 18 5 2" xfId="23989"/>
    <cellStyle name="40% - Accent6 18 6" xfId="23243"/>
    <cellStyle name="40% - Accent6 19" xfId="4804"/>
    <cellStyle name="40% - Accent6 19 2" xfId="4805"/>
    <cellStyle name="40% - Accent6 19 2 2" xfId="11721"/>
    <cellStyle name="40% - Accent6 19 2 2 2" xfId="25441"/>
    <cellStyle name="40% - Accent6 19 2 3" xfId="24189"/>
    <cellStyle name="40% - Accent6 19 3" xfId="4806"/>
    <cellStyle name="40% - Accent6 19 3 2" xfId="13028"/>
    <cellStyle name="40% - Accent6 19 3 2 2" xfId="26740"/>
    <cellStyle name="40% - Accent6 19 3 3" xfId="22754"/>
    <cellStyle name="40% - Accent6 19 4" xfId="4807"/>
    <cellStyle name="40% - Accent6 19 4 2" xfId="15489"/>
    <cellStyle name="40% - Accent6 19 4 2 2" xfId="29038"/>
    <cellStyle name="40% - Accent6 19 4 3" xfId="24188"/>
    <cellStyle name="40% - Accent6 19 5" xfId="10473"/>
    <cellStyle name="40% - Accent6 19 5 2" xfId="24432"/>
    <cellStyle name="40% - Accent6 19 6" xfId="22755"/>
    <cellStyle name="40% - Accent6 2" xfId="4808"/>
    <cellStyle name="40% - Accent6 2 10" xfId="4809"/>
    <cellStyle name="40% - Accent6 2 10 2" xfId="4810"/>
    <cellStyle name="40% - Accent6 2 10 2 2" xfId="15491"/>
    <cellStyle name="40% - Accent6 2 10 2 2 2" xfId="29040"/>
    <cellStyle name="40% - Accent6 2 10 2 3" xfId="24187"/>
    <cellStyle name="40% - Accent6 2 10 3" xfId="11849"/>
    <cellStyle name="40% - Accent6 2 10 3 2" xfId="25564"/>
    <cellStyle name="40% - Accent6 2 10 4" xfId="24186"/>
    <cellStyle name="40% - Accent6 2 11" xfId="4811"/>
    <cellStyle name="40% - Accent6 2 11 2" xfId="13029"/>
    <cellStyle name="40% - Accent6 2 11 2 2" xfId="26741"/>
    <cellStyle name="40% - Accent6 2 11 3" xfId="22752"/>
    <cellStyle name="40% - Accent6 2 12" xfId="4812"/>
    <cellStyle name="40% - Accent6 2 12 2" xfId="13446"/>
    <cellStyle name="40% - Accent6 2 12 2 2" xfId="26995"/>
    <cellStyle name="40% - Accent6 2 12 3" xfId="22751"/>
    <cellStyle name="40% - Accent6 2 13" xfId="4813"/>
    <cellStyle name="40% - Accent6 2 13 2" xfId="14027"/>
    <cellStyle name="40% - Accent6 2 13 2 2" xfId="27576"/>
    <cellStyle name="40% - Accent6 2 13 3" xfId="24185"/>
    <cellStyle name="40% - Accent6 2 14" xfId="4814"/>
    <cellStyle name="40% - Accent6 2 14 2" xfId="15490"/>
    <cellStyle name="40% - Accent6 2 14 2 2" xfId="29039"/>
    <cellStyle name="40% - Accent6 2 14 3" xfId="26824"/>
    <cellStyle name="40% - Accent6 2 15" xfId="4815"/>
    <cellStyle name="40% - Accent6 2 15 2" xfId="15913"/>
    <cellStyle name="40% - Accent6 2 15 2 2" xfId="29320"/>
    <cellStyle name="40% - Accent6 2 15 3" xfId="22750"/>
    <cellStyle name="40% - Accent6 2 16" xfId="9515"/>
    <cellStyle name="40% - Accent6 2 16 2" xfId="23990"/>
    <cellStyle name="40% - Accent6 2 17" xfId="22753"/>
    <cellStyle name="40% - Accent6 2 18" xfId="33083"/>
    <cellStyle name="40% - Accent6 2 2" xfId="4816"/>
    <cellStyle name="40% - Accent6 2 2 10" xfId="4817"/>
    <cellStyle name="40% - Accent6 2 2 10 2" xfId="15492"/>
    <cellStyle name="40% - Accent6 2 2 10 2 2" xfId="29041"/>
    <cellStyle name="40% - Accent6 2 2 10 3" xfId="22749"/>
    <cellStyle name="40% - Accent6 2 2 11" xfId="4818"/>
    <cellStyle name="40% - Accent6 2 2 11 2" xfId="15959"/>
    <cellStyle name="40% - Accent6 2 2 11 2 2" xfId="29366"/>
    <cellStyle name="40% - Accent6 2 2 11 3" xfId="22748"/>
    <cellStyle name="40% - Accent6 2 2 12" xfId="9516"/>
    <cellStyle name="40% - Accent6 2 2 12 2" xfId="23991"/>
    <cellStyle name="40% - Accent6 2 2 13" xfId="26825"/>
    <cellStyle name="40% - Accent6 2 2 2" xfId="4819"/>
    <cellStyle name="40% - Accent6 2 2 2 10" xfId="4820"/>
    <cellStyle name="40% - Accent6 2 2 2 10 2" xfId="16102"/>
    <cellStyle name="40% - Accent6 2 2 2 10 2 2" xfId="29509"/>
    <cellStyle name="40% - Accent6 2 2 2 10 3" xfId="24184"/>
    <cellStyle name="40% - Accent6 2 2 2 11" xfId="9517"/>
    <cellStyle name="40% - Accent6 2 2 2 11 2" xfId="23992"/>
    <cellStyle name="40% - Accent6 2 2 2 12" xfId="24183"/>
    <cellStyle name="40% - Accent6 2 2 2 2" xfId="4821"/>
    <cellStyle name="40% - Accent6 2 2 2 2 10" xfId="9518"/>
    <cellStyle name="40% - Accent6 2 2 2 2 10 2" xfId="23993"/>
    <cellStyle name="40% - Accent6 2 2 2 2 11" xfId="22747"/>
    <cellStyle name="40% - Accent6 2 2 2 2 2" xfId="4822"/>
    <cellStyle name="40% - Accent6 2 2 2 2 2 2" xfId="4823"/>
    <cellStyle name="40% - Accent6 2 2 2 2 2 2 2" xfId="11246"/>
    <cellStyle name="40% - Accent6 2 2 2 2 2 2 2 2" xfId="25188"/>
    <cellStyle name="40% - Accent6 2 2 2 2 2 2 3" xfId="24182"/>
    <cellStyle name="40% - Accent6 2 2 2 2 2 3" xfId="4824"/>
    <cellStyle name="40% - Accent6 2 2 2 2 2 3 2" xfId="13033"/>
    <cellStyle name="40% - Accent6 2 2 2 2 2 3 2 2" xfId="26745"/>
    <cellStyle name="40% - Accent6 2 2 2 2 2 3 3" xfId="22745"/>
    <cellStyle name="40% - Accent6 2 2 2 2 2 4" xfId="4825"/>
    <cellStyle name="40% - Accent6 2 2 2 2 2 4 2" xfId="15495"/>
    <cellStyle name="40% - Accent6 2 2 2 2 2 4 2 2" xfId="29044"/>
    <cellStyle name="40% - Accent6 2 2 2 2 2 4 3" xfId="24179"/>
    <cellStyle name="40% - Accent6 2 2 2 2 2 5" xfId="4826"/>
    <cellStyle name="40% - Accent6 2 2 2 2 2 5 2" xfId="16972"/>
    <cellStyle name="40% - Accent6 2 2 2 2 2 5 2 2" xfId="30379"/>
    <cellStyle name="40% - Accent6 2 2 2 2 2 5 3" xfId="22744"/>
    <cellStyle name="40% - Accent6 2 2 2 2 2 6" xfId="9519"/>
    <cellStyle name="40% - Accent6 2 2 2 2 2 6 2" xfId="23994"/>
    <cellStyle name="40% - Accent6 2 2 2 2 2 7" xfId="22746"/>
    <cellStyle name="40% - Accent6 2 2 2 2 3" xfId="4827"/>
    <cellStyle name="40% - Accent6 2 2 2 2 3 2" xfId="4828"/>
    <cellStyle name="40% - Accent6 2 2 2 2 3 2 2" xfId="15496"/>
    <cellStyle name="40% - Accent6 2 2 2 2 3 2 2 2" xfId="29045"/>
    <cellStyle name="40% - Accent6 2 2 2 2 3 2 3" xfId="22743"/>
    <cellStyle name="40% - Accent6 2 2 2 2 3 3" xfId="11245"/>
    <cellStyle name="40% - Accent6 2 2 2 2 3 3 2" xfId="25187"/>
    <cellStyle name="40% - Accent6 2 2 2 2 3 4" xfId="25253"/>
    <cellStyle name="40% - Accent6 2 2 2 2 4" xfId="4829"/>
    <cellStyle name="40% - Accent6 2 2 2 2 4 2" xfId="12360"/>
    <cellStyle name="40% - Accent6 2 2 2 2 4 2 2" xfId="26072"/>
    <cellStyle name="40% - Accent6 2 2 2 2 4 3" xfId="24443"/>
    <cellStyle name="40% - Accent6 2 2 2 2 5" xfId="4830"/>
    <cellStyle name="40% - Accent6 2 2 2 2 5 2" xfId="13032"/>
    <cellStyle name="40% - Accent6 2 2 2 2 5 2 2" xfId="26744"/>
    <cellStyle name="40% - Accent6 2 2 2 2 5 3" xfId="29139"/>
    <cellStyle name="40% - Accent6 2 2 2 2 6" xfId="4831"/>
    <cellStyle name="40% - Accent6 2 2 2 2 6 2" xfId="13924"/>
    <cellStyle name="40% - Accent6 2 2 2 2 6 2 2" xfId="27473"/>
    <cellStyle name="40% - Accent6 2 2 2 2 6 3" xfId="22742"/>
    <cellStyle name="40% - Accent6 2 2 2 2 7" xfId="4832"/>
    <cellStyle name="40% - Accent6 2 2 2 2 7 2" xfId="14505"/>
    <cellStyle name="40% - Accent6 2 2 2 2 7 2 2" xfId="28054"/>
    <cellStyle name="40% - Accent6 2 2 2 2 7 3" xfId="22741"/>
    <cellStyle name="40% - Accent6 2 2 2 2 8" xfId="4833"/>
    <cellStyle name="40% - Accent6 2 2 2 2 8 2" xfId="15494"/>
    <cellStyle name="40% - Accent6 2 2 2 2 8 2 2" xfId="29043"/>
    <cellStyle name="40% - Accent6 2 2 2 2 8 3" xfId="24181"/>
    <cellStyle name="40% - Accent6 2 2 2 2 9" xfId="4834"/>
    <cellStyle name="40% - Accent6 2 2 2 2 9 2" xfId="16391"/>
    <cellStyle name="40% - Accent6 2 2 2 2 9 2 2" xfId="29798"/>
    <cellStyle name="40% - Accent6 2 2 2 2 9 3" xfId="22740"/>
    <cellStyle name="40% - Accent6 2 2 2 3" xfId="4835"/>
    <cellStyle name="40% - Accent6 2 2 2 3 2" xfId="4836"/>
    <cellStyle name="40% - Accent6 2 2 2 3 2 2" xfId="11247"/>
    <cellStyle name="40% - Accent6 2 2 2 3 2 2 2" xfId="25189"/>
    <cellStyle name="40% - Accent6 2 2 2 3 2 3" xfId="22739"/>
    <cellStyle name="40% - Accent6 2 2 2 3 3" xfId="4837"/>
    <cellStyle name="40% - Accent6 2 2 2 3 3 2" xfId="13034"/>
    <cellStyle name="40% - Accent6 2 2 2 3 3 2 2" xfId="26746"/>
    <cellStyle name="40% - Accent6 2 2 2 3 3 3" xfId="23262"/>
    <cellStyle name="40% - Accent6 2 2 2 3 4" xfId="4838"/>
    <cellStyle name="40% - Accent6 2 2 2 3 4 2" xfId="15497"/>
    <cellStyle name="40% - Accent6 2 2 2 3 4 2 2" xfId="29046"/>
    <cellStyle name="40% - Accent6 2 2 2 3 4 3" xfId="23293"/>
    <cellStyle name="40% - Accent6 2 2 2 3 5" xfId="4839"/>
    <cellStyle name="40% - Accent6 2 2 2 3 5 2" xfId="16683"/>
    <cellStyle name="40% - Accent6 2 2 2 3 5 2 2" xfId="30090"/>
    <cellStyle name="40% - Accent6 2 2 2 3 5 3" xfId="22738"/>
    <cellStyle name="40% - Accent6 2 2 2 3 6" xfId="9520"/>
    <cellStyle name="40% - Accent6 2 2 2 3 6 2" xfId="23995"/>
    <cellStyle name="40% - Accent6 2 2 2 3 7" xfId="24180"/>
    <cellStyle name="40% - Accent6 2 2 2 4" xfId="4840"/>
    <cellStyle name="40% - Accent6 2 2 2 4 2" xfId="4841"/>
    <cellStyle name="40% - Accent6 2 2 2 4 2 2" xfId="15498"/>
    <cellStyle name="40% - Accent6 2 2 2 4 2 2 2" xfId="29047"/>
    <cellStyle name="40% - Accent6 2 2 2 4 2 3" xfId="22737"/>
    <cellStyle name="40% - Accent6 2 2 2 4 3" xfId="11244"/>
    <cellStyle name="40% - Accent6 2 2 2 4 3 2" xfId="25186"/>
    <cellStyle name="40% - Accent6 2 2 2 4 4" xfId="24178"/>
    <cellStyle name="40% - Accent6 2 2 2 5" xfId="4842"/>
    <cellStyle name="40% - Accent6 2 2 2 5 2" xfId="12060"/>
    <cellStyle name="40% - Accent6 2 2 2 5 2 2" xfId="25775"/>
    <cellStyle name="40% - Accent6 2 2 2 5 3" xfId="24177"/>
    <cellStyle name="40% - Accent6 2 2 2 6" xfId="4843"/>
    <cellStyle name="40% - Accent6 2 2 2 6 2" xfId="13031"/>
    <cellStyle name="40% - Accent6 2 2 2 6 2 2" xfId="26743"/>
    <cellStyle name="40% - Accent6 2 2 2 6 3" xfId="22736"/>
    <cellStyle name="40% - Accent6 2 2 2 7" xfId="4844"/>
    <cellStyle name="40% - Accent6 2 2 2 7 2" xfId="13635"/>
    <cellStyle name="40% - Accent6 2 2 2 7 2 2" xfId="27184"/>
    <cellStyle name="40% - Accent6 2 2 2 7 3" xfId="24176"/>
    <cellStyle name="40% - Accent6 2 2 2 8" xfId="4845"/>
    <cellStyle name="40% - Accent6 2 2 2 8 2" xfId="14216"/>
    <cellStyle name="40% - Accent6 2 2 2 8 2 2" xfId="27765"/>
    <cellStyle name="40% - Accent6 2 2 2 8 3" xfId="22735"/>
    <cellStyle name="40% - Accent6 2 2 2 9" xfId="4846"/>
    <cellStyle name="40% - Accent6 2 2 2 9 2" xfId="15493"/>
    <cellStyle name="40% - Accent6 2 2 2 9 2 2" xfId="29042"/>
    <cellStyle name="40% - Accent6 2 2 2 9 3" xfId="24175"/>
    <cellStyle name="40% - Accent6 2 2 3" xfId="4847"/>
    <cellStyle name="40% - Accent6 2 2 3 10" xfId="9521"/>
    <cellStyle name="40% - Accent6 2 2 3 10 2" xfId="23996"/>
    <cellStyle name="40% - Accent6 2 2 3 11" xfId="22734"/>
    <cellStyle name="40% - Accent6 2 2 3 2" xfId="4848"/>
    <cellStyle name="40% - Accent6 2 2 3 2 2" xfId="4849"/>
    <cellStyle name="40% - Accent6 2 2 3 2 2 2" xfId="11249"/>
    <cellStyle name="40% - Accent6 2 2 3 2 2 2 2" xfId="25191"/>
    <cellStyle name="40% - Accent6 2 2 3 2 2 3" xfId="24174"/>
    <cellStyle name="40% - Accent6 2 2 3 2 3" xfId="4850"/>
    <cellStyle name="40% - Accent6 2 2 3 2 3 2" xfId="13036"/>
    <cellStyle name="40% - Accent6 2 2 3 2 3 2 2" xfId="26748"/>
    <cellStyle name="40% - Accent6 2 2 3 2 3 3" xfId="22733"/>
    <cellStyle name="40% - Accent6 2 2 3 2 4" xfId="4851"/>
    <cellStyle name="40% - Accent6 2 2 3 2 4 2" xfId="15500"/>
    <cellStyle name="40% - Accent6 2 2 3 2 4 2 2" xfId="29049"/>
    <cellStyle name="40% - Accent6 2 2 3 2 4 3" xfId="22732"/>
    <cellStyle name="40% - Accent6 2 2 3 2 5" xfId="4852"/>
    <cellStyle name="40% - Accent6 2 2 3 2 5 2" xfId="16829"/>
    <cellStyle name="40% - Accent6 2 2 3 2 5 2 2" xfId="30236"/>
    <cellStyle name="40% - Accent6 2 2 3 2 5 3" xfId="24172"/>
    <cellStyle name="40% - Accent6 2 2 3 2 6" xfId="9522"/>
    <cellStyle name="40% - Accent6 2 2 3 2 6 2" xfId="23997"/>
    <cellStyle name="40% - Accent6 2 2 3 2 7" xfId="24173"/>
    <cellStyle name="40% - Accent6 2 2 3 3" xfId="4853"/>
    <cellStyle name="40% - Accent6 2 2 3 3 2" xfId="4854"/>
    <cellStyle name="40% - Accent6 2 2 3 3 2 2" xfId="15501"/>
    <cellStyle name="40% - Accent6 2 2 3 3 2 2 2" xfId="29050"/>
    <cellStyle name="40% - Accent6 2 2 3 3 2 3" xfId="22731"/>
    <cellStyle name="40% - Accent6 2 2 3 3 3" xfId="11248"/>
    <cellStyle name="40% - Accent6 2 2 3 3 3 2" xfId="25190"/>
    <cellStyle name="40% - Accent6 2 2 3 3 4" xfId="26822"/>
    <cellStyle name="40% - Accent6 2 2 3 4" xfId="4855"/>
    <cellStyle name="40% - Accent6 2 2 3 4 2" xfId="12217"/>
    <cellStyle name="40% - Accent6 2 2 3 4 2 2" xfId="25929"/>
    <cellStyle name="40% - Accent6 2 2 3 4 3" xfId="26823"/>
    <cellStyle name="40% - Accent6 2 2 3 5" xfId="4856"/>
    <cellStyle name="40% - Accent6 2 2 3 5 2" xfId="13035"/>
    <cellStyle name="40% - Accent6 2 2 3 5 2 2" xfId="26747"/>
    <cellStyle name="40% - Accent6 2 2 3 5 3" xfId="22730"/>
    <cellStyle name="40% - Accent6 2 2 3 6" xfId="4857"/>
    <cellStyle name="40% - Accent6 2 2 3 6 2" xfId="13781"/>
    <cellStyle name="40% - Accent6 2 2 3 6 2 2" xfId="27330"/>
    <cellStyle name="40% - Accent6 2 2 3 6 3" xfId="22729"/>
    <cellStyle name="40% - Accent6 2 2 3 7" xfId="4858"/>
    <cellStyle name="40% - Accent6 2 2 3 7 2" xfId="14362"/>
    <cellStyle name="40% - Accent6 2 2 3 7 2 2" xfId="27911"/>
    <cellStyle name="40% - Accent6 2 2 3 7 3" xfId="24170"/>
    <cellStyle name="40% - Accent6 2 2 3 8" xfId="4859"/>
    <cellStyle name="40% - Accent6 2 2 3 8 2" xfId="15499"/>
    <cellStyle name="40% - Accent6 2 2 3 8 2 2" xfId="29048"/>
    <cellStyle name="40% - Accent6 2 2 3 8 3" xfId="24171"/>
    <cellStyle name="40% - Accent6 2 2 3 9" xfId="4860"/>
    <cellStyle name="40% - Accent6 2 2 3 9 2" xfId="16248"/>
    <cellStyle name="40% - Accent6 2 2 3 9 2 2" xfId="29655"/>
    <cellStyle name="40% - Accent6 2 2 3 9 3" xfId="22728"/>
    <cellStyle name="40% - Accent6 2 2 4" xfId="4861"/>
    <cellStyle name="40% - Accent6 2 2 4 2" xfId="4862"/>
    <cellStyle name="40% - Accent6 2 2 4 2 2" xfId="11250"/>
    <cellStyle name="40% - Accent6 2 2 4 2 2 2" xfId="25192"/>
    <cellStyle name="40% - Accent6 2 2 4 2 3" xfId="24169"/>
    <cellStyle name="40% - Accent6 2 2 4 3" xfId="4863"/>
    <cellStyle name="40% - Accent6 2 2 4 3 2" xfId="13037"/>
    <cellStyle name="40% - Accent6 2 2 4 3 2 2" xfId="26749"/>
    <cellStyle name="40% - Accent6 2 2 4 3 3" xfId="22726"/>
    <cellStyle name="40% - Accent6 2 2 4 4" xfId="4864"/>
    <cellStyle name="40% - Accent6 2 2 4 4 2" xfId="15502"/>
    <cellStyle name="40% - Accent6 2 2 4 4 2 2" xfId="29051"/>
    <cellStyle name="40% - Accent6 2 2 4 4 3" xfId="24166"/>
    <cellStyle name="40% - Accent6 2 2 4 5" xfId="4865"/>
    <cellStyle name="40% - Accent6 2 2 4 5 2" xfId="17176"/>
    <cellStyle name="40% - Accent6 2 2 4 5 2 2" xfId="30535"/>
    <cellStyle name="40% - Accent6 2 2 4 5 3" xfId="22725"/>
    <cellStyle name="40% - Accent6 2 2 4 6" xfId="9523"/>
    <cellStyle name="40% - Accent6 2 2 4 6 2" xfId="23998"/>
    <cellStyle name="40% - Accent6 2 2 4 7" xfId="22727"/>
    <cellStyle name="40% - Accent6 2 2 5" xfId="4866"/>
    <cellStyle name="40% - Accent6 2 2 5 2" xfId="4867"/>
    <cellStyle name="40% - Accent6 2 2 5 2 2" xfId="15503"/>
    <cellStyle name="40% - Accent6 2 2 5 2 2 2" xfId="29052"/>
    <cellStyle name="40% - Accent6 2 2 5 2 3" xfId="22724"/>
    <cellStyle name="40% - Accent6 2 2 5 3" xfId="4868"/>
    <cellStyle name="40% - Accent6 2 2 5 3 2" xfId="17265"/>
    <cellStyle name="40% - Accent6 2 2 5 3 2 2" xfId="30624"/>
    <cellStyle name="40% - Accent6 2 2 5 3 3" xfId="24442"/>
    <cellStyle name="40% - Accent6 2 2 5 4" xfId="11243"/>
    <cellStyle name="40% - Accent6 2 2 5 4 2" xfId="25185"/>
    <cellStyle name="40% - Accent6 2 2 5 5" xfId="25252"/>
    <cellStyle name="40% - Accent6 2 2 6" xfId="4869"/>
    <cellStyle name="40% - Accent6 2 2 6 2" xfId="4870"/>
    <cellStyle name="40% - Accent6 2 2 6 2 2" xfId="16540"/>
    <cellStyle name="40% - Accent6 2 2 6 2 2 2" xfId="29947"/>
    <cellStyle name="40% - Accent6 2 2 6 2 3" xfId="22723"/>
    <cellStyle name="40% - Accent6 2 2 6 3" xfId="11915"/>
    <cellStyle name="40% - Accent6 2 2 6 3 2" xfId="25630"/>
    <cellStyle name="40% - Accent6 2 2 6 4" xfId="29138"/>
    <cellStyle name="40% - Accent6 2 2 7" xfId="4871"/>
    <cellStyle name="40% - Accent6 2 2 7 2" xfId="13030"/>
    <cellStyle name="40% - Accent6 2 2 7 2 2" xfId="26742"/>
    <cellStyle name="40% - Accent6 2 2 7 3" xfId="22722"/>
    <cellStyle name="40% - Accent6 2 2 8" xfId="4872"/>
    <cellStyle name="40% - Accent6 2 2 8 2" xfId="13492"/>
    <cellStyle name="40% - Accent6 2 2 8 2 2" xfId="27041"/>
    <cellStyle name="40% - Accent6 2 2 8 3" xfId="24168"/>
    <cellStyle name="40% - Accent6 2 2 9" xfId="4873"/>
    <cellStyle name="40% - Accent6 2 2 9 2" xfId="14073"/>
    <cellStyle name="40% - Accent6 2 2 9 2 2" xfId="27622"/>
    <cellStyle name="40% - Accent6 2 2 9 3" xfId="22721"/>
    <cellStyle name="40% - Accent6 2 3" xfId="4874"/>
    <cellStyle name="40% - Accent6 2 3 10" xfId="4875"/>
    <cellStyle name="40% - Accent6 2 3 10 2" xfId="16056"/>
    <cellStyle name="40% - Accent6 2 3 10 2 2" xfId="29463"/>
    <cellStyle name="40% - Accent6 2 3 10 3" xfId="22720"/>
    <cellStyle name="40% - Accent6 2 3 11" xfId="9524"/>
    <cellStyle name="40% - Accent6 2 3 11 2" xfId="23999"/>
    <cellStyle name="40% - Accent6 2 3 12" xfId="24167"/>
    <cellStyle name="40% - Accent6 2 3 2" xfId="4876"/>
    <cellStyle name="40% - Accent6 2 3 2 10" xfId="9525"/>
    <cellStyle name="40% - Accent6 2 3 2 10 2" xfId="24000"/>
    <cellStyle name="40% - Accent6 2 3 2 11" xfId="23256"/>
    <cellStyle name="40% - Accent6 2 3 2 2" xfId="4877"/>
    <cellStyle name="40% - Accent6 2 3 2 2 2" xfId="4878"/>
    <cellStyle name="40% - Accent6 2 3 2 2 2 2" xfId="11253"/>
    <cellStyle name="40% - Accent6 2 3 2 2 2 2 2" xfId="25195"/>
    <cellStyle name="40% - Accent6 2 3 2 2 2 3" xfId="22719"/>
    <cellStyle name="40% - Accent6 2 3 2 2 3" xfId="4879"/>
    <cellStyle name="40% - Accent6 2 3 2 2 3 2" xfId="13040"/>
    <cellStyle name="40% - Accent6 2 3 2 2 3 2 2" xfId="26752"/>
    <cellStyle name="40% - Accent6 2 3 2 2 3 3" xfId="24164"/>
    <cellStyle name="40% - Accent6 2 3 2 2 4" xfId="4880"/>
    <cellStyle name="40% - Accent6 2 3 2 2 4 2" xfId="15506"/>
    <cellStyle name="40% - Accent6 2 3 2 2 4 2 2" xfId="29055"/>
    <cellStyle name="40% - Accent6 2 3 2 2 4 3" xfId="22718"/>
    <cellStyle name="40% - Accent6 2 3 2 2 5" xfId="4881"/>
    <cellStyle name="40% - Accent6 2 3 2 2 5 2" xfId="16926"/>
    <cellStyle name="40% - Accent6 2 3 2 2 5 2 2" xfId="30333"/>
    <cellStyle name="40% - Accent6 2 3 2 2 5 3" xfId="24163"/>
    <cellStyle name="40% - Accent6 2 3 2 2 6" xfId="9526"/>
    <cellStyle name="40% - Accent6 2 3 2 2 6 2" xfId="24001"/>
    <cellStyle name="40% - Accent6 2 3 2 2 7" xfId="24165"/>
    <cellStyle name="40% - Accent6 2 3 2 3" xfId="4882"/>
    <cellStyle name="40% - Accent6 2 3 2 3 2" xfId="4883"/>
    <cellStyle name="40% - Accent6 2 3 2 3 2 2" xfId="15507"/>
    <cellStyle name="40% - Accent6 2 3 2 3 2 2 2" xfId="29056"/>
    <cellStyle name="40% - Accent6 2 3 2 3 2 3" xfId="24162"/>
    <cellStyle name="40% - Accent6 2 3 2 3 3" xfId="11252"/>
    <cellStyle name="40% - Accent6 2 3 2 3 3 2" xfId="25194"/>
    <cellStyle name="40% - Accent6 2 3 2 3 4" xfId="22717"/>
    <cellStyle name="40% - Accent6 2 3 2 4" xfId="4884"/>
    <cellStyle name="40% - Accent6 2 3 2 4 2" xfId="12314"/>
    <cellStyle name="40% - Accent6 2 3 2 4 2 2" xfId="26026"/>
    <cellStyle name="40% - Accent6 2 3 2 4 3" xfId="22716"/>
    <cellStyle name="40% - Accent6 2 3 2 5" xfId="4885"/>
    <cellStyle name="40% - Accent6 2 3 2 5 2" xfId="13039"/>
    <cellStyle name="40% - Accent6 2 3 2 5 2 2" xfId="26751"/>
    <cellStyle name="40% - Accent6 2 3 2 5 3" xfId="24160"/>
    <cellStyle name="40% - Accent6 2 3 2 6" xfId="4886"/>
    <cellStyle name="40% - Accent6 2 3 2 6 2" xfId="13878"/>
    <cellStyle name="40% - Accent6 2 3 2 6 2 2" xfId="27427"/>
    <cellStyle name="40% - Accent6 2 3 2 6 3" xfId="24161"/>
    <cellStyle name="40% - Accent6 2 3 2 7" xfId="4887"/>
    <cellStyle name="40% - Accent6 2 3 2 7 2" xfId="14459"/>
    <cellStyle name="40% - Accent6 2 3 2 7 2 2" xfId="28008"/>
    <cellStyle name="40% - Accent6 2 3 2 7 3" xfId="22715"/>
    <cellStyle name="40% - Accent6 2 3 2 8" xfId="4888"/>
    <cellStyle name="40% - Accent6 2 3 2 8 2" xfId="15505"/>
    <cellStyle name="40% - Accent6 2 3 2 8 2 2" xfId="29054"/>
    <cellStyle name="40% - Accent6 2 3 2 8 3" xfId="22714"/>
    <cellStyle name="40% - Accent6 2 3 2 9" xfId="4889"/>
    <cellStyle name="40% - Accent6 2 3 2 9 2" xfId="16345"/>
    <cellStyle name="40% - Accent6 2 3 2 9 2 2" xfId="29752"/>
    <cellStyle name="40% - Accent6 2 3 2 9 3" xfId="24159"/>
    <cellStyle name="40% - Accent6 2 3 3" xfId="4890"/>
    <cellStyle name="40% - Accent6 2 3 3 2" xfId="4891"/>
    <cellStyle name="40% - Accent6 2 3 3 2 2" xfId="11254"/>
    <cellStyle name="40% - Accent6 2 3 3 2 2 2" xfId="25196"/>
    <cellStyle name="40% - Accent6 2 3 3 2 3" xfId="22713"/>
    <cellStyle name="40% - Accent6 2 3 3 3" xfId="4892"/>
    <cellStyle name="40% - Accent6 2 3 3 3 2" xfId="13041"/>
    <cellStyle name="40% - Accent6 2 3 3 3 2 2" xfId="26753"/>
    <cellStyle name="40% - Accent6 2 3 3 3 3" xfId="26821"/>
    <cellStyle name="40% - Accent6 2 3 3 4" xfId="4893"/>
    <cellStyle name="40% - Accent6 2 3 3 4 2" xfId="15508"/>
    <cellStyle name="40% - Accent6 2 3 3 4 2 2" xfId="29057"/>
    <cellStyle name="40% - Accent6 2 3 3 4 3" xfId="22712"/>
    <cellStyle name="40% - Accent6 2 3 3 5" xfId="4894"/>
    <cellStyle name="40% - Accent6 2 3 3 5 2" xfId="16637"/>
    <cellStyle name="40% - Accent6 2 3 3 5 2 2" xfId="30044"/>
    <cellStyle name="40% - Accent6 2 3 3 5 3" xfId="22711"/>
    <cellStyle name="40% - Accent6 2 3 3 6" xfId="9527"/>
    <cellStyle name="40% - Accent6 2 3 3 6 2" xfId="24002"/>
    <cellStyle name="40% - Accent6 2 3 3 7" xfId="26820"/>
    <cellStyle name="40% - Accent6 2 3 4" xfId="4895"/>
    <cellStyle name="40% - Accent6 2 3 4 2" xfId="4896"/>
    <cellStyle name="40% - Accent6 2 3 4 2 2" xfId="15509"/>
    <cellStyle name="40% - Accent6 2 3 4 2 2 2" xfId="29058"/>
    <cellStyle name="40% - Accent6 2 3 4 2 3" xfId="24158"/>
    <cellStyle name="40% - Accent6 2 3 4 3" xfId="11251"/>
    <cellStyle name="40% - Accent6 2 3 4 3 2" xfId="25193"/>
    <cellStyle name="40% - Accent6 2 3 4 4" xfId="24157"/>
    <cellStyle name="40% - Accent6 2 3 5" xfId="4897"/>
    <cellStyle name="40% - Accent6 2 3 5 2" xfId="12014"/>
    <cellStyle name="40% - Accent6 2 3 5 2 2" xfId="25729"/>
    <cellStyle name="40% - Accent6 2 3 5 3" xfId="22710"/>
    <cellStyle name="40% - Accent6 2 3 6" xfId="4898"/>
    <cellStyle name="40% - Accent6 2 3 6 2" xfId="13038"/>
    <cellStyle name="40% - Accent6 2 3 6 2 2" xfId="26750"/>
    <cellStyle name="40% - Accent6 2 3 6 3" xfId="22709"/>
    <cellStyle name="40% - Accent6 2 3 7" xfId="4899"/>
    <cellStyle name="40% - Accent6 2 3 7 2" xfId="13589"/>
    <cellStyle name="40% - Accent6 2 3 7 2 2" xfId="27138"/>
    <cellStyle name="40% - Accent6 2 3 7 3" xfId="24156"/>
    <cellStyle name="40% - Accent6 2 3 8" xfId="4900"/>
    <cellStyle name="40% - Accent6 2 3 8 2" xfId="14170"/>
    <cellStyle name="40% - Accent6 2 3 8 2 2" xfId="27719"/>
    <cellStyle name="40% - Accent6 2 3 8 3" xfId="22708"/>
    <cellStyle name="40% - Accent6 2 3 9" xfId="4901"/>
    <cellStyle name="40% - Accent6 2 3 9 2" xfId="15504"/>
    <cellStyle name="40% - Accent6 2 3 9 2 2" xfId="29053"/>
    <cellStyle name="40% - Accent6 2 3 9 3" xfId="24153"/>
    <cellStyle name="40% - Accent6 2 4" xfId="4902"/>
    <cellStyle name="40% - Accent6 2 4 10" xfId="9528"/>
    <cellStyle name="40% - Accent6 2 4 10 2" xfId="24003"/>
    <cellStyle name="40% - Accent6 2 4 11" xfId="22707"/>
    <cellStyle name="40% - Accent6 2 4 2" xfId="4903"/>
    <cellStyle name="40% - Accent6 2 4 2 2" xfId="4904"/>
    <cellStyle name="40% - Accent6 2 4 2 2 2" xfId="11256"/>
    <cellStyle name="40% - Accent6 2 4 2 2 2 2" xfId="25198"/>
    <cellStyle name="40% - Accent6 2 4 2 2 3" xfId="22706"/>
    <cellStyle name="40% - Accent6 2 4 2 3" xfId="4905"/>
    <cellStyle name="40% - Accent6 2 4 2 3 2" xfId="13043"/>
    <cellStyle name="40% - Accent6 2 4 2 3 2 2" xfId="26755"/>
    <cellStyle name="40% - Accent6 2 4 2 3 3" xfId="24441"/>
    <cellStyle name="40% - Accent6 2 4 2 4" xfId="4906"/>
    <cellStyle name="40% - Accent6 2 4 2 4 2" xfId="15511"/>
    <cellStyle name="40% - Accent6 2 4 2 4 2 2" xfId="29060"/>
    <cellStyle name="40% - Accent6 2 4 2 4 3" xfId="29137"/>
    <cellStyle name="40% - Accent6 2 4 2 5" xfId="4907"/>
    <cellStyle name="40% - Accent6 2 4 2 5 2" xfId="16783"/>
    <cellStyle name="40% - Accent6 2 4 2 5 2 2" xfId="30190"/>
    <cellStyle name="40% - Accent6 2 4 2 5 3" xfId="22705"/>
    <cellStyle name="40% - Accent6 2 4 2 6" xfId="9529"/>
    <cellStyle name="40% - Accent6 2 4 2 6 2" xfId="24004"/>
    <cellStyle name="40% - Accent6 2 4 2 7" xfId="25251"/>
    <cellStyle name="40% - Accent6 2 4 3" xfId="4908"/>
    <cellStyle name="40% - Accent6 2 4 3 2" xfId="4909"/>
    <cellStyle name="40% - Accent6 2 4 3 2 2" xfId="15512"/>
    <cellStyle name="40% - Accent6 2 4 3 2 2 2" xfId="29061"/>
    <cellStyle name="40% - Accent6 2 4 3 2 3" xfId="24155"/>
    <cellStyle name="40% - Accent6 2 4 3 3" xfId="11255"/>
    <cellStyle name="40% - Accent6 2 4 3 3 2" xfId="25197"/>
    <cellStyle name="40% - Accent6 2 4 3 4" xfId="22704"/>
    <cellStyle name="40% - Accent6 2 4 4" xfId="4910"/>
    <cellStyle name="40% - Accent6 2 4 4 2" xfId="12171"/>
    <cellStyle name="40% - Accent6 2 4 4 2 2" xfId="25883"/>
    <cellStyle name="40% - Accent6 2 4 4 3" xfId="22703"/>
    <cellStyle name="40% - Accent6 2 4 5" xfId="4911"/>
    <cellStyle name="40% - Accent6 2 4 5 2" xfId="13042"/>
    <cellStyle name="40% - Accent6 2 4 5 2 2" xfId="26754"/>
    <cellStyle name="40% - Accent6 2 4 5 3" xfId="24154"/>
    <cellStyle name="40% - Accent6 2 4 6" xfId="4912"/>
    <cellStyle name="40% - Accent6 2 4 6 2" xfId="13735"/>
    <cellStyle name="40% - Accent6 2 4 6 2 2" xfId="27284"/>
    <cellStyle name="40% - Accent6 2 4 6 3" xfId="22702"/>
    <cellStyle name="40% - Accent6 2 4 7" xfId="4913"/>
    <cellStyle name="40% - Accent6 2 4 7 2" xfId="14316"/>
    <cellStyle name="40% - Accent6 2 4 7 2 2" xfId="27865"/>
    <cellStyle name="40% - Accent6 2 4 7 3" xfId="23252"/>
    <cellStyle name="40% - Accent6 2 4 8" xfId="4914"/>
    <cellStyle name="40% - Accent6 2 4 8 2" xfId="15510"/>
    <cellStyle name="40% - Accent6 2 4 8 2 2" xfId="29059"/>
    <cellStyle name="40% - Accent6 2 4 8 3" xfId="24152"/>
    <cellStyle name="40% - Accent6 2 4 9" xfId="4915"/>
    <cellStyle name="40% - Accent6 2 4 9 2" xfId="16202"/>
    <cellStyle name="40% - Accent6 2 4 9 2 2" xfId="29609"/>
    <cellStyle name="40% - Accent6 2 4 9 3" xfId="22701"/>
    <cellStyle name="40% - Accent6 2 5" xfId="4916"/>
    <cellStyle name="40% - Accent6 2 5 2" xfId="4917"/>
    <cellStyle name="40% - Accent6 2 5 2 2" xfId="4918"/>
    <cellStyle name="40% - Accent6 2 5 2 2 2" xfId="11258"/>
    <cellStyle name="40% - Accent6 2 5 2 2 2 2" xfId="25200"/>
    <cellStyle name="40% - Accent6 2 5 2 2 3" xfId="24150"/>
    <cellStyle name="40% - Accent6 2 5 2 3" xfId="4919"/>
    <cellStyle name="40% - Accent6 2 5 2 3 2" xfId="13045"/>
    <cellStyle name="40% - Accent6 2 5 2 3 2 2" xfId="26757"/>
    <cellStyle name="40% - Accent6 2 5 2 3 3" xfId="22699"/>
    <cellStyle name="40% - Accent6 2 5 2 4" xfId="4920"/>
    <cellStyle name="40% - Accent6 2 5 2 4 2" xfId="15514"/>
    <cellStyle name="40% - Accent6 2 5 2 4 2 2" xfId="29063"/>
    <cellStyle name="40% - Accent6 2 5 2 4 3" xfId="24149"/>
    <cellStyle name="40% - Accent6 2 5 2 5" xfId="9531"/>
    <cellStyle name="40% - Accent6 2 5 2 5 2" xfId="24006"/>
    <cellStyle name="40% - Accent6 2 5 2 6" xfId="22700"/>
    <cellStyle name="40% - Accent6 2 5 3" xfId="4921"/>
    <cellStyle name="40% - Accent6 2 5 3 2" xfId="11257"/>
    <cellStyle name="40% - Accent6 2 5 3 2 2" xfId="25199"/>
    <cellStyle name="40% - Accent6 2 5 3 3" xfId="22698"/>
    <cellStyle name="40% - Accent6 2 5 4" xfId="4922"/>
    <cellStyle name="40% - Accent6 2 5 4 2" xfId="13044"/>
    <cellStyle name="40% - Accent6 2 5 4 2 2" xfId="26756"/>
    <cellStyle name="40% - Accent6 2 5 4 3" xfId="24147"/>
    <cellStyle name="40% - Accent6 2 5 5" xfId="4923"/>
    <cellStyle name="40% - Accent6 2 5 5 2" xfId="15513"/>
    <cellStyle name="40% - Accent6 2 5 5 2 2" xfId="29062"/>
    <cellStyle name="40% - Accent6 2 5 5 3" xfId="24148"/>
    <cellStyle name="40% - Accent6 2 5 6" xfId="4924"/>
    <cellStyle name="40% - Accent6 2 5 6 2" xfId="17018"/>
    <cellStyle name="40% - Accent6 2 5 6 2 2" xfId="30425"/>
    <cellStyle name="40% - Accent6 2 5 6 3" xfId="22697"/>
    <cellStyle name="40% - Accent6 2 5 7" xfId="9530"/>
    <cellStyle name="40% - Accent6 2 5 7 2" xfId="24005"/>
    <cellStyle name="40% - Accent6 2 5 8" xfId="24151"/>
    <cellStyle name="40% - Accent6 2 6" xfId="4925"/>
    <cellStyle name="40% - Accent6 2 6 2" xfId="4926"/>
    <cellStyle name="40% - Accent6 2 6 2 2" xfId="11259"/>
    <cellStyle name="40% - Accent6 2 6 2 2 2" xfId="25201"/>
    <cellStyle name="40% - Accent6 2 6 2 3" xfId="24146"/>
    <cellStyle name="40% - Accent6 2 6 3" xfId="4927"/>
    <cellStyle name="40% - Accent6 2 6 3 2" xfId="13046"/>
    <cellStyle name="40% - Accent6 2 6 3 2 2" xfId="26758"/>
    <cellStyle name="40% - Accent6 2 6 3 3" xfId="26818"/>
    <cellStyle name="40% - Accent6 2 6 4" xfId="4928"/>
    <cellStyle name="40% - Accent6 2 6 4 2" xfId="15515"/>
    <cellStyle name="40% - Accent6 2 6 4 2 2" xfId="29064"/>
    <cellStyle name="40% - Accent6 2 6 4 3" xfId="22695"/>
    <cellStyle name="40% - Accent6 2 6 5" xfId="4929"/>
    <cellStyle name="40% - Accent6 2 6 5 2" xfId="17130"/>
    <cellStyle name="40% - Accent6 2 6 5 2 2" xfId="30489"/>
    <cellStyle name="40% - Accent6 2 6 5 3" xfId="26819"/>
    <cellStyle name="40% - Accent6 2 6 6" xfId="9532"/>
    <cellStyle name="40% - Accent6 2 6 6 2" xfId="24007"/>
    <cellStyle name="40% - Accent6 2 6 7" xfId="22696"/>
    <cellStyle name="40% - Accent6 2 7" xfId="4930"/>
    <cellStyle name="40% - Accent6 2 7 2" xfId="4931"/>
    <cellStyle name="40% - Accent6 2 7 2 2" xfId="11260"/>
    <cellStyle name="40% - Accent6 2 7 2 2 2" xfId="25202"/>
    <cellStyle name="40% - Accent6 2 7 2 3" xfId="22693"/>
    <cellStyle name="40% - Accent6 2 7 3" xfId="4932"/>
    <cellStyle name="40% - Accent6 2 7 3 2" xfId="13047"/>
    <cellStyle name="40% - Accent6 2 7 3 2 2" xfId="26759"/>
    <cellStyle name="40% - Accent6 2 7 3 3" xfId="24144"/>
    <cellStyle name="40% - Accent6 2 7 4" xfId="4933"/>
    <cellStyle name="40% - Accent6 2 7 4 2" xfId="15516"/>
    <cellStyle name="40% - Accent6 2 7 4 2 2" xfId="29065"/>
    <cellStyle name="40% - Accent6 2 7 4 3" xfId="24145"/>
    <cellStyle name="40% - Accent6 2 7 5" xfId="4934"/>
    <cellStyle name="40% - Accent6 2 7 5 2" xfId="17219"/>
    <cellStyle name="40% - Accent6 2 7 5 2 2" xfId="30578"/>
    <cellStyle name="40% - Accent6 2 7 5 3" xfId="22692"/>
    <cellStyle name="40% - Accent6 2 7 6" xfId="9533"/>
    <cellStyle name="40% - Accent6 2 7 6 2" xfId="24008"/>
    <cellStyle name="40% - Accent6 2 7 7" xfId="22694"/>
    <cellStyle name="40% - Accent6 2 8" xfId="4935"/>
    <cellStyle name="40% - Accent6 2 8 2" xfId="4936"/>
    <cellStyle name="40% - Accent6 2 8 2 2" xfId="13048"/>
    <cellStyle name="40% - Accent6 2 8 2 2 2" xfId="26760"/>
    <cellStyle name="40% - Accent6 2 8 2 3" xfId="24143"/>
    <cellStyle name="40% - Accent6 2 8 3" xfId="4937"/>
    <cellStyle name="40% - Accent6 2 8 3 2" xfId="15517"/>
    <cellStyle name="40% - Accent6 2 8 3 2 2" xfId="29066"/>
    <cellStyle name="40% - Accent6 2 8 3 3" xfId="22690"/>
    <cellStyle name="40% - Accent6 2 8 4" xfId="4938"/>
    <cellStyle name="40% - Accent6 2 8 4 2" xfId="16494"/>
    <cellStyle name="40% - Accent6 2 8 4 2 2" xfId="29901"/>
    <cellStyle name="40% - Accent6 2 8 4 3" xfId="24140"/>
    <cellStyle name="40% - Accent6 2 8 5" xfId="10539"/>
    <cellStyle name="40% - Accent6 2 8 5 2" xfId="24481"/>
    <cellStyle name="40% - Accent6 2 8 6" xfId="22691"/>
    <cellStyle name="40% - Accent6 2 9" xfId="4939"/>
    <cellStyle name="40% - Accent6 2 9 2" xfId="4940"/>
    <cellStyle name="40% - Accent6 2 9 2 2" xfId="13049"/>
    <cellStyle name="40% - Accent6 2 9 2 2 2" xfId="26761"/>
    <cellStyle name="40% - Accent6 2 9 2 3" xfId="25250"/>
    <cellStyle name="40% - Accent6 2 9 3" xfId="4941"/>
    <cellStyle name="40% - Accent6 2 9 3 2" xfId="15518"/>
    <cellStyle name="40% - Accent6 2 9 3 2 2" xfId="29067"/>
    <cellStyle name="40% - Accent6 2 9 3 3" xfId="22688"/>
    <cellStyle name="40% - Accent6 2 9 4" xfId="11242"/>
    <cellStyle name="40% - Accent6 2 9 4 2" xfId="25184"/>
    <cellStyle name="40% - Accent6 2 9 5" xfId="22689"/>
    <cellStyle name="40% - Accent6 20" xfId="4942"/>
    <cellStyle name="40% - Accent6 20 2" xfId="4943"/>
    <cellStyle name="40% - Accent6 20 2 2" xfId="13050"/>
    <cellStyle name="40% - Accent6 20 2 2 2" xfId="26762"/>
    <cellStyle name="40% - Accent6 20 2 3" xfId="29136"/>
    <cellStyle name="40% - Accent6 20 3" xfId="4944"/>
    <cellStyle name="40% - Accent6 20 3 2" xfId="15519"/>
    <cellStyle name="40% - Accent6 20 3 2 2" xfId="29068"/>
    <cellStyle name="40% - Accent6 20 3 3" xfId="22687"/>
    <cellStyle name="40% - Accent6 20 4" xfId="10514"/>
    <cellStyle name="40% - Accent6 20 4 2" xfId="24462"/>
    <cellStyle name="40% - Accent6 20 5" xfId="24440"/>
    <cellStyle name="40% - Accent6 21" xfId="4945"/>
    <cellStyle name="40% - Accent6 21 2" xfId="4946"/>
    <cellStyle name="40% - Accent6 21 2 2" xfId="13051"/>
    <cellStyle name="40% - Accent6 21 2 2 2" xfId="26763"/>
    <cellStyle name="40% - Accent6 21 2 3" xfId="24142"/>
    <cellStyle name="40% - Accent6 21 3" xfId="4947"/>
    <cellStyle name="40% - Accent6 21 3 2" xfId="15520"/>
    <cellStyle name="40% - Accent6 21 3 2 2" xfId="29069"/>
    <cellStyle name="40% - Accent6 21 3 3" xfId="22685"/>
    <cellStyle name="40% - Accent6 21 4" xfId="11231"/>
    <cellStyle name="40% - Accent6 21 4 2" xfId="25173"/>
    <cellStyle name="40% - Accent6 21 5" xfId="22686"/>
    <cellStyle name="40% - Accent6 22" xfId="4948"/>
    <cellStyle name="40% - Accent6 22 2" xfId="11750"/>
    <cellStyle name="40% - Accent6 22 2 2" xfId="25465"/>
    <cellStyle name="40% - Accent6 22 3" xfId="24141"/>
    <cellStyle name="40% - Accent6 23" xfId="4949"/>
    <cellStyle name="40% - Accent6 23 2" xfId="13016"/>
    <cellStyle name="40% - Accent6 23 2 2" xfId="26728"/>
    <cellStyle name="40% - Accent6 23 3" xfId="22684"/>
    <cellStyle name="40% - Accent6 24" xfId="4950"/>
    <cellStyle name="40% - Accent6 24 2" xfId="13389"/>
    <cellStyle name="40% - Accent6 24 2 2" xfId="26938"/>
    <cellStyle name="40% - Accent6 24 3" xfId="23249"/>
    <cellStyle name="40% - Accent6 25" xfId="4951"/>
    <cellStyle name="40% - Accent6 25 2" xfId="13970"/>
    <cellStyle name="40% - Accent6 25 2 2" xfId="27519"/>
    <cellStyle name="40% - Accent6 25 3" xfId="24139"/>
    <cellStyle name="40% - Accent6 26" xfId="4952"/>
    <cellStyle name="40% - Accent6 26 2" xfId="15477"/>
    <cellStyle name="40% - Accent6 26 2 2" xfId="29026"/>
    <cellStyle name="40% - Accent6 26 3" xfId="22683"/>
    <cellStyle name="40% - Accent6 27" xfId="4953"/>
    <cellStyle name="40% - Accent6 27 2" xfId="15830"/>
    <cellStyle name="40% - Accent6 27 2 2" xfId="29237"/>
    <cellStyle name="40% - Accent6 27 3" xfId="24138"/>
    <cellStyle name="40% - Accent6 28" xfId="4954"/>
    <cellStyle name="40% - Accent6 28 2" xfId="15856"/>
    <cellStyle name="40% - Accent6 28 2 2" xfId="29263"/>
    <cellStyle name="40% - Accent6 28 3" xfId="22682"/>
    <cellStyle name="40% - Accent6 29" xfId="4955"/>
    <cellStyle name="40% - Accent6 29 2" xfId="9504"/>
    <cellStyle name="40% - Accent6 29 2 2" xfId="23979"/>
    <cellStyle name="40% - Accent6 29 3" xfId="24137"/>
    <cellStyle name="40% - Accent6 3" xfId="4956"/>
    <cellStyle name="40% - Accent6 3 10" xfId="4957"/>
    <cellStyle name="40% - Accent6 3 10 2" xfId="14050"/>
    <cellStyle name="40% - Accent6 3 10 2 2" xfId="27599"/>
    <cellStyle name="40% - Accent6 3 10 3" xfId="24136"/>
    <cellStyle name="40% - Accent6 3 11" xfId="4958"/>
    <cellStyle name="40% - Accent6 3 11 2" xfId="15521"/>
    <cellStyle name="40% - Accent6 3 11 2 2" xfId="29070"/>
    <cellStyle name="40% - Accent6 3 11 3" xfId="22680"/>
    <cellStyle name="40% - Accent6 3 12" xfId="4959"/>
    <cellStyle name="40% - Accent6 3 12 2" xfId="15936"/>
    <cellStyle name="40% - Accent6 3 12 2 2" xfId="29343"/>
    <cellStyle name="40% - Accent6 3 12 3" xfId="24134"/>
    <cellStyle name="40% - Accent6 3 13" xfId="9534"/>
    <cellStyle name="40% - Accent6 3 13 2" xfId="24009"/>
    <cellStyle name="40% - Accent6 3 14" xfId="22681"/>
    <cellStyle name="40% - Accent6 3 2" xfId="4960"/>
    <cellStyle name="40% - Accent6 3 2 10" xfId="4961"/>
    <cellStyle name="40% - Accent6 3 2 10 2" xfId="16079"/>
    <cellStyle name="40% - Accent6 3 2 10 2 2" xfId="29486"/>
    <cellStyle name="40% - Accent6 3 2 10 3" xfId="22679"/>
    <cellStyle name="40% - Accent6 3 2 11" xfId="9535"/>
    <cellStyle name="40% - Accent6 3 2 11 2" xfId="24010"/>
    <cellStyle name="40% - Accent6 3 2 12" xfId="24135"/>
    <cellStyle name="40% - Accent6 3 2 2" xfId="4962"/>
    <cellStyle name="40% - Accent6 3 2 2 10" xfId="9536"/>
    <cellStyle name="40% - Accent6 3 2 2 10 2" xfId="24011"/>
    <cellStyle name="40% - Accent6 3 2 2 11" xfId="22678"/>
    <cellStyle name="40% - Accent6 3 2 2 2" xfId="4963"/>
    <cellStyle name="40% - Accent6 3 2 2 2 2" xfId="4964"/>
    <cellStyle name="40% - Accent6 3 2 2 2 2 2" xfId="11264"/>
    <cellStyle name="40% - Accent6 3 2 2 2 2 2 2" xfId="25206"/>
    <cellStyle name="40% - Accent6 3 2 2 2 2 3" xfId="26816"/>
    <cellStyle name="40% - Accent6 3 2 2 2 3" xfId="4965"/>
    <cellStyle name="40% - Accent6 3 2 2 2 3 2" xfId="13055"/>
    <cellStyle name="40% - Accent6 3 2 2 2 3 2 2" xfId="26767"/>
    <cellStyle name="40% - Accent6 3 2 2 2 3 3" xfId="22677"/>
    <cellStyle name="40% - Accent6 3 2 2 2 4" xfId="4966"/>
    <cellStyle name="40% - Accent6 3 2 2 2 4 2" xfId="15524"/>
    <cellStyle name="40% - Accent6 3 2 2 2 4 2 2" xfId="29073"/>
    <cellStyle name="40% - Accent6 3 2 2 2 4 3" xfId="26817"/>
    <cellStyle name="40% - Accent6 3 2 2 2 5" xfId="4967"/>
    <cellStyle name="40% - Accent6 3 2 2 2 5 2" xfId="16949"/>
    <cellStyle name="40% - Accent6 3 2 2 2 5 2 2" xfId="30356"/>
    <cellStyle name="40% - Accent6 3 2 2 2 5 3" xfId="22676"/>
    <cellStyle name="40% - Accent6 3 2 2 2 6" xfId="9537"/>
    <cellStyle name="40% - Accent6 3 2 2 2 6 2" xfId="24012"/>
    <cellStyle name="40% - Accent6 3 2 2 2 7" xfId="24133"/>
    <cellStyle name="40% - Accent6 3 2 2 3" xfId="4968"/>
    <cellStyle name="40% - Accent6 3 2 2 3 2" xfId="4969"/>
    <cellStyle name="40% - Accent6 3 2 2 3 2 2" xfId="15525"/>
    <cellStyle name="40% - Accent6 3 2 2 3 2 2 2" xfId="29074"/>
    <cellStyle name="40% - Accent6 3 2 2 3 2 3" xfId="24131"/>
    <cellStyle name="40% - Accent6 3 2 2 3 3" xfId="11263"/>
    <cellStyle name="40% - Accent6 3 2 2 3 3 2" xfId="25205"/>
    <cellStyle name="40% - Accent6 3 2 2 3 4" xfId="22675"/>
    <cellStyle name="40% - Accent6 3 2 2 4" xfId="4970"/>
    <cellStyle name="40% - Accent6 3 2 2 4 2" xfId="12337"/>
    <cellStyle name="40% - Accent6 3 2 2 4 2 2" xfId="26049"/>
    <cellStyle name="40% - Accent6 3 2 2 4 3" xfId="24132"/>
    <cellStyle name="40% - Accent6 3 2 2 5" xfId="4971"/>
    <cellStyle name="40% - Accent6 3 2 2 5 2" xfId="13054"/>
    <cellStyle name="40% - Accent6 3 2 2 5 2 2" xfId="26766"/>
    <cellStyle name="40% - Accent6 3 2 2 5 3" xfId="22674"/>
    <cellStyle name="40% - Accent6 3 2 2 6" xfId="4972"/>
    <cellStyle name="40% - Accent6 3 2 2 6 2" xfId="13901"/>
    <cellStyle name="40% - Accent6 3 2 2 6 2 2" xfId="27450"/>
    <cellStyle name="40% - Accent6 3 2 2 6 3" xfId="22673"/>
    <cellStyle name="40% - Accent6 3 2 2 7" xfId="4973"/>
    <cellStyle name="40% - Accent6 3 2 2 7 2" xfId="14482"/>
    <cellStyle name="40% - Accent6 3 2 2 7 2 2" xfId="28031"/>
    <cellStyle name="40% - Accent6 3 2 2 7 3" xfId="24130"/>
    <cellStyle name="40% - Accent6 3 2 2 8" xfId="4974"/>
    <cellStyle name="40% - Accent6 3 2 2 8 2" xfId="15523"/>
    <cellStyle name="40% - Accent6 3 2 2 8 2 2" xfId="29072"/>
    <cellStyle name="40% - Accent6 3 2 2 8 3" xfId="22672"/>
    <cellStyle name="40% - Accent6 3 2 2 9" xfId="4975"/>
    <cellStyle name="40% - Accent6 3 2 2 9 2" xfId="16368"/>
    <cellStyle name="40% - Accent6 3 2 2 9 2 2" xfId="29775"/>
    <cellStyle name="40% - Accent6 3 2 2 9 3" xfId="24127"/>
    <cellStyle name="40% - Accent6 3 2 3" xfId="4976"/>
    <cellStyle name="40% - Accent6 3 2 3 2" xfId="4977"/>
    <cellStyle name="40% - Accent6 3 2 3 2 2" xfId="11265"/>
    <cellStyle name="40% - Accent6 3 2 3 2 2 2" xfId="25207"/>
    <cellStyle name="40% - Accent6 3 2 3 2 3" xfId="25249"/>
    <cellStyle name="40% - Accent6 3 2 3 3" xfId="4978"/>
    <cellStyle name="40% - Accent6 3 2 3 3 2" xfId="13056"/>
    <cellStyle name="40% - Accent6 3 2 3 3 2 2" xfId="26768"/>
    <cellStyle name="40% - Accent6 3 2 3 3 3" xfId="22670"/>
    <cellStyle name="40% - Accent6 3 2 3 4" xfId="4979"/>
    <cellStyle name="40% - Accent6 3 2 3 4 2" xfId="15526"/>
    <cellStyle name="40% - Accent6 3 2 3 4 2 2" xfId="29075"/>
    <cellStyle name="40% - Accent6 3 2 3 4 3" xfId="24439"/>
    <cellStyle name="40% - Accent6 3 2 3 5" xfId="4980"/>
    <cellStyle name="40% - Accent6 3 2 3 5 2" xfId="16660"/>
    <cellStyle name="40% - Accent6 3 2 3 5 2 2" xfId="30067"/>
    <cellStyle name="40% - Accent6 3 2 3 5 3" xfId="29135"/>
    <cellStyle name="40% - Accent6 3 2 3 6" xfId="9538"/>
    <cellStyle name="40% - Accent6 3 2 3 6 2" xfId="24013"/>
    <cellStyle name="40% - Accent6 3 2 3 7" xfId="22671"/>
    <cellStyle name="40% - Accent6 3 2 4" xfId="4981"/>
    <cellStyle name="40% - Accent6 3 2 4 2" xfId="4982"/>
    <cellStyle name="40% - Accent6 3 2 4 2 2" xfId="15527"/>
    <cellStyle name="40% - Accent6 3 2 4 2 2 2" xfId="29076"/>
    <cellStyle name="40% - Accent6 3 2 4 2 3" xfId="22668"/>
    <cellStyle name="40% - Accent6 3 2 4 3" xfId="11262"/>
    <cellStyle name="40% - Accent6 3 2 4 3 2" xfId="25204"/>
    <cellStyle name="40% - Accent6 3 2 4 4" xfId="22669"/>
    <cellStyle name="40% - Accent6 3 2 5" xfId="4983"/>
    <cellStyle name="40% - Accent6 3 2 5 2" xfId="12037"/>
    <cellStyle name="40% - Accent6 3 2 5 2 2" xfId="25752"/>
    <cellStyle name="40% - Accent6 3 2 5 3" xfId="24129"/>
    <cellStyle name="40% - Accent6 3 2 6" xfId="4984"/>
    <cellStyle name="40% - Accent6 3 2 6 2" xfId="13053"/>
    <cellStyle name="40% - Accent6 3 2 6 2 2" xfId="26765"/>
    <cellStyle name="40% - Accent6 3 2 6 3" xfId="22667"/>
    <cellStyle name="40% - Accent6 3 2 7" xfId="4985"/>
    <cellStyle name="40% - Accent6 3 2 7 2" xfId="13612"/>
    <cellStyle name="40% - Accent6 3 2 7 2 2" xfId="27161"/>
    <cellStyle name="40% - Accent6 3 2 7 3" xfId="24128"/>
    <cellStyle name="40% - Accent6 3 2 8" xfId="4986"/>
    <cellStyle name="40% - Accent6 3 2 8 2" xfId="14193"/>
    <cellStyle name="40% - Accent6 3 2 8 2 2" xfId="27742"/>
    <cellStyle name="40% - Accent6 3 2 8 3" xfId="22666"/>
    <cellStyle name="40% - Accent6 3 2 9" xfId="4987"/>
    <cellStyle name="40% - Accent6 3 2 9 2" xfId="15522"/>
    <cellStyle name="40% - Accent6 3 2 9 2 2" xfId="29071"/>
    <cellStyle name="40% - Accent6 3 2 9 3" xfId="23245"/>
    <cellStyle name="40% - Accent6 3 3" xfId="4988"/>
    <cellStyle name="40% - Accent6 3 3 10" xfId="9539"/>
    <cellStyle name="40% - Accent6 3 3 10 2" xfId="24014"/>
    <cellStyle name="40% - Accent6 3 3 11" xfId="24126"/>
    <cellStyle name="40% - Accent6 3 3 2" xfId="4989"/>
    <cellStyle name="40% - Accent6 3 3 2 2" xfId="4990"/>
    <cellStyle name="40% - Accent6 3 3 2 2 2" xfId="11267"/>
    <cellStyle name="40% - Accent6 3 3 2 2 2 2" xfId="25209"/>
    <cellStyle name="40% - Accent6 3 3 2 2 3" xfId="24125"/>
    <cellStyle name="40% - Accent6 3 3 2 3" xfId="4991"/>
    <cellStyle name="40% - Accent6 3 3 2 3 2" xfId="13058"/>
    <cellStyle name="40% - Accent6 3 3 2 3 2 2" xfId="26770"/>
    <cellStyle name="40% - Accent6 3 3 2 3 3" xfId="22664"/>
    <cellStyle name="40% - Accent6 3 3 2 4" xfId="4992"/>
    <cellStyle name="40% - Accent6 3 3 2 4 2" xfId="15529"/>
    <cellStyle name="40% - Accent6 3 3 2 4 2 2" xfId="29078"/>
    <cellStyle name="40% - Accent6 3 3 2 4 3" xfId="24124"/>
    <cellStyle name="40% - Accent6 3 3 2 5" xfId="4993"/>
    <cellStyle name="40% - Accent6 3 3 2 5 2" xfId="16806"/>
    <cellStyle name="40% - Accent6 3 3 2 5 2 2" xfId="30213"/>
    <cellStyle name="40% - Accent6 3 3 2 5 3" xfId="22663"/>
    <cellStyle name="40% - Accent6 3 3 2 6" xfId="9540"/>
    <cellStyle name="40% - Accent6 3 3 2 6 2" xfId="24015"/>
    <cellStyle name="40% - Accent6 3 3 2 7" xfId="22665"/>
    <cellStyle name="40% - Accent6 3 3 3" xfId="4994"/>
    <cellStyle name="40% - Accent6 3 3 3 2" xfId="4995"/>
    <cellStyle name="40% - Accent6 3 3 3 2 2" xfId="15530"/>
    <cellStyle name="40% - Accent6 3 3 3 2 2 2" xfId="29079"/>
    <cellStyle name="40% - Accent6 3 3 3 2 3" xfId="22662"/>
    <cellStyle name="40% - Accent6 3 3 3 3" xfId="11266"/>
    <cellStyle name="40% - Accent6 3 3 3 3 2" xfId="25208"/>
    <cellStyle name="40% - Accent6 3 3 3 4" xfId="24123"/>
    <cellStyle name="40% - Accent6 3 3 4" xfId="4996"/>
    <cellStyle name="40% - Accent6 3 3 4 2" xfId="12194"/>
    <cellStyle name="40% - Accent6 3 3 4 2 2" xfId="25906"/>
    <cellStyle name="40% - Accent6 3 3 4 3" xfId="24121"/>
    <cellStyle name="40% - Accent6 3 3 5" xfId="4997"/>
    <cellStyle name="40% - Accent6 3 3 5 2" xfId="13057"/>
    <cellStyle name="40% - Accent6 3 3 5 2 2" xfId="26769"/>
    <cellStyle name="40% - Accent6 3 3 5 3" xfId="24122"/>
    <cellStyle name="40% - Accent6 3 3 6" xfId="4998"/>
    <cellStyle name="40% - Accent6 3 3 6 2" xfId="13758"/>
    <cellStyle name="40% - Accent6 3 3 6 2 2" xfId="27307"/>
    <cellStyle name="40% - Accent6 3 3 6 3" xfId="22661"/>
    <cellStyle name="40% - Accent6 3 3 7" xfId="4999"/>
    <cellStyle name="40% - Accent6 3 3 7 2" xfId="14339"/>
    <cellStyle name="40% - Accent6 3 3 7 2 2" xfId="27888"/>
    <cellStyle name="40% - Accent6 3 3 7 3" xfId="22660"/>
    <cellStyle name="40% - Accent6 3 3 8" xfId="5000"/>
    <cellStyle name="40% - Accent6 3 3 8 2" xfId="15528"/>
    <cellStyle name="40% - Accent6 3 3 8 2 2" xfId="29077"/>
    <cellStyle name="40% - Accent6 3 3 8 3" xfId="24120"/>
    <cellStyle name="40% - Accent6 3 3 9" xfId="5001"/>
    <cellStyle name="40% - Accent6 3 3 9 2" xfId="16225"/>
    <cellStyle name="40% - Accent6 3 3 9 2 2" xfId="29632"/>
    <cellStyle name="40% - Accent6 3 3 9 3" xfId="26814"/>
    <cellStyle name="40% - Accent6 3 4" xfId="5002"/>
    <cellStyle name="40% - Accent6 3 4 2" xfId="5003"/>
    <cellStyle name="40% - Accent6 3 4 2 2" xfId="11268"/>
    <cellStyle name="40% - Accent6 3 4 2 2 2" xfId="25210"/>
    <cellStyle name="40% - Accent6 3 4 2 3" xfId="26815"/>
    <cellStyle name="40% - Accent6 3 4 3" xfId="5004"/>
    <cellStyle name="40% - Accent6 3 4 3 2" xfId="13059"/>
    <cellStyle name="40% - Accent6 3 4 3 2 2" xfId="26771"/>
    <cellStyle name="40% - Accent6 3 4 3 3" xfId="22658"/>
    <cellStyle name="40% - Accent6 3 4 4" xfId="5005"/>
    <cellStyle name="40% - Accent6 3 4 4 2" xfId="15531"/>
    <cellStyle name="40% - Accent6 3 4 4 2 2" xfId="29080"/>
    <cellStyle name="40% - Accent6 3 4 4 3" xfId="22657"/>
    <cellStyle name="40% - Accent6 3 4 5" xfId="5006"/>
    <cellStyle name="40% - Accent6 3 4 5 2" xfId="17153"/>
    <cellStyle name="40% - Accent6 3 4 5 2 2" xfId="30512"/>
    <cellStyle name="40% - Accent6 3 4 5 3" xfId="24118"/>
    <cellStyle name="40% - Accent6 3 4 6" xfId="9541"/>
    <cellStyle name="40% - Accent6 3 4 6 2" xfId="24016"/>
    <cellStyle name="40% - Accent6 3 4 7" xfId="22659"/>
    <cellStyle name="40% - Accent6 3 5" xfId="5007"/>
    <cellStyle name="40% - Accent6 3 5 2" xfId="5008"/>
    <cellStyle name="40% - Accent6 3 5 2 2" xfId="11269"/>
    <cellStyle name="40% - Accent6 3 5 2 2 2" xfId="25211"/>
    <cellStyle name="40% - Accent6 3 5 2 3" xfId="22656"/>
    <cellStyle name="40% - Accent6 3 5 3" xfId="5009"/>
    <cellStyle name="40% - Accent6 3 5 3 2" xfId="13060"/>
    <cellStyle name="40% - Accent6 3 5 3 2 2" xfId="26772"/>
    <cellStyle name="40% - Accent6 3 5 3 3" xfId="22655"/>
    <cellStyle name="40% - Accent6 3 5 4" xfId="5010"/>
    <cellStyle name="40% - Accent6 3 5 4 2" xfId="15532"/>
    <cellStyle name="40% - Accent6 3 5 4 2 2" xfId="29081"/>
    <cellStyle name="40% - Accent6 3 5 4 3" xfId="24117"/>
    <cellStyle name="40% - Accent6 3 5 5" xfId="5011"/>
    <cellStyle name="40% - Accent6 3 5 5 2" xfId="17242"/>
    <cellStyle name="40% - Accent6 3 5 5 2 2" xfId="30601"/>
    <cellStyle name="40% - Accent6 3 5 5 3" xfId="22654"/>
    <cellStyle name="40% - Accent6 3 5 6" xfId="9542"/>
    <cellStyle name="40% - Accent6 3 5 6 2" xfId="24017"/>
    <cellStyle name="40% - Accent6 3 5 7" xfId="24119"/>
    <cellStyle name="40% - Accent6 3 6" xfId="5012"/>
    <cellStyle name="40% - Accent6 3 6 2" xfId="5013"/>
    <cellStyle name="40% - Accent6 3 6 2 2" xfId="15533"/>
    <cellStyle name="40% - Accent6 3 6 2 2 2" xfId="29082"/>
    <cellStyle name="40% - Accent6 3 6 2 3" xfId="22653"/>
    <cellStyle name="40% - Accent6 3 6 3" xfId="5014"/>
    <cellStyle name="40% - Accent6 3 6 3 2" xfId="16517"/>
    <cellStyle name="40% - Accent6 3 6 3 2 2" xfId="29924"/>
    <cellStyle name="40% - Accent6 3 6 3 3" xfId="25248"/>
    <cellStyle name="40% - Accent6 3 6 4" xfId="11261"/>
    <cellStyle name="40% - Accent6 3 6 4 2" xfId="25203"/>
    <cellStyle name="40% - Accent6 3 6 5" xfId="24114"/>
    <cellStyle name="40% - Accent6 3 7" xfId="5015"/>
    <cellStyle name="40% - Accent6 3 7 2" xfId="11889"/>
    <cellStyle name="40% - Accent6 3 7 2 2" xfId="25604"/>
    <cellStyle name="40% - Accent6 3 7 3" xfId="22652"/>
    <cellStyle name="40% - Accent6 3 8" xfId="5016"/>
    <cellStyle name="40% - Accent6 3 8 2" xfId="13052"/>
    <cellStyle name="40% - Accent6 3 8 2 2" xfId="26764"/>
    <cellStyle name="40% - Accent6 3 8 3" xfId="24438"/>
    <cellStyle name="40% - Accent6 3 9" xfId="5017"/>
    <cellStyle name="40% - Accent6 3 9 2" xfId="13469"/>
    <cellStyle name="40% - Accent6 3 9 2 2" xfId="27018"/>
    <cellStyle name="40% - Accent6 3 9 3" xfId="29134"/>
    <cellStyle name="40% - Accent6 30" xfId="23264"/>
    <cellStyle name="40% - Accent6 4" xfId="5018"/>
    <cellStyle name="40% - Accent6 4 10" xfId="5019"/>
    <cellStyle name="40% - Accent6 4 10 2" xfId="15534"/>
    <cellStyle name="40% - Accent6 4 10 2 2" xfId="29083"/>
    <cellStyle name="40% - Accent6 4 10 3" xfId="22650"/>
    <cellStyle name="40% - Accent6 4 11" xfId="5020"/>
    <cellStyle name="40% - Accent6 4 11 2" xfId="15890"/>
    <cellStyle name="40% - Accent6 4 11 2 2" xfId="29297"/>
    <cellStyle name="40% - Accent6 4 11 3" xfId="24116"/>
    <cellStyle name="40% - Accent6 4 12" xfId="9543"/>
    <cellStyle name="40% - Accent6 4 12 2" xfId="24018"/>
    <cellStyle name="40% - Accent6 4 13" xfId="22651"/>
    <cellStyle name="40% - Accent6 4 2" xfId="5021"/>
    <cellStyle name="40% - Accent6 4 2 10" xfId="5022"/>
    <cellStyle name="40% - Accent6 4 2 10 2" xfId="16033"/>
    <cellStyle name="40% - Accent6 4 2 10 2 2" xfId="29440"/>
    <cellStyle name="40% - Accent6 4 2 10 3" xfId="24115"/>
    <cellStyle name="40% - Accent6 4 2 11" xfId="9544"/>
    <cellStyle name="40% - Accent6 4 2 11 2" xfId="24019"/>
    <cellStyle name="40% - Accent6 4 2 12" xfId="22649"/>
    <cellStyle name="40% - Accent6 4 2 2" xfId="5023"/>
    <cellStyle name="40% - Accent6 4 2 2 10" xfId="9545"/>
    <cellStyle name="40% - Accent6 4 2 2 10 2" xfId="24020"/>
    <cellStyle name="40% - Accent6 4 2 2 11" xfId="22648"/>
    <cellStyle name="40% - Accent6 4 2 2 2" xfId="5024"/>
    <cellStyle name="40% - Accent6 4 2 2 2 2" xfId="5025"/>
    <cellStyle name="40% - Accent6 4 2 2 2 2 2" xfId="11273"/>
    <cellStyle name="40% - Accent6 4 2 2 2 2 2 2" xfId="25215"/>
    <cellStyle name="40% - Accent6 4 2 2 2 2 3" xfId="24113"/>
    <cellStyle name="40% - Accent6 4 2 2 2 3" xfId="5026"/>
    <cellStyle name="40% - Accent6 4 2 2 2 3 2" xfId="13064"/>
    <cellStyle name="40% - Accent6 4 2 2 2 3 2 2" xfId="26776"/>
    <cellStyle name="40% - Accent6 4 2 2 2 3 3" xfId="22647"/>
    <cellStyle name="40% - Accent6 4 2 2 2 4" xfId="5027"/>
    <cellStyle name="40% - Accent6 4 2 2 2 4 2" xfId="15537"/>
    <cellStyle name="40% - Accent6 4 2 2 2 4 2 2" xfId="29086"/>
    <cellStyle name="40% - Accent6 4 2 2 2 4 3" xfId="24112"/>
    <cellStyle name="40% - Accent6 4 2 2 2 5" xfId="5028"/>
    <cellStyle name="40% - Accent6 4 2 2 2 5 2" xfId="16903"/>
    <cellStyle name="40% - Accent6 4 2 2 2 5 2 2" xfId="30310"/>
    <cellStyle name="40% - Accent6 4 2 2 2 5 3" xfId="22646"/>
    <cellStyle name="40% - Accent6 4 2 2 2 6" xfId="9546"/>
    <cellStyle name="40% - Accent6 4 2 2 2 6 2" xfId="24021"/>
    <cellStyle name="40% - Accent6 4 2 2 2 7" xfId="23265"/>
    <cellStyle name="40% - Accent6 4 2 2 3" xfId="5029"/>
    <cellStyle name="40% - Accent6 4 2 2 3 2" xfId="5030"/>
    <cellStyle name="40% - Accent6 4 2 2 3 2 2" xfId="15538"/>
    <cellStyle name="40% - Accent6 4 2 2 3 2 2 2" xfId="29087"/>
    <cellStyle name="40% - Accent6 4 2 2 3 2 3" xfId="22645"/>
    <cellStyle name="40% - Accent6 4 2 2 3 3" xfId="11272"/>
    <cellStyle name="40% - Accent6 4 2 2 3 3 2" xfId="25214"/>
    <cellStyle name="40% - Accent6 4 2 2 3 4" xfId="24111"/>
    <cellStyle name="40% - Accent6 4 2 2 4" xfId="5031"/>
    <cellStyle name="40% - Accent6 4 2 2 4 2" xfId="12291"/>
    <cellStyle name="40% - Accent6 4 2 2 4 2 2" xfId="26003"/>
    <cellStyle name="40% - Accent6 4 2 2 4 3" xfId="24110"/>
    <cellStyle name="40% - Accent6 4 2 2 5" xfId="5032"/>
    <cellStyle name="40% - Accent6 4 2 2 5 2" xfId="13063"/>
    <cellStyle name="40% - Accent6 4 2 2 5 2 2" xfId="26775"/>
    <cellStyle name="40% - Accent6 4 2 2 5 3" xfId="22644"/>
    <cellStyle name="40% - Accent6 4 2 2 6" xfId="5033"/>
    <cellStyle name="40% - Accent6 4 2 2 6 2" xfId="13855"/>
    <cellStyle name="40% - Accent6 4 2 2 6 2 2" xfId="27404"/>
    <cellStyle name="40% - Accent6 4 2 2 6 3" xfId="24108"/>
    <cellStyle name="40% - Accent6 4 2 2 7" xfId="5034"/>
    <cellStyle name="40% - Accent6 4 2 2 7 2" xfId="14436"/>
    <cellStyle name="40% - Accent6 4 2 2 7 2 2" xfId="27985"/>
    <cellStyle name="40% - Accent6 4 2 2 7 3" xfId="24109"/>
    <cellStyle name="40% - Accent6 4 2 2 8" xfId="5035"/>
    <cellStyle name="40% - Accent6 4 2 2 8 2" xfId="15536"/>
    <cellStyle name="40% - Accent6 4 2 2 8 2 2" xfId="29085"/>
    <cellStyle name="40% - Accent6 4 2 2 8 3" xfId="22643"/>
    <cellStyle name="40% - Accent6 4 2 2 9" xfId="5036"/>
    <cellStyle name="40% - Accent6 4 2 2 9 2" xfId="16322"/>
    <cellStyle name="40% - Accent6 4 2 2 9 2 2" xfId="29729"/>
    <cellStyle name="40% - Accent6 4 2 2 9 3" xfId="22642"/>
    <cellStyle name="40% - Accent6 4 2 3" xfId="5037"/>
    <cellStyle name="40% - Accent6 4 2 3 2" xfId="5038"/>
    <cellStyle name="40% - Accent6 4 2 3 2 2" xfId="11274"/>
    <cellStyle name="40% - Accent6 4 2 3 2 2 2" xfId="25216"/>
    <cellStyle name="40% - Accent6 4 2 3 2 3" xfId="26812"/>
    <cellStyle name="40% - Accent6 4 2 3 3" xfId="5039"/>
    <cellStyle name="40% - Accent6 4 2 3 3 2" xfId="13065"/>
    <cellStyle name="40% - Accent6 4 2 3 3 2 2" xfId="26777"/>
    <cellStyle name="40% - Accent6 4 2 3 3 3" xfId="22641"/>
    <cellStyle name="40% - Accent6 4 2 3 4" xfId="5040"/>
    <cellStyle name="40% - Accent6 4 2 3 4 2" xfId="15539"/>
    <cellStyle name="40% - Accent6 4 2 3 4 2 2" xfId="29088"/>
    <cellStyle name="40% - Accent6 4 2 3 4 3" xfId="26813"/>
    <cellStyle name="40% - Accent6 4 2 3 5" xfId="5041"/>
    <cellStyle name="40% - Accent6 4 2 3 5 2" xfId="16614"/>
    <cellStyle name="40% - Accent6 4 2 3 5 2 2" xfId="30021"/>
    <cellStyle name="40% - Accent6 4 2 3 5 3" xfId="22640"/>
    <cellStyle name="40% - Accent6 4 2 3 6" xfId="9547"/>
    <cellStyle name="40% - Accent6 4 2 3 6 2" xfId="24022"/>
    <cellStyle name="40% - Accent6 4 2 3 7" xfId="24107"/>
    <cellStyle name="40% - Accent6 4 2 4" xfId="5042"/>
    <cellStyle name="40% - Accent6 4 2 4 2" xfId="5043"/>
    <cellStyle name="40% - Accent6 4 2 4 2 2" xfId="15540"/>
    <cellStyle name="40% - Accent6 4 2 4 2 2 2" xfId="29089"/>
    <cellStyle name="40% - Accent6 4 2 4 2 3" xfId="24105"/>
    <cellStyle name="40% - Accent6 4 2 4 3" xfId="11271"/>
    <cellStyle name="40% - Accent6 4 2 4 3 2" xfId="25213"/>
    <cellStyle name="40% - Accent6 4 2 4 4" xfId="22639"/>
    <cellStyle name="40% - Accent6 4 2 5" xfId="5044"/>
    <cellStyle name="40% - Accent6 4 2 5 2" xfId="11991"/>
    <cellStyle name="40% - Accent6 4 2 5 2 2" xfId="25706"/>
    <cellStyle name="40% - Accent6 4 2 5 3" xfId="24106"/>
    <cellStyle name="40% - Accent6 4 2 6" xfId="5045"/>
    <cellStyle name="40% - Accent6 4 2 6 2" xfId="13062"/>
    <cellStyle name="40% - Accent6 4 2 6 2 2" xfId="26774"/>
    <cellStyle name="40% - Accent6 4 2 6 3" xfId="22638"/>
    <cellStyle name="40% - Accent6 4 2 7" xfId="5046"/>
    <cellStyle name="40% - Accent6 4 2 7 2" xfId="13566"/>
    <cellStyle name="40% - Accent6 4 2 7 2 2" xfId="27115"/>
    <cellStyle name="40% - Accent6 4 2 7 3" xfId="22637"/>
    <cellStyle name="40% - Accent6 4 2 8" xfId="5047"/>
    <cellStyle name="40% - Accent6 4 2 8 2" xfId="14147"/>
    <cellStyle name="40% - Accent6 4 2 8 2 2" xfId="27696"/>
    <cellStyle name="40% - Accent6 4 2 8 3" xfId="24104"/>
    <cellStyle name="40% - Accent6 4 2 9" xfId="5048"/>
    <cellStyle name="40% - Accent6 4 2 9 2" xfId="15535"/>
    <cellStyle name="40% - Accent6 4 2 9 2 2" xfId="29084"/>
    <cellStyle name="40% - Accent6 4 2 9 3" xfId="22636"/>
    <cellStyle name="40% - Accent6 4 3" xfId="5049"/>
    <cellStyle name="40% - Accent6 4 3 10" xfId="9548"/>
    <cellStyle name="40% - Accent6 4 3 10 2" xfId="24023"/>
    <cellStyle name="40% - Accent6 4 3 11" xfId="24101"/>
    <cellStyle name="40% - Accent6 4 3 2" xfId="5050"/>
    <cellStyle name="40% - Accent6 4 3 2 2" xfId="5051"/>
    <cellStyle name="40% - Accent6 4 3 2 2 2" xfId="11276"/>
    <cellStyle name="40% - Accent6 4 3 2 2 2 2" xfId="25218"/>
    <cellStyle name="40% - Accent6 4 3 2 2 3" xfId="25247"/>
    <cellStyle name="40% - Accent6 4 3 2 3" xfId="5052"/>
    <cellStyle name="40% - Accent6 4 3 2 3 2" xfId="13067"/>
    <cellStyle name="40% - Accent6 4 3 2 3 2 2" xfId="26779"/>
    <cellStyle name="40% - Accent6 4 3 2 3 3" xfId="22634"/>
    <cellStyle name="40% - Accent6 4 3 2 4" xfId="5053"/>
    <cellStyle name="40% - Accent6 4 3 2 4 2" xfId="15542"/>
    <cellStyle name="40% - Accent6 4 3 2 4 2 2" xfId="29091"/>
    <cellStyle name="40% - Accent6 4 3 2 4 3" xfId="24437"/>
    <cellStyle name="40% - Accent6 4 3 2 5" xfId="5054"/>
    <cellStyle name="40% - Accent6 4 3 2 5 2" xfId="16763"/>
    <cellStyle name="40% - Accent6 4 3 2 5 2 2" xfId="30170"/>
    <cellStyle name="40% - Accent6 4 3 2 5 3" xfId="29133"/>
    <cellStyle name="40% - Accent6 4 3 2 6" xfId="9549"/>
    <cellStyle name="40% - Accent6 4 3 2 6 2" xfId="24024"/>
    <cellStyle name="40% - Accent6 4 3 2 7" xfId="22635"/>
    <cellStyle name="40% - Accent6 4 3 3" xfId="5055"/>
    <cellStyle name="40% - Accent6 4 3 3 2" xfId="5056"/>
    <cellStyle name="40% - Accent6 4 3 3 2 2" xfId="15543"/>
    <cellStyle name="40% - Accent6 4 3 3 2 2 2" xfId="29092"/>
    <cellStyle name="40% - Accent6 4 3 3 2 3" xfId="22632"/>
    <cellStyle name="40% - Accent6 4 3 3 3" xfId="11275"/>
    <cellStyle name="40% - Accent6 4 3 3 3 2" xfId="25217"/>
    <cellStyle name="40% - Accent6 4 3 3 4" xfId="22633"/>
    <cellStyle name="40% - Accent6 4 3 4" xfId="5057"/>
    <cellStyle name="40% - Accent6 4 3 4 2" xfId="12151"/>
    <cellStyle name="40% - Accent6 4 3 4 2 2" xfId="25863"/>
    <cellStyle name="40% - Accent6 4 3 4 3" xfId="24103"/>
    <cellStyle name="40% - Accent6 4 3 5" xfId="5058"/>
    <cellStyle name="40% - Accent6 4 3 5 2" xfId="13066"/>
    <cellStyle name="40% - Accent6 4 3 5 2 2" xfId="26778"/>
    <cellStyle name="40% - Accent6 4 3 5 3" xfId="22631"/>
    <cellStyle name="40% - Accent6 4 3 6" xfId="5059"/>
    <cellStyle name="40% - Accent6 4 3 6 2" xfId="13715"/>
    <cellStyle name="40% - Accent6 4 3 6 2 2" xfId="27264"/>
    <cellStyle name="40% - Accent6 4 3 6 3" xfId="24102"/>
    <cellStyle name="40% - Accent6 4 3 7" xfId="5060"/>
    <cellStyle name="40% - Accent6 4 3 7 2" xfId="14296"/>
    <cellStyle name="40% - Accent6 4 3 7 2 2" xfId="27845"/>
    <cellStyle name="40% - Accent6 4 3 7 3" xfId="22630"/>
    <cellStyle name="40% - Accent6 4 3 8" xfId="5061"/>
    <cellStyle name="40% - Accent6 4 3 8 2" xfId="15541"/>
    <cellStyle name="40% - Accent6 4 3 8 2 2" xfId="29090"/>
    <cellStyle name="40% - Accent6 4 3 8 3" xfId="23261"/>
    <cellStyle name="40% - Accent6 4 3 9" xfId="5062"/>
    <cellStyle name="40% - Accent6 4 3 9 2" xfId="16182"/>
    <cellStyle name="40% - Accent6 4 3 9 2 2" xfId="29589"/>
    <cellStyle name="40% - Accent6 4 3 9 3" xfId="24100"/>
    <cellStyle name="40% - Accent6 4 4" xfId="5063"/>
    <cellStyle name="40% - Accent6 4 4 2" xfId="5064"/>
    <cellStyle name="40% - Accent6 4 4 2 2" xfId="11277"/>
    <cellStyle name="40% - Accent6 4 4 2 2 2" xfId="25219"/>
    <cellStyle name="40% - Accent6 4 4 2 3" xfId="24099"/>
    <cellStyle name="40% - Accent6 4 4 3" xfId="5065"/>
    <cellStyle name="40% - Accent6 4 4 3 2" xfId="13068"/>
    <cellStyle name="40% - Accent6 4 4 3 2 2" xfId="26780"/>
    <cellStyle name="40% - Accent6 4 4 3 3" xfId="22628"/>
    <cellStyle name="40% - Accent6 4 4 4" xfId="5066"/>
    <cellStyle name="40% - Accent6 4 4 4 2" xfId="15544"/>
    <cellStyle name="40% - Accent6 4 4 4 2 2" xfId="29093"/>
    <cellStyle name="40% - Accent6 4 4 4 3" xfId="24098"/>
    <cellStyle name="40% - Accent6 4 4 5" xfId="5067"/>
    <cellStyle name="40% - Accent6 4 4 5 2" xfId="16471"/>
    <cellStyle name="40% - Accent6 4 4 5 2 2" xfId="29878"/>
    <cellStyle name="40% - Accent6 4 4 5 3" xfId="22627"/>
    <cellStyle name="40% - Accent6 4 4 6" xfId="9550"/>
    <cellStyle name="40% - Accent6 4 4 6 2" xfId="24025"/>
    <cellStyle name="40% - Accent6 4 4 7" xfId="22629"/>
    <cellStyle name="40% - Accent6 4 5" xfId="5068"/>
    <cellStyle name="40% - Accent6 4 5 2" xfId="5069"/>
    <cellStyle name="40% - Accent6 4 5 2 2" xfId="15545"/>
    <cellStyle name="40% - Accent6 4 5 2 2 2" xfId="29094"/>
    <cellStyle name="40% - Accent6 4 5 2 3" xfId="22626"/>
    <cellStyle name="40% - Accent6 4 5 3" xfId="11270"/>
    <cellStyle name="40% - Accent6 4 5 3 2" xfId="25212"/>
    <cellStyle name="40% - Accent6 4 5 4" xfId="24097"/>
    <cellStyle name="40% - Accent6 4 6" xfId="5070"/>
    <cellStyle name="40% - Accent6 4 6 2" xfId="11822"/>
    <cellStyle name="40% - Accent6 4 6 2 2" xfId="25537"/>
    <cellStyle name="40% - Accent6 4 6 3" xfId="24095"/>
    <cellStyle name="40% - Accent6 4 7" xfId="5071"/>
    <cellStyle name="40% - Accent6 4 7 2" xfId="13061"/>
    <cellStyle name="40% - Accent6 4 7 2 2" xfId="26773"/>
    <cellStyle name="40% - Accent6 4 7 3" xfId="24096"/>
    <cellStyle name="40% - Accent6 4 8" xfId="5072"/>
    <cellStyle name="40% - Accent6 4 8 2" xfId="13423"/>
    <cellStyle name="40% - Accent6 4 8 2 2" xfId="26972"/>
    <cellStyle name="40% - Accent6 4 8 3" xfId="22625"/>
    <cellStyle name="40% - Accent6 4 9" xfId="5073"/>
    <cellStyle name="40% - Accent6 4 9 2" xfId="14004"/>
    <cellStyle name="40% - Accent6 4 9 2 2" xfId="27553"/>
    <cellStyle name="40% - Accent6 4 9 3" xfId="22624"/>
    <cellStyle name="40% - Accent6 5" xfId="5074"/>
    <cellStyle name="40% - Accent6 5 10" xfId="5075"/>
    <cellStyle name="40% - Accent6 5 10 2" xfId="15546"/>
    <cellStyle name="40% - Accent6 5 10 2 2" xfId="29095"/>
    <cellStyle name="40% - Accent6 5 10 3" xfId="26810"/>
    <cellStyle name="40% - Accent6 5 11" xfId="5076"/>
    <cellStyle name="40% - Accent6 5 11 2" xfId="15873"/>
    <cellStyle name="40% - Accent6 5 11 2 2" xfId="29280"/>
    <cellStyle name="40% - Accent6 5 11 3" xfId="22623"/>
    <cellStyle name="40% - Accent6 5 12" xfId="9551"/>
    <cellStyle name="40% - Accent6 5 12 2" xfId="24026"/>
    <cellStyle name="40% - Accent6 5 13" xfId="24094"/>
    <cellStyle name="40% - Accent6 5 2" xfId="5077"/>
    <cellStyle name="40% - Accent6 5 2 10" xfId="5078"/>
    <cellStyle name="40% - Accent6 5 2 10 2" xfId="16016"/>
    <cellStyle name="40% - Accent6 5 2 10 2 2" xfId="29423"/>
    <cellStyle name="40% - Accent6 5 2 10 3" xfId="22622"/>
    <cellStyle name="40% - Accent6 5 2 11" xfId="9552"/>
    <cellStyle name="40% - Accent6 5 2 11 2" xfId="24027"/>
    <cellStyle name="40% - Accent6 5 2 12" xfId="26811"/>
    <cellStyle name="40% - Accent6 5 2 2" xfId="5079"/>
    <cellStyle name="40% - Accent6 5 2 2 10" xfId="9553"/>
    <cellStyle name="40% - Accent6 5 2 2 10 2" xfId="24028"/>
    <cellStyle name="40% - Accent6 5 2 2 11" xfId="22621"/>
    <cellStyle name="40% - Accent6 5 2 2 2" xfId="5080"/>
    <cellStyle name="40% - Accent6 5 2 2 2 2" xfId="5081"/>
    <cellStyle name="40% - Accent6 5 2 2 2 2 2" xfId="11281"/>
    <cellStyle name="40% - Accent6 5 2 2 2 2 2 2" xfId="25223"/>
    <cellStyle name="40% - Accent6 5 2 2 2 2 3" xfId="24093"/>
    <cellStyle name="40% - Accent6 5 2 2 2 3" xfId="5082"/>
    <cellStyle name="40% - Accent6 5 2 2 2 3 2" xfId="13072"/>
    <cellStyle name="40% - Accent6 5 2 2 2 3 2 2" xfId="26784"/>
    <cellStyle name="40% - Accent6 5 2 2 2 3 3" xfId="22620"/>
    <cellStyle name="40% - Accent6 5 2 2 2 4" xfId="5083"/>
    <cellStyle name="40% - Accent6 5 2 2 2 4 2" xfId="15549"/>
    <cellStyle name="40% - Accent6 5 2 2 2 4 2 2" xfId="29098"/>
    <cellStyle name="40% - Accent6 5 2 2 2 4 3" xfId="22619"/>
    <cellStyle name="40% - Accent6 5 2 2 2 5" xfId="5084"/>
    <cellStyle name="40% - Accent6 5 2 2 2 5 2" xfId="16886"/>
    <cellStyle name="40% - Accent6 5 2 2 2 5 2 2" xfId="30293"/>
    <cellStyle name="40% - Accent6 5 2 2 2 5 3" xfId="24091"/>
    <cellStyle name="40% - Accent6 5 2 2 2 6" xfId="9554"/>
    <cellStyle name="40% - Accent6 5 2 2 2 6 2" xfId="24029"/>
    <cellStyle name="40% - Accent6 5 2 2 2 7" xfId="24092"/>
    <cellStyle name="40% - Accent6 5 2 2 3" xfId="5085"/>
    <cellStyle name="40% - Accent6 5 2 2 3 2" xfId="5086"/>
    <cellStyle name="40% - Accent6 5 2 2 3 2 2" xfId="15550"/>
    <cellStyle name="40% - Accent6 5 2 2 3 2 2 2" xfId="29099"/>
    <cellStyle name="40% - Accent6 5 2 2 3 2 3" xfId="24088"/>
    <cellStyle name="40% - Accent6 5 2 2 3 3" xfId="11280"/>
    <cellStyle name="40% - Accent6 5 2 2 3 3 2" xfId="25222"/>
    <cellStyle name="40% - Accent6 5 2 2 3 4" xfId="22618"/>
    <cellStyle name="40% - Accent6 5 2 2 4" xfId="5087"/>
    <cellStyle name="40% - Accent6 5 2 2 4 2" xfId="12274"/>
    <cellStyle name="40% - Accent6 5 2 2 4 2 2" xfId="25986"/>
    <cellStyle name="40% - Accent6 5 2 2 4 3" xfId="22617"/>
    <cellStyle name="40% - Accent6 5 2 2 5" xfId="5088"/>
    <cellStyle name="40% - Accent6 5 2 2 5 2" xfId="13071"/>
    <cellStyle name="40% - Accent6 5 2 2 5 2 2" xfId="26783"/>
    <cellStyle name="40% - Accent6 5 2 2 5 3" xfId="25246"/>
    <cellStyle name="40% - Accent6 5 2 2 6" xfId="5089"/>
    <cellStyle name="40% - Accent6 5 2 2 6 2" xfId="13838"/>
    <cellStyle name="40% - Accent6 5 2 2 6 2 2" xfId="27387"/>
    <cellStyle name="40% - Accent6 5 2 2 6 3" xfId="22616"/>
    <cellStyle name="40% - Accent6 5 2 2 7" xfId="5090"/>
    <cellStyle name="40% - Accent6 5 2 2 7 2" xfId="14419"/>
    <cellStyle name="40% - Accent6 5 2 2 7 2 2" xfId="27968"/>
    <cellStyle name="40% - Accent6 5 2 2 7 3" xfId="24436"/>
    <cellStyle name="40% - Accent6 5 2 2 8" xfId="5091"/>
    <cellStyle name="40% - Accent6 5 2 2 8 2" xfId="15548"/>
    <cellStyle name="40% - Accent6 5 2 2 8 2 2" xfId="29097"/>
    <cellStyle name="40% - Accent6 5 2 2 8 3" xfId="29132"/>
    <cellStyle name="40% - Accent6 5 2 2 9" xfId="5092"/>
    <cellStyle name="40% - Accent6 5 2 2 9 2" xfId="16305"/>
    <cellStyle name="40% - Accent6 5 2 2 9 2 2" xfId="29712"/>
    <cellStyle name="40% - Accent6 5 2 2 9 3" xfId="22615"/>
    <cellStyle name="40% - Accent6 5 2 3" xfId="5093"/>
    <cellStyle name="40% - Accent6 5 2 3 2" xfId="5094"/>
    <cellStyle name="40% - Accent6 5 2 3 2 2" xfId="11282"/>
    <cellStyle name="40% - Accent6 5 2 3 2 2 2" xfId="25224"/>
    <cellStyle name="40% - Accent6 5 2 3 2 3" xfId="24090"/>
    <cellStyle name="40% - Accent6 5 2 3 3" xfId="5095"/>
    <cellStyle name="40% - Accent6 5 2 3 3 2" xfId="13073"/>
    <cellStyle name="40% - Accent6 5 2 3 3 2 2" xfId="26785"/>
    <cellStyle name="40% - Accent6 5 2 3 3 3" xfId="22613"/>
    <cellStyle name="40% - Accent6 5 2 3 4" xfId="5096"/>
    <cellStyle name="40% - Accent6 5 2 3 4 2" xfId="15551"/>
    <cellStyle name="40% - Accent6 5 2 3 4 2 2" xfId="29100"/>
    <cellStyle name="40% - Accent6 5 2 3 4 3" xfId="24089"/>
    <cellStyle name="40% - Accent6 5 2 3 5" xfId="5097"/>
    <cellStyle name="40% - Accent6 5 2 3 5 2" xfId="16597"/>
    <cellStyle name="40% - Accent6 5 2 3 5 2 2" xfId="30004"/>
    <cellStyle name="40% - Accent6 5 2 3 5 3" xfId="22612"/>
    <cellStyle name="40% - Accent6 5 2 3 6" xfId="9555"/>
    <cellStyle name="40% - Accent6 5 2 3 6 2" xfId="24030"/>
    <cellStyle name="40% - Accent6 5 2 3 7" xfId="22614"/>
    <cellStyle name="40% - Accent6 5 2 4" xfId="5098"/>
    <cellStyle name="40% - Accent6 5 2 4 2" xfId="5099"/>
    <cellStyle name="40% - Accent6 5 2 4 2 2" xfId="15552"/>
    <cellStyle name="40% - Accent6 5 2 4 2 2 2" xfId="29101"/>
    <cellStyle name="40% - Accent6 5 2 4 2 3" xfId="24087"/>
    <cellStyle name="40% - Accent6 5 2 4 3" xfId="11279"/>
    <cellStyle name="40% - Accent6 5 2 4 3 2" xfId="25221"/>
    <cellStyle name="40% - Accent6 5 2 4 4" xfId="23259"/>
    <cellStyle name="40% - Accent6 5 2 5" xfId="5100"/>
    <cellStyle name="40% - Accent6 5 2 5 2" xfId="11974"/>
    <cellStyle name="40% - Accent6 5 2 5 2 2" xfId="25689"/>
    <cellStyle name="40% - Accent6 5 2 5 3" xfId="22611"/>
    <cellStyle name="40% - Accent6 5 2 6" xfId="5101"/>
    <cellStyle name="40% - Accent6 5 2 6 2" xfId="13070"/>
    <cellStyle name="40% - Accent6 5 2 6 2 2" xfId="26782"/>
    <cellStyle name="40% - Accent6 5 2 6 3" xfId="24086"/>
    <cellStyle name="40% - Accent6 5 2 7" xfId="5102"/>
    <cellStyle name="40% - Accent6 5 2 7 2" xfId="13549"/>
    <cellStyle name="40% - Accent6 5 2 7 2 2" xfId="27098"/>
    <cellStyle name="40% - Accent6 5 2 7 3" xfId="22610"/>
    <cellStyle name="40% - Accent6 5 2 8" xfId="5103"/>
    <cellStyle name="40% - Accent6 5 2 8 2" xfId="14130"/>
    <cellStyle name="40% - Accent6 5 2 8 2 2" xfId="27679"/>
    <cellStyle name="40% - Accent6 5 2 8 3" xfId="24085"/>
    <cellStyle name="40% - Accent6 5 2 9" xfId="5104"/>
    <cellStyle name="40% - Accent6 5 2 9 2" xfId="15547"/>
    <cellStyle name="40% - Accent6 5 2 9 2 2" xfId="29096"/>
    <cellStyle name="40% - Accent6 5 2 9 3" xfId="22609"/>
    <cellStyle name="40% - Accent6 5 3" xfId="5105"/>
    <cellStyle name="40% - Accent6 5 3 10" xfId="9556"/>
    <cellStyle name="40% - Accent6 5 3 10 2" xfId="24031"/>
    <cellStyle name="40% - Accent6 5 3 11" xfId="24084"/>
    <cellStyle name="40% - Accent6 5 3 2" xfId="5106"/>
    <cellStyle name="40% - Accent6 5 3 2 2" xfId="5107"/>
    <cellStyle name="40% - Accent6 5 3 2 2 2" xfId="11284"/>
    <cellStyle name="40% - Accent6 5 3 2 2 2 2" xfId="25226"/>
    <cellStyle name="40% - Accent6 5 3 2 2 3" xfId="24082"/>
    <cellStyle name="40% - Accent6 5 3 2 3" xfId="5108"/>
    <cellStyle name="40% - Accent6 5 3 2 3 2" xfId="13075"/>
    <cellStyle name="40% - Accent6 5 3 2 3 2 2" xfId="26787"/>
    <cellStyle name="40% - Accent6 5 3 2 3 3" xfId="24083"/>
    <cellStyle name="40% - Accent6 5 3 2 4" xfId="5109"/>
    <cellStyle name="40% - Accent6 5 3 2 4 2" xfId="15554"/>
    <cellStyle name="40% - Accent6 5 3 2 4 2 2" xfId="29103"/>
    <cellStyle name="40% - Accent6 5 3 2 4 3" xfId="22607"/>
    <cellStyle name="40% - Accent6 5 3 2 5" xfId="5110"/>
    <cellStyle name="40% - Accent6 5 3 2 5 2" xfId="16746"/>
    <cellStyle name="40% - Accent6 5 3 2 5 2 2" xfId="30153"/>
    <cellStyle name="40% - Accent6 5 3 2 5 3" xfId="22606"/>
    <cellStyle name="40% - Accent6 5 3 2 6" xfId="9557"/>
    <cellStyle name="40% - Accent6 5 3 2 6 2" xfId="24032"/>
    <cellStyle name="40% - Accent6 5 3 2 7" xfId="22608"/>
    <cellStyle name="40% - Accent6 5 3 3" xfId="5111"/>
    <cellStyle name="40% - Accent6 5 3 3 2" xfId="5112"/>
    <cellStyle name="40% - Accent6 5 3 3 2 2" xfId="15555"/>
    <cellStyle name="40% - Accent6 5 3 3 2 2 2" xfId="29104"/>
    <cellStyle name="40% - Accent6 5 3 3 2 3" xfId="26808"/>
    <cellStyle name="40% - Accent6 5 3 3 3" xfId="11283"/>
    <cellStyle name="40% - Accent6 5 3 3 3 2" xfId="25225"/>
    <cellStyle name="40% - Accent6 5 3 3 4" xfId="24081"/>
    <cellStyle name="40% - Accent6 5 3 4" xfId="5113"/>
    <cellStyle name="40% - Accent6 5 3 4 2" xfId="12134"/>
    <cellStyle name="40% - Accent6 5 3 4 2 2" xfId="25846"/>
    <cellStyle name="40% - Accent6 5 3 4 3" xfId="22605"/>
    <cellStyle name="40% - Accent6 5 3 5" xfId="5114"/>
    <cellStyle name="40% - Accent6 5 3 5 2" xfId="13074"/>
    <cellStyle name="40% - Accent6 5 3 5 2 2" xfId="26786"/>
    <cellStyle name="40% - Accent6 5 3 5 3" xfId="26809"/>
    <cellStyle name="40% - Accent6 5 3 6" xfId="5115"/>
    <cellStyle name="40% - Accent6 5 3 6 2" xfId="13698"/>
    <cellStyle name="40% - Accent6 5 3 6 2 2" xfId="27247"/>
    <cellStyle name="40% - Accent6 5 3 6 3" xfId="22604"/>
    <cellStyle name="40% - Accent6 5 3 7" xfId="5116"/>
    <cellStyle name="40% - Accent6 5 3 7 2" xfId="14279"/>
    <cellStyle name="40% - Accent6 5 3 7 2 2" xfId="27828"/>
    <cellStyle name="40% - Accent6 5 3 7 3" xfId="22603"/>
    <cellStyle name="40% - Accent6 5 3 8" xfId="5117"/>
    <cellStyle name="40% - Accent6 5 3 8 2" xfId="15553"/>
    <cellStyle name="40% - Accent6 5 3 8 2 2" xfId="29102"/>
    <cellStyle name="40% - Accent6 5 3 8 3" xfId="24079"/>
    <cellStyle name="40% - Accent6 5 3 9" xfId="5118"/>
    <cellStyle name="40% - Accent6 5 3 9 2" xfId="16165"/>
    <cellStyle name="40% - Accent6 5 3 9 2 2" xfId="29572"/>
    <cellStyle name="40% - Accent6 5 3 9 3" xfId="24080"/>
    <cellStyle name="40% - Accent6 5 4" xfId="5119"/>
    <cellStyle name="40% - Accent6 5 4 2" xfId="5120"/>
    <cellStyle name="40% - Accent6 5 4 2 2" xfId="11285"/>
    <cellStyle name="40% - Accent6 5 4 2 2 2" xfId="25227"/>
    <cellStyle name="40% - Accent6 5 4 2 3" xfId="22601"/>
    <cellStyle name="40% - Accent6 5 4 3" xfId="5121"/>
    <cellStyle name="40% - Accent6 5 4 3 2" xfId="13076"/>
    <cellStyle name="40% - Accent6 5 4 3 2 2" xfId="26788"/>
    <cellStyle name="40% - Accent6 5 4 3 3" xfId="24078"/>
    <cellStyle name="40% - Accent6 5 4 4" xfId="5122"/>
    <cellStyle name="40% - Accent6 5 4 4 2" xfId="15556"/>
    <cellStyle name="40% - Accent6 5 4 4 2 2" xfId="29105"/>
    <cellStyle name="40% - Accent6 5 4 4 3" xfId="22600"/>
    <cellStyle name="40% - Accent6 5 4 5" xfId="5123"/>
    <cellStyle name="40% - Accent6 5 4 5 2" xfId="16454"/>
    <cellStyle name="40% - Accent6 5 4 5 2 2" xfId="29861"/>
    <cellStyle name="40% - Accent6 5 4 5 3" xfId="24075"/>
    <cellStyle name="40% - Accent6 5 4 6" xfId="9558"/>
    <cellStyle name="40% - Accent6 5 4 6 2" xfId="24033"/>
    <cellStyle name="40% - Accent6 5 4 7" xfId="22602"/>
    <cellStyle name="40% - Accent6 5 5" xfId="5124"/>
    <cellStyle name="40% - Accent6 5 5 2" xfId="5125"/>
    <cellStyle name="40% - Accent6 5 5 2 2" xfId="15557"/>
    <cellStyle name="40% - Accent6 5 5 2 2 2" xfId="29106"/>
    <cellStyle name="40% - Accent6 5 5 2 3" xfId="25245"/>
    <cellStyle name="40% - Accent6 5 5 3" xfId="11278"/>
    <cellStyle name="40% - Accent6 5 5 3 2" xfId="25220"/>
    <cellStyle name="40% - Accent6 5 5 4" xfId="22599"/>
    <cellStyle name="40% - Accent6 5 6" xfId="5126"/>
    <cellStyle name="40% - Accent6 5 6 2" xfId="11805"/>
    <cellStyle name="40% - Accent6 5 6 2 2" xfId="25520"/>
    <cellStyle name="40% - Accent6 5 6 3" xfId="22598"/>
    <cellStyle name="40% - Accent6 5 7" xfId="5127"/>
    <cellStyle name="40% - Accent6 5 7 2" xfId="13069"/>
    <cellStyle name="40% - Accent6 5 7 2 2" xfId="26781"/>
    <cellStyle name="40% - Accent6 5 7 3" xfId="24435"/>
    <cellStyle name="40% - Accent6 5 8" xfId="5128"/>
    <cellStyle name="40% - Accent6 5 8 2" xfId="13406"/>
    <cellStyle name="40% - Accent6 5 8 2 2" xfId="26955"/>
    <cellStyle name="40% - Accent6 5 8 3" xfId="29131"/>
    <cellStyle name="40% - Accent6 5 9" xfId="5129"/>
    <cellStyle name="40% - Accent6 5 9 2" xfId="13987"/>
    <cellStyle name="40% - Accent6 5 9 2 2" xfId="27536"/>
    <cellStyle name="40% - Accent6 5 9 3" xfId="22597"/>
    <cellStyle name="40% - Accent6 6" xfId="5130"/>
    <cellStyle name="40% - Accent6 6 10" xfId="5131"/>
    <cellStyle name="40% - Accent6 6 10 2" xfId="15558"/>
    <cellStyle name="40% - Accent6 6 10 2 2" xfId="29107"/>
    <cellStyle name="40% - Accent6 6 10 3" xfId="24077"/>
    <cellStyle name="40% - Accent6 6 11" xfId="5132"/>
    <cellStyle name="40% - Accent6 6 11 2" xfId="15979"/>
    <cellStyle name="40% - Accent6 6 11 2 2" xfId="29386"/>
    <cellStyle name="40% - Accent6 6 11 3" xfId="22595"/>
    <cellStyle name="40% - Accent6 6 12" xfId="9559"/>
    <cellStyle name="40% - Accent6 6 12 2" xfId="24034"/>
    <cellStyle name="40% - Accent6 6 13" xfId="22596"/>
    <cellStyle name="40% - Accent6 6 2" xfId="5133"/>
    <cellStyle name="40% - Accent6 6 2 10" xfId="5134"/>
    <cellStyle name="40% - Accent6 6 2 10 2" xfId="16122"/>
    <cellStyle name="40% - Accent6 6 2 10 2 2" xfId="29529"/>
    <cellStyle name="40% - Accent6 6 2 10 3" xfId="22594"/>
    <cellStyle name="40% - Accent6 6 2 11" xfId="9560"/>
    <cellStyle name="40% - Accent6 6 2 11 2" xfId="24035"/>
    <cellStyle name="40% - Accent6 6 2 12" xfId="24076"/>
    <cellStyle name="40% - Accent6 6 2 2" xfId="5135"/>
    <cellStyle name="40% - Accent6 6 2 2 10" xfId="9561"/>
    <cellStyle name="40% - Accent6 6 2 2 10 2" xfId="24036"/>
    <cellStyle name="40% - Accent6 6 2 2 11" xfId="23255"/>
    <cellStyle name="40% - Accent6 6 2 2 2" xfId="5136"/>
    <cellStyle name="40% - Accent6 6 2 2 2 2" xfId="5137"/>
    <cellStyle name="40% - Accent6 6 2 2 2 2 2" xfId="11289"/>
    <cellStyle name="40% - Accent6 6 2 2 2 2 2 2" xfId="25231"/>
    <cellStyle name="40% - Accent6 6 2 2 2 2 3" xfId="22593"/>
    <cellStyle name="40% - Accent6 6 2 2 2 3" xfId="5138"/>
    <cellStyle name="40% - Accent6 6 2 2 2 3 2" xfId="13080"/>
    <cellStyle name="40% - Accent6 6 2 2 2 3 2 2" xfId="26792"/>
    <cellStyle name="40% - Accent6 6 2 2 2 3 3" xfId="24073"/>
    <cellStyle name="40% - Accent6 6 2 2 2 4" xfId="5139"/>
    <cellStyle name="40% - Accent6 6 2 2 2 4 2" xfId="15561"/>
    <cellStyle name="40% - Accent6 6 2 2 2 4 2 2" xfId="29110"/>
    <cellStyle name="40% - Accent6 6 2 2 2 4 3" xfId="22592"/>
    <cellStyle name="40% - Accent6 6 2 2 2 5" xfId="5140"/>
    <cellStyle name="40% - Accent6 6 2 2 2 5 2" xfId="16992"/>
    <cellStyle name="40% - Accent6 6 2 2 2 5 2 2" xfId="30399"/>
    <cellStyle name="40% - Accent6 6 2 2 2 5 3" xfId="24072"/>
    <cellStyle name="40% - Accent6 6 2 2 2 6" xfId="9562"/>
    <cellStyle name="40% - Accent6 6 2 2 2 6 2" xfId="24037"/>
    <cellStyle name="40% - Accent6 6 2 2 2 7" xfId="24074"/>
    <cellStyle name="40% - Accent6 6 2 2 3" xfId="5141"/>
    <cellStyle name="40% - Accent6 6 2 2 3 2" xfId="5142"/>
    <cellStyle name="40% - Accent6 6 2 2 3 2 2" xfId="15562"/>
    <cellStyle name="40% - Accent6 6 2 2 3 2 2 2" xfId="29111"/>
    <cellStyle name="40% - Accent6 6 2 2 3 2 3" xfId="24071"/>
    <cellStyle name="40% - Accent6 6 2 2 3 3" xfId="11288"/>
    <cellStyle name="40% - Accent6 6 2 2 3 3 2" xfId="25230"/>
    <cellStyle name="40% - Accent6 6 2 2 3 4" xfId="22591"/>
    <cellStyle name="40% - Accent6 6 2 2 4" xfId="5143"/>
    <cellStyle name="40% - Accent6 6 2 2 4 2" xfId="12380"/>
    <cellStyle name="40% - Accent6 6 2 2 4 2 2" xfId="26092"/>
    <cellStyle name="40% - Accent6 6 2 2 4 3" xfId="22590"/>
    <cellStyle name="40% - Accent6 6 2 2 5" xfId="5144"/>
    <cellStyle name="40% - Accent6 6 2 2 5 2" xfId="13079"/>
    <cellStyle name="40% - Accent6 6 2 2 5 2 2" xfId="26791"/>
    <cellStyle name="40% - Accent6 6 2 2 5 3" xfId="24069"/>
    <cellStyle name="40% - Accent6 6 2 2 6" xfId="5145"/>
    <cellStyle name="40% - Accent6 6 2 2 6 2" xfId="13944"/>
    <cellStyle name="40% - Accent6 6 2 2 6 2 2" xfId="27493"/>
    <cellStyle name="40% - Accent6 6 2 2 6 3" xfId="24070"/>
    <cellStyle name="40% - Accent6 6 2 2 7" xfId="5146"/>
    <cellStyle name="40% - Accent6 6 2 2 7 2" xfId="14525"/>
    <cellStyle name="40% - Accent6 6 2 2 7 2 2" xfId="28074"/>
    <cellStyle name="40% - Accent6 6 2 2 7 3" xfId="22589"/>
    <cellStyle name="40% - Accent6 6 2 2 8" xfId="5147"/>
    <cellStyle name="40% - Accent6 6 2 2 8 2" xfId="15560"/>
    <cellStyle name="40% - Accent6 6 2 2 8 2 2" xfId="29109"/>
    <cellStyle name="40% - Accent6 6 2 2 8 3" xfId="22588"/>
    <cellStyle name="40% - Accent6 6 2 2 9" xfId="5148"/>
    <cellStyle name="40% - Accent6 6 2 2 9 2" xfId="16411"/>
    <cellStyle name="40% - Accent6 6 2 2 9 2 2" xfId="29818"/>
    <cellStyle name="40% - Accent6 6 2 2 9 3" xfId="24068"/>
    <cellStyle name="40% - Accent6 6 2 3" xfId="5149"/>
    <cellStyle name="40% - Accent6 6 2 3 2" xfId="5150"/>
    <cellStyle name="40% - Accent6 6 2 3 2 2" xfId="11290"/>
    <cellStyle name="40% - Accent6 6 2 3 2 2 2" xfId="25232"/>
    <cellStyle name="40% - Accent6 6 2 3 2 3" xfId="22587"/>
    <cellStyle name="40% - Accent6 6 2 3 3" xfId="5151"/>
    <cellStyle name="40% - Accent6 6 2 3 3 2" xfId="13081"/>
    <cellStyle name="40% - Accent6 6 2 3 3 2 2" xfId="26793"/>
    <cellStyle name="40% - Accent6 6 2 3 3 3" xfId="26807"/>
    <cellStyle name="40% - Accent6 6 2 3 4" xfId="5152"/>
    <cellStyle name="40% - Accent6 6 2 3 4 2" xfId="15563"/>
    <cellStyle name="40% - Accent6 6 2 3 4 2 2" xfId="29112"/>
    <cellStyle name="40% - Accent6 6 2 3 4 3" xfId="22586"/>
    <cellStyle name="40% - Accent6 6 2 3 5" xfId="5153"/>
    <cellStyle name="40% - Accent6 6 2 3 5 2" xfId="16703"/>
    <cellStyle name="40% - Accent6 6 2 3 5 2 2" xfId="30110"/>
    <cellStyle name="40% - Accent6 6 2 3 5 3" xfId="22585"/>
    <cellStyle name="40% - Accent6 6 2 3 6" xfId="9563"/>
    <cellStyle name="40% - Accent6 6 2 3 6 2" xfId="24038"/>
    <cellStyle name="40% - Accent6 6 2 3 7" xfId="26806"/>
    <cellStyle name="40% - Accent6 6 2 4" xfId="5154"/>
    <cellStyle name="40% - Accent6 6 2 4 2" xfId="5155"/>
    <cellStyle name="40% - Accent6 6 2 4 2 2" xfId="15564"/>
    <cellStyle name="40% - Accent6 6 2 4 2 2 2" xfId="29113"/>
    <cellStyle name="40% - Accent6 6 2 4 2 3" xfId="24067"/>
    <cellStyle name="40% - Accent6 6 2 4 3" xfId="11287"/>
    <cellStyle name="40% - Accent6 6 2 4 3 2" xfId="25229"/>
    <cellStyle name="40% - Accent6 6 2 4 4" xfId="24066"/>
    <cellStyle name="40% - Accent6 6 2 5" xfId="5156"/>
    <cellStyle name="40% - Accent6 6 2 5 2" xfId="12080"/>
    <cellStyle name="40% - Accent6 6 2 5 2 2" xfId="25795"/>
    <cellStyle name="40% - Accent6 6 2 5 3" xfId="22584"/>
    <cellStyle name="40% - Accent6 6 2 6" xfId="5157"/>
    <cellStyle name="40% - Accent6 6 2 6 2" xfId="13078"/>
    <cellStyle name="40% - Accent6 6 2 6 2 2" xfId="26790"/>
    <cellStyle name="40% - Accent6 6 2 6 3" xfId="22583"/>
    <cellStyle name="40% - Accent6 6 2 7" xfId="5158"/>
    <cellStyle name="40% - Accent6 6 2 7 2" xfId="13655"/>
    <cellStyle name="40% - Accent6 6 2 7 2 2" xfId="27204"/>
    <cellStyle name="40% - Accent6 6 2 7 3" xfId="24065"/>
    <cellStyle name="40% - Accent6 6 2 8" xfId="5159"/>
    <cellStyle name="40% - Accent6 6 2 8 2" xfId="14236"/>
    <cellStyle name="40% - Accent6 6 2 8 2 2" xfId="27785"/>
    <cellStyle name="40% - Accent6 6 2 8 3" xfId="22582"/>
    <cellStyle name="40% - Accent6 6 2 9" xfId="5160"/>
    <cellStyle name="40% - Accent6 6 2 9 2" xfId="15559"/>
    <cellStyle name="40% - Accent6 6 2 9 2 2" xfId="29108"/>
    <cellStyle name="40% - Accent6 6 2 9 3" xfId="24062"/>
    <cellStyle name="40% - Accent6 6 3" xfId="5161"/>
    <cellStyle name="40% - Accent6 6 3 10" xfId="9564"/>
    <cellStyle name="40% - Accent6 6 3 10 2" xfId="24039"/>
    <cellStyle name="40% - Accent6 6 3 11" xfId="22581"/>
    <cellStyle name="40% - Accent6 6 3 2" xfId="5162"/>
    <cellStyle name="40% - Accent6 6 3 2 2" xfId="5163"/>
    <cellStyle name="40% - Accent6 6 3 2 2 2" xfId="11292"/>
    <cellStyle name="40% - Accent6 6 3 2 2 2 2" xfId="25234"/>
    <cellStyle name="40% - Accent6 6 3 2 2 3" xfId="22580"/>
    <cellStyle name="40% - Accent6 6 3 2 3" xfId="5164"/>
    <cellStyle name="40% - Accent6 6 3 2 3 2" xfId="13083"/>
    <cellStyle name="40% - Accent6 6 3 2 3 2 2" xfId="26795"/>
    <cellStyle name="40% - Accent6 6 3 2 3 3" xfId="24434"/>
    <cellStyle name="40% - Accent6 6 3 2 4" xfId="5165"/>
    <cellStyle name="40% - Accent6 6 3 2 4 2" xfId="15566"/>
    <cellStyle name="40% - Accent6 6 3 2 4 2 2" xfId="29115"/>
    <cellStyle name="40% - Accent6 6 3 2 4 3" xfId="29130"/>
    <cellStyle name="40% - Accent6 6 3 2 5" xfId="5166"/>
    <cellStyle name="40% - Accent6 6 3 2 5 2" xfId="16849"/>
    <cellStyle name="40% - Accent6 6 3 2 5 2 2" xfId="30256"/>
    <cellStyle name="40% - Accent6 6 3 2 5 3" xfId="22579"/>
    <cellStyle name="40% - Accent6 6 3 2 6" xfId="9565"/>
    <cellStyle name="40% - Accent6 6 3 2 6 2" xfId="24040"/>
    <cellStyle name="40% - Accent6 6 3 2 7" xfId="25244"/>
    <cellStyle name="40% - Accent6 6 3 3" xfId="5167"/>
    <cellStyle name="40% - Accent6 6 3 3 2" xfId="5168"/>
    <cellStyle name="40% - Accent6 6 3 3 2 2" xfId="15567"/>
    <cellStyle name="40% - Accent6 6 3 3 2 2 2" xfId="29116"/>
    <cellStyle name="40% - Accent6 6 3 3 2 3" xfId="24064"/>
    <cellStyle name="40% - Accent6 6 3 3 3" xfId="11291"/>
    <cellStyle name="40% - Accent6 6 3 3 3 2" xfId="25233"/>
    <cellStyle name="40% - Accent6 6 3 3 4" xfId="22578"/>
    <cellStyle name="40% - Accent6 6 3 4" xfId="5169"/>
    <cellStyle name="40% - Accent6 6 3 4 2" xfId="12237"/>
    <cellStyle name="40% - Accent6 6 3 4 2 2" xfId="25949"/>
    <cellStyle name="40% - Accent6 6 3 4 3" xfId="22577"/>
    <cellStyle name="40% - Accent6 6 3 5" xfId="5170"/>
    <cellStyle name="40% - Accent6 6 3 5 2" xfId="13082"/>
    <cellStyle name="40% - Accent6 6 3 5 2 2" xfId="26794"/>
    <cellStyle name="40% - Accent6 6 3 5 3" xfId="24063"/>
    <cellStyle name="40% - Accent6 6 3 6" xfId="5171"/>
    <cellStyle name="40% - Accent6 6 3 6 2" xfId="13801"/>
    <cellStyle name="40% - Accent6 6 3 6 2 2" xfId="27350"/>
    <cellStyle name="40% - Accent6 6 3 6 3" xfId="22576"/>
    <cellStyle name="40% - Accent6 6 3 7" xfId="5172"/>
    <cellStyle name="40% - Accent6 6 3 7 2" xfId="14382"/>
    <cellStyle name="40% - Accent6 6 3 7 2 2" xfId="27931"/>
    <cellStyle name="40% - Accent6 6 3 7 3" xfId="23251"/>
    <cellStyle name="40% - Accent6 6 3 8" xfId="5173"/>
    <cellStyle name="40% - Accent6 6 3 8 2" xfId="15565"/>
    <cellStyle name="40% - Accent6 6 3 8 2 2" xfId="29114"/>
    <cellStyle name="40% - Accent6 6 3 8 3" xfId="24061"/>
    <cellStyle name="40% - Accent6 6 3 9" xfId="5174"/>
    <cellStyle name="40% - Accent6 6 3 9 2" xfId="16268"/>
    <cellStyle name="40% - Accent6 6 3 9 2 2" xfId="29675"/>
    <cellStyle name="40% - Accent6 6 3 9 3" xfId="22575"/>
    <cellStyle name="40% - Accent6 6 4" xfId="5175"/>
    <cellStyle name="40% - Accent6 6 4 2" xfId="5176"/>
    <cellStyle name="40% - Accent6 6 4 2 2" xfId="11293"/>
    <cellStyle name="40% - Accent6 6 4 2 2 2" xfId="25235"/>
    <cellStyle name="40% - Accent6 6 4 2 3" xfId="22574"/>
    <cellStyle name="40% - Accent6 6 4 3" xfId="5177"/>
    <cellStyle name="40% - Accent6 6 4 3 2" xfId="13084"/>
    <cellStyle name="40% - Accent6 6 4 3 2 2" xfId="26796"/>
    <cellStyle name="40% - Accent6 6 4 3 3" xfId="24059"/>
    <cellStyle name="40% - Accent6 6 4 4" xfId="5178"/>
    <cellStyle name="40% - Accent6 6 4 4 2" xfId="15568"/>
    <cellStyle name="40% - Accent6 6 4 4 2 2" xfId="29117"/>
    <cellStyle name="40% - Accent6 6 4 4 3" xfId="22573"/>
    <cellStyle name="40% - Accent6 6 4 5" xfId="5179"/>
    <cellStyle name="40% - Accent6 6 4 5 2" xfId="16560"/>
    <cellStyle name="40% - Accent6 6 4 5 2 2" xfId="29967"/>
    <cellStyle name="40% - Accent6 6 4 5 3" xfId="24058"/>
    <cellStyle name="40% - Accent6 6 4 6" xfId="9566"/>
    <cellStyle name="40% - Accent6 6 4 6 2" xfId="24041"/>
    <cellStyle name="40% - Accent6 6 4 7" xfId="24060"/>
    <cellStyle name="40% - Accent6 6 5" xfId="5180"/>
    <cellStyle name="40% - Accent6 6 5 2" xfId="5181"/>
    <cellStyle name="40% - Accent6 6 5 2 2" xfId="15569"/>
    <cellStyle name="40% - Accent6 6 5 2 2 2" xfId="29118"/>
    <cellStyle name="40% - Accent6 6 5 2 3" xfId="24056"/>
    <cellStyle name="40% - Accent6 6 5 3" xfId="11286"/>
    <cellStyle name="40% - Accent6 6 5 3 2" xfId="25228"/>
    <cellStyle name="40% - Accent6 6 5 4" xfId="22572"/>
    <cellStyle name="40% - Accent6 6 6" xfId="5182"/>
    <cellStyle name="40% - Accent6 6 6 2" xfId="11935"/>
    <cellStyle name="40% - Accent6 6 6 2 2" xfId="25650"/>
    <cellStyle name="40% - Accent6 6 6 3" xfId="24057"/>
    <cellStyle name="40% - Accent6 6 7" xfId="5183"/>
    <cellStyle name="40% - Accent6 6 7 2" xfId="13077"/>
    <cellStyle name="40% - Accent6 6 7 2 2" xfId="26789"/>
    <cellStyle name="40% - Accent6 6 7 3" xfId="22571"/>
    <cellStyle name="40% - Accent6 6 8" xfId="5184"/>
    <cellStyle name="40% - Accent6 6 8 2" xfId="13512"/>
    <cellStyle name="40% - Accent6 6 8 2 2" xfId="27061"/>
    <cellStyle name="40% - Accent6 6 8 3" xfId="22570"/>
    <cellStyle name="40% - Accent6 6 9" xfId="5185"/>
    <cellStyle name="40% - Accent6 6 9 2" xfId="14093"/>
    <cellStyle name="40% - Accent6 6 9 2 2" xfId="27642"/>
    <cellStyle name="40% - Accent6 6 9 3" xfId="24055"/>
    <cellStyle name="40% - Accent6 7" xfId="5186"/>
    <cellStyle name="40% - Accent6 7 10" xfId="5187"/>
    <cellStyle name="40% - Accent6 7 10 2" xfId="15999"/>
    <cellStyle name="40% - Accent6 7 10 2 2" xfId="29406"/>
    <cellStyle name="40% - Accent6 7 10 3" xfId="22569"/>
    <cellStyle name="40% - Accent6 7 11" xfId="9567"/>
    <cellStyle name="40% - Accent6 7 11 2" xfId="24042"/>
    <cellStyle name="40% - Accent6 7 12" xfId="26804"/>
    <cellStyle name="40% - Accent6 7 2" xfId="5188"/>
    <cellStyle name="40% - Accent6 7 2 10" xfId="9568"/>
    <cellStyle name="40% - Accent6 7 2 10 2" xfId="24043"/>
    <cellStyle name="40% - Accent6 7 2 11" xfId="26805"/>
    <cellStyle name="40% - Accent6 7 2 2" xfId="5189"/>
    <cellStyle name="40% - Accent6 7 2 2 2" xfId="5190"/>
    <cellStyle name="40% - Accent6 7 2 2 2 2" xfId="11296"/>
    <cellStyle name="40% - Accent6 7 2 2 2 2 2" xfId="25238"/>
    <cellStyle name="40% - Accent6 7 2 2 2 3" xfId="22567"/>
    <cellStyle name="40% - Accent6 7 2 2 3" xfId="5191"/>
    <cellStyle name="40% - Accent6 7 2 2 3 2" xfId="13087"/>
    <cellStyle name="40% - Accent6 7 2 2 3 2 2" xfId="26799"/>
    <cellStyle name="40% - Accent6 7 2 2 3 3" xfId="24053"/>
    <cellStyle name="40% - Accent6 7 2 2 4" xfId="5192"/>
    <cellStyle name="40% - Accent6 7 2 2 4 2" xfId="15572"/>
    <cellStyle name="40% - Accent6 7 2 2 4 2 2" xfId="29121"/>
    <cellStyle name="40% - Accent6 7 2 2 4 3" xfId="24054"/>
    <cellStyle name="40% - Accent6 7 2 2 5" xfId="5193"/>
    <cellStyle name="40% - Accent6 7 2 2 5 2" xfId="16869"/>
    <cellStyle name="40% - Accent6 7 2 2 5 2 2" xfId="30276"/>
    <cellStyle name="40% - Accent6 7 2 2 5 3" xfId="22566"/>
    <cellStyle name="40% - Accent6 7 2 2 6" xfId="9569"/>
    <cellStyle name="40% - Accent6 7 2 2 6 2" xfId="24044"/>
    <cellStyle name="40% - Accent6 7 2 2 7" xfId="22568"/>
    <cellStyle name="40% - Accent6 7 2 3" xfId="5194"/>
    <cellStyle name="40% - Accent6 7 2 3 2" xfId="5195"/>
    <cellStyle name="40% - Accent6 7 2 3 2 2" xfId="15573"/>
    <cellStyle name="40% - Accent6 7 2 3 2 2 2" xfId="29122"/>
    <cellStyle name="40% - Accent6 7 2 3 2 3" xfId="24052"/>
    <cellStyle name="40% - Accent6 7 2 3 3" xfId="11295"/>
    <cellStyle name="40% - Accent6 7 2 3 3 2" xfId="25237"/>
    <cellStyle name="40% - Accent6 7 2 3 4" xfId="22565"/>
    <cellStyle name="40% - Accent6 7 2 4" xfId="5196"/>
    <cellStyle name="40% - Accent6 7 2 4 2" xfId="12257"/>
    <cellStyle name="40% - Accent6 7 2 4 2 2" xfId="25969"/>
    <cellStyle name="40% - Accent6 7 2 4 3" xfId="22564"/>
    <cellStyle name="40% - Accent6 7 2 5" xfId="5197"/>
    <cellStyle name="40% - Accent6 7 2 5 2" xfId="13086"/>
    <cellStyle name="40% - Accent6 7 2 5 2 2" xfId="26798"/>
    <cellStyle name="40% - Accent6 7 2 5 3" xfId="24049"/>
    <cellStyle name="40% - Accent6 7 2 6" xfId="5198"/>
    <cellStyle name="40% - Accent6 7 2 6 2" xfId="13821"/>
    <cellStyle name="40% - Accent6 7 2 6 2 2" xfId="27370"/>
    <cellStyle name="40% - Accent6 7 2 6 3" xfId="22563"/>
    <cellStyle name="40% - Accent6 7 2 7" xfId="5199"/>
    <cellStyle name="40% - Accent6 7 2 7 2" xfId="14402"/>
    <cellStyle name="40% - Accent6 7 2 7 2 2" xfId="27951"/>
    <cellStyle name="40% - Accent6 7 2 7 3" xfId="25243"/>
    <cellStyle name="40% - Accent6 7 2 8" xfId="5200"/>
    <cellStyle name="40% - Accent6 7 2 8 2" xfId="15571"/>
    <cellStyle name="40% - Accent6 7 2 8 2 2" xfId="29120"/>
    <cellStyle name="40% - Accent6 7 2 8 3" xfId="22562"/>
    <cellStyle name="40% - Accent6 7 2 9" xfId="5201"/>
    <cellStyle name="40% - Accent6 7 2 9 2" xfId="16288"/>
    <cellStyle name="40% - Accent6 7 2 9 2 2" xfId="29695"/>
    <cellStyle name="40% - Accent6 7 2 9 3" xfId="24433"/>
    <cellStyle name="40% - Accent6 7 3" xfId="5202"/>
    <cellStyle name="40% - Accent6 7 3 2" xfId="5203"/>
    <cellStyle name="40% - Accent6 7 3 2 2" xfId="11297"/>
    <cellStyle name="40% - Accent6 7 3 2 2 2" xfId="25239"/>
    <cellStyle name="40% - Accent6 7 3 2 3" xfId="22561"/>
    <cellStyle name="40% - Accent6 7 3 3" xfId="5204"/>
    <cellStyle name="40% - Accent6 7 3 3 2" xfId="13088"/>
    <cellStyle name="40% - Accent6 7 3 3 2 2" xfId="26800"/>
    <cellStyle name="40% - Accent6 7 3 3 3" xfId="22560"/>
    <cellStyle name="40% - Accent6 7 3 4" xfId="5205"/>
    <cellStyle name="40% - Accent6 7 3 4 2" xfId="15574"/>
    <cellStyle name="40% - Accent6 7 3 4 2 2" xfId="29123"/>
    <cellStyle name="40% - Accent6 7 3 4 3" xfId="24051"/>
    <cellStyle name="40% - Accent6 7 3 5" xfId="5206"/>
    <cellStyle name="40% - Accent6 7 3 5 2" xfId="16580"/>
    <cellStyle name="40% - Accent6 7 3 5 2 2" xfId="29987"/>
    <cellStyle name="40% - Accent6 7 3 5 3" xfId="22559"/>
    <cellStyle name="40% - Accent6 7 3 6" xfId="9570"/>
    <cellStyle name="40% - Accent6 7 3 6 2" xfId="24045"/>
    <cellStyle name="40% - Accent6 7 3 7" xfId="29129"/>
    <cellStyle name="40% - Accent6 7 4" xfId="5207"/>
    <cellStyle name="40% - Accent6 7 4 2" xfId="5208"/>
    <cellStyle name="40% - Accent6 7 4 2 2" xfId="15575"/>
    <cellStyle name="40% - Accent6 7 4 2 2 2" xfId="29124"/>
    <cellStyle name="40% - Accent6 7 4 2 3" xfId="22558"/>
    <cellStyle name="40% - Accent6 7 4 3" xfId="11294"/>
    <cellStyle name="40% - Accent6 7 4 3 2" xfId="25236"/>
    <cellStyle name="40% - Accent6 7 4 4" xfId="24050"/>
    <cellStyle name="40% - Accent6 7 5" xfId="5209"/>
    <cellStyle name="40% - Accent6 7 5 2" xfId="11955"/>
    <cellStyle name="40% - Accent6 7 5 2 2" xfId="25670"/>
    <cellStyle name="40% - Accent6 7 5 3" xfId="23248"/>
    <cellStyle name="40% - Accent6 7 6" xfId="5210"/>
    <cellStyle name="40% - Accent6 7 6 2" xfId="13085"/>
    <cellStyle name="40% - Accent6 7 6 2 2" xfId="26797"/>
    <cellStyle name="40% - Accent6 7 6 3" xfId="22557"/>
    <cellStyle name="40% - Accent6 7 7" xfId="5211"/>
    <cellStyle name="40% - Accent6 7 7 2" xfId="13532"/>
    <cellStyle name="40% - Accent6 7 7 2 2" xfId="27081"/>
    <cellStyle name="40% - Accent6 7 7 3" xfId="22556"/>
    <cellStyle name="40% - Accent6 7 8" xfId="5212"/>
    <cellStyle name="40% - Accent6 7 8 2" xfId="14113"/>
    <cellStyle name="40% - Accent6 7 8 2 2" xfId="27662"/>
    <cellStyle name="40% - Accent6 7 8 3" xfId="22555"/>
    <cellStyle name="40% - Accent6 7 9" xfId="5213"/>
    <cellStyle name="40% - Accent6 7 9 2" xfId="15570"/>
    <cellStyle name="40% - Accent6 7 9 2 2" xfId="29119"/>
    <cellStyle name="40% - Accent6 7 9 3" xfId="22554"/>
    <cellStyle name="40% - Accent6 8" xfId="5214"/>
    <cellStyle name="40% - Accent6 8 10" xfId="9571"/>
    <cellStyle name="40% - Accent6 8 10 2" xfId="24046"/>
    <cellStyle name="40% - Accent6 8 11" xfId="22553"/>
    <cellStyle name="40% - Accent6 8 2" xfId="5215"/>
    <cellStyle name="40% - Accent6 8 2 2" xfId="5216"/>
    <cellStyle name="40% - Accent6 8 2 2 2" xfId="11299"/>
    <cellStyle name="40% - Accent6 8 2 2 2 2" xfId="25241"/>
    <cellStyle name="40% - Accent6 8 2 2 3" xfId="22551"/>
    <cellStyle name="40% - Accent6 8 2 3" xfId="5217"/>
    <cellStyle name="40% - Accent6 8 2 3 2" xfId="13090"/>
    <cellStyle name="40% - Accent6 8 2 3 2 2" xfId="26802"/>
    <cellStyle name="40% - Accent6 8 2 3 3" xfId="22550"/>
    <cellStyle name="40% - Accent6 8 2 4" xfId="5218"/>
    <cellStyle name="40% - Accent6 8 2 4 2" xfId="15577"/>
    <cellStyle name="40% - Accent6 8 2 4 2 2" xfId="29126"/>
    <cellStyle name="40% - Accent6 8 2 4 3" xfId="22549"/>
    <cellStyle name="40% - Accent6 8 2 5" xfId="5219"/>
    <cellStyle name="40% - Accent6 8 2 5 2" xfId="16723"/>
    <cellStyle name="40% - Accent6 8 2 5 2 2" xfId="30130"/>
    <cellStyle name="40% - Accent6 8 2 5 3" xfId="22548"/>
    <cellStyle name="40% - Accent6 8 2 6" xfId="9572"/>
    <cellStyle name="40% - Accent6 8 2 6 2" xfId="24047"/>
    <cellStyle name="40% - Accent6 8 2 7" xfId="22552"/>
    <cellStyle name="40% - Accent6 8 3" xfId="5220"/>
    <cellStyle name="40% - Accent6 8 3 2" xfId="5221"/>
    <cellStyle name="40% - Accent6 8 3 2 2" xfId="15578"/>
    <cellStyle name="40% - Accent6 8 3 2 2 2" xfId="29127"/>
    <cellStyle name="40% - Accent6 8 3 2 3" xfId="22546"/>
    <cellStyle name="40% - Accent6 8 3 3" xfId="11298"/>
    <cellStyle name="40% - Accent6 8 3 3 2" xfId="25240"/>
    <cellStyle name="40% - Accent6 8 3 4" xfId="22547"/>
    <cellStyle name="40% - Accent6 8 4" xfId="5222"/>
    <cellStyle name="40% - Accent6 8 4 2" xfId="12101"/>
    <cellStyle name="40% - Accent6 8 4 2 2" xfId="25815"/>
    <cellStyle name="40% - Accent6 8 4 3" xfId="22545"/>
    <cellStyle name="40% - Accent6 8 5" xfId="5223"/>
    <cellStyle name="40% - Accent6 8 5 2" xfId="13089"/>
    <cellStyle name="40% - Accent6 8 5 2 2" xfId="26801"/>
    <cellStyle name="40% - Accent6 8 5 3" xfId="22544"/>
    <cellStyle name="40% - Accent6 8 6" xfId="5224"/>
    <cellStyle name="40% - Accent6 8 6 2" xfId="13675"/>
    <cellStyle name="40% - Accent6 8 6 2 2" xfId="27224"/>
    <cellStyle name="40% - Accent6 8 6 3" xfId="22543"/>
    <cellStyle name="40% - Accent6 8 7" xfId="5225"/>
    <cellStyle name="40% - Accent6 8 7 2" xfId="14256"/>
    <cellStyle name="40% - Accent6 8 7 2 2" xfId="27805"/>
    <cellStyle name="40% - Accent6 8 7 3" xfId="22542"/>
    <cellStyle name="40% - Accent6 8 8" xfId="5226"/>
    <cellStyle name="40% - Accent6 8 8 2" xfId="15576"/>
    <cellStyle name="40% - Accent6 8 8 2 2" xfId="29125"/>
    <cellStyle name="40% - Accent6 8 8 3" xfId="22541"/>
    <cellStyle name="40% - Accent6 8 9" xfId="5227"/>
    <cellStyle name="40% - Accent6 8 9 2" xfId="16142"/>
    <cellStyle name="40% - Accent6 8 9 2 2" xfId="29549"/>
    <cellStyle name="40% - Accent6 8 9 3" xfId="22540"/>
    <cellStyle name="40% - Accent6 9" xfId="5228"/>
    <cellStyle name="40% - Accent6 9 2" xfId="5229"/>
    <cellStyle name="40% - Accent6 9 2 2" xfId="11300"/>
    <cellStyle name="40% - Accent6 9 2 2 2" xfId="25242"/>
    <cellStyle name="40% - Accent6 9 2 3" xfId="22538"/>
    <cellStyle name="40% - Accent6 9 3" xfId="5230"/>
    <cellStyle name="40% - Accent6 9 3 2" xfId="13091"/>
    <cellStyle name="40% - Accent6 9 3 2 2" xfId="26803"/>
    <cellStyle name="40% - Accent6 9 3 3" xfId="22537"/>
    <cellStyle name="40% - Accent6 9 4" xfId="5231"/>
    <cellStyle name="40% - Accent6 9 4 2" xfId="15579"/>
    <cellStyle name="40% - Accent6 9 4 2 2" xfId="29128"/>
    <cellStyle name="40% - Accent6 9 4 3" xfId="22536"/>
    <cellStyle name="40% - Accent6 9 5" xfId="5232"/>
    <cellStyle name="40% - Accent6 9 5 2" xfId="17107"/>
    <cellStyle name="40% - Accent6 9 5 2 2" xfId="30466"/>
    <cellStyle name="40% - Accent6 9 5 3" xfId="22535"/>
    <cellStyle name="40% - Accent6 9 6" xfId="9573"/>
    <cellStyle name="40% - Accent6 9 6 2" xfId="24048"/>
    <cellStyle name="40% - Accent6 9 7" xfId="22539"/>
    <cellStyle name="60% - Accent1" xfId="30" builtinId="32" customBuiltin="1"/>
    <cellStyle name="60% - Accent1 10" xfId="5233"/>
    <cellStyle name="60% - Accent1 10 2" xfId="9575"/>
    <cellStyle name="60% - Accent1 10 3" xfId="22534"/>
    <cellStyle name="60% - Accent1 11" xfId="5234"/>
    <cellStyle name="60% - Accent1 11 2" xfId="9576"/>
    <cellStyle name="60% - Accent1 11 3" xfId="22533"/>
    <cellStyle name="60% - Accent1 12" xfId="5235"/>
    <cellStyle name="60% - Accent1 12 2" xfId="5236"/>
    <cellStyle name="60% - Accent1 12 2 2" xfId="15580"/>
    <cellStyle name="60% - Accent1 12 2 3" xfId="22531"/>
    <cellStyle name="60% - Accent1 12 3" xfId="10474"/>
    <cellStyle name="60% - Accent1 12 4" xfId="22532"/>
    <cellStyle name="60% - Accent1 13" xfId="5237"/>
    <cellStyle name="60% - Accent1 13 2" xfId="11301"/>
    <cellStyle name="60% - Accent1 13 3" xfId="22530"/>
    <cellStyle name="60% - Accent1 14" xfId="5238"/>
    <cellStyle name="60% - Accent1 14 2" xfId="9574"/>
    <cellStyle name="60% - Accent1 14 3" xfId="22529"/>
    <cellStyle name="60% - Accent1 2" xfId="5239"/>
    <cellStyle name="60% - Accent1 2 2" xfId="9577"/>
    <cellStyle name="60% - Accent1 2 3" xfId="22528"/>
    <cellStyle name="60% - Accent1 2 4" xfId="33064"/>
    <cellStyle name="60% - Accent1 3" xfId="5240"/>
    <cellStyle name="60% - Accent1 3 2" xfId="5241"/>
    <cellStyle name="60% - Accent1 3 2 2" xfId="9579"/>
    <cellStyle name="60% - Accent1 3 2 3" xfId="22526"/>
    <cellStyle name="60% - Accent1 3 3" xfId="9578"/>
    <cellStyle name="60% - Accent1 3 4" xfId="22527"/>
    <cellStyle name="60% - Accent1 3 5" xfId="33104"/>
    <cellStyle name="60% - Accent1 4" xfId="5242"/>
    <cellStyle name="60% - Accent1 4 2" xfId="5243"/>
    <cellStyle name="60% - Accent1 4 2 2" xfId="13093"/>
    <cellStyle name="60% - Accent1 4 2 3" xfId="22524"/>
    <cellStyle name="60% - Accent1 4 3" xfId="5244"/>
    <cellStyle name="60% - Accent1 4 3 2" xfId="13092"/>
    <cellStyle name="60% - Accent1 4 3 3" xfId="22523"/>
    <cellStyle name="60% - Accent1 4 4" xfId="9580"/>
    <cellStyle name="60% - Accent1 4 5" xfId="22525"/>
    <cellStyle name="60% - Accent1 5" xfId="5245"/>
    <cellStyle name="60% - Accent1 5 2" xfId="5246"/>
    <cellStyle name="60% - Accent1 5 2 2" xfId="9582"/>
    <cellStyle name="60% - Accent1 5 2 3" xfId="22521"/>
    <cellStyle name="60% - Accent1 5 3" xfId="9581"/>
    <cellStyle name="60% - Accent1 5 4" xfId="22522"/>
    <cellStyle name="60% - Accent1 6" xfId="5247"/>
    <cellStyle name="60% - Accent1 6 2" xfId="9583"/>
    <cellStyle name="60% - Accent1 6 3" xfId="22520"/>
    <cellStyle name="60% - Accent1 7" xfId="5248"/>
    <cellStyle name="60% - Accent1 7 2" xfId="9584"/>
    <cellStyle name="60% - Accent1 7 3" xfId="22519"/>
    <cellStyle name="60% - Accent1 8" xfId="5249"/>
    <cellStyle name="60% - Accent1 8 2" xfId="9585"/>
    <cellStyle name="60% - Accent1 8 3" xfId="22518"/>
    <cellStyle name="60% - Accent1 9" xfId="5250"/>
    <cellStyle name="60% - Accent1 9 2" xfId="9586"/>
    <cellStyle name="60% - Accent1 9 3" xfId="22517"/>
    <cellStyle name="60% - Accent2" xfId="34" builtinId="36" customBuiltin="1"/>
    <cellStyle name="60% - Accent2 10" xfId="5251"/>
    <cellStyle name="60% - Accent2 10 2" xfId="9588"/>
    <cellStyle name="60% - Accent2 10 3" xfId="22516"/>
    <cellStyle name="60% - Accent2 11" xfId="5252"/>
    <cellStyle name="60% - Accent2 11 2" xfId="9589"/>
    <cellStyle name="60% - Accent2 11 3" xfId="22515"/>
    <cellStyle name="60% - Accent2 12" xfId="5253"/>
    <cellStyle name="60% - Accent2 12 2" xfId="5254"/>
    <cellStyle name="60% - Accent2 12 2 2" xfId="15581"/>
    <cellStyle name="60% - Accent2 12 2 3" xfId="22513"/>
    <cellStyle name="60% - Accent2 12 3" xfId="10475"/>
    <cellStyle name="60% - Accent2 12 4" xfId="22514"/>
    <cellStyle name="60% - Accent2 13" xfId="5255"/>
    <cellStyle name="60% - Accent2 13 2" xfId="11302"/>
    <cellStyle name="60% - Accent2 13 3" xfId="22512"/>
    <cellStyle name="60% - Accent2 14" xfId="5256"/>
    <cellStyle name="60% - Accent2 14 2" xfId="9587"/>
    <cellStyle name="60% - Accent2 14 3" xfId="22511"/>
    <cellStyle name="60% - Accent2 2" xfId="5257"/>
    <cellStyle name="60% - Accent2 2 2" xfId="9590"/>
    <cellStyle name="60% - Accent2 2 3" xfId="22510"/>
    <cellStyle name="60% - Accent2 2 4" xfId="33068"/>
    <cellStyle name="60% - Accent2 3" xfId="5258"/>
    <cellStyle name="60% - Accent2 3 2" xfId="5259"/>
    <cellStyle name="60% - Accent2 3 2 2" xfId="9592"/>
    <cellStyle name="60% - Accent2 3 2 3" xfId="22508"/>
    <cellStyle name="60% - Accent2 3 3" xfId="9591"/>
    <cellStyle name="60% - Accent2 3 4" xfId="22509"/>
    <cellStyle name="60% - Accent2 3 5" xfId="33105"/>
    <cellStyle name="60% - Accent2 4" xfId="5260"/>
    <cellStyle name="60% - Accent2 4 2" xfId="5261"/>
    <cellStyle name="60% - Accent2 4 2 2" xfId="13095"/>
    <cellStyle name="60% - Accent2 4 2 3" xfId="22506"/>
    <cellStyle name="60% - Accent2 4 3" xfId="5262"/>
    <cellStyle name="60% - Accent2 4 3 2" xfId="13094"/>
    <cellStyle name="60% - Accent2 4 3 3" xfId="22505"/>
    <cellStyle name="60% - Accent2 4 4" xfId="9593"/>
    <cellStyle name="60% - Accent2 4 5" xfId="22507"/>
    <cellStyle name="60% - Accent2 5" xfId="5263"/>
    <cellStyle name="60% - Accent2 5 2" xfId="5264"/>
    <cellStyle name="60% - Accent2 5 2 2" xfId="9595"/>
    <cellStyle name="60% - Accent2 5 2 3" xfId="22503"/>
    <cellStyle name="60% - Accent2 5 3" xfId="9594"/>
    <cellStyle name="60% - Accent2 5 4" xfId="22504"/>
    <cellStyle name="60% - Accent2 6" xfId="5265"/>
    <cellStyle name="60% - Accent2 6 2" xfId="9596"/>
    <cellStyle name="60% - Accent2 6 3" xfId="22502"/>
    <cellStyle name="60% - Accent2 7" xfId="5266"/>
    <cellStyle name="60% - Accent2 7 2" xfId="9597"/>
    <cellStyle name="60% - Accent2 7 3" xfId="22501"/>
    <cellStyle name="60% - Accent2 8" xfId="5267"/>
    <cellStyle name="60% - Accent2 8 2" xfId="9598"/>
    <cellStyle name="60% - Accent2 8 3" xfId="22500"/>
    <cellStyle name="60% - Accent2 9" xfId="5268"/>
    <cellStyle name="60% - Accent2 9 2" xfId="9599"/>
    <cellStyle name="60% - Accent2 9 3" xfId="22499"/>
    <cellStyle name="60% - Accent3" xfId="38" builtinId="40" customBuiltin="1"/>
    <cellStyle name="60% - Accent3 10" xfId="5269"/>
    <cellStyle name="60% - Accent3 10 2" xfId="9601"/>
    <cellStyle name="60% - Accent3 10 3" xfId="22498"/>
    <cellStyle name="60% - Accent3 11" xfId="5270"/>
    <cellStyle name="60% - Accent3 11 2" xfId="9602"/>
    <cellStyle name="60% - Accent3 11 3" xfId="22497"/>
    <cellStyle name="60% - Accent3 12" xfId="5271"/>
    <cellStyle name="60% - Accent3 12 2" xfId="5272"/>
    <cellStyle name="60% - Accent3 12 2 2" xfId="15582"/>
    <cellStyle name="60% - Accent3 12 2 3" xfId="22495"/>
    <cellStyle name="60% - Accent3 12 3" xfId="10476"/>
    <cellStyle name="60% - Accent3 12 4" xfId="22496"/>
    <cellStyle name="60% - Accent3 13" xfId="5273"/>
    <cellStyle name="60% - Accent3 13 2" xfId="11303"/>
    <cellStyle name="60% - Accent3 13 3" xfId="22494"/>
    <cellStyle name="60% - Accent3 14" xfId="5274"/>
    <cellStyle name="60% - Accent3 14 2" xfId="9600"/>
    <cellStyle name="60% - Accent3 14 3" xfId="22493"/>
    <cellStyle name="60% - Accent3 2" xfId="5275"/>
    <cellStyle name="60% - Accent3 2 2" xfId="9603"/>
    <cellStyle name="60% - Accent3 2 3" xfId="22492"/>
    <cellStyle name="60% - Accent3 2 4" xfId="33072"/>
    <cellStyle name="60% - Accent3 3" xfId="5276"/>
    <cellStyle name="60% - Accent3 3 2" xfId="5277"/>
    <cellStyle name="60% - Accent3 3 2 2" xfId="9605"/>
    <cellStyle name="60% - Accent3 3 2 3" xfId="22490"/>
    <cellStyle name="60% - Accent3 3 3" xfId="9604"/>
    <cellStyle name="60% - Accent3 3 4" xfId="22491"/>
    <cellStyle name="60% - Accent3 3 5" xfId="33106"/>
    <cellStyle name="60% - Accent3 4" xfId="5278"/>
    <cellStyle name="60% - Accent3 4 2" xfId="5279"/>
    <cellStyle name="60% - Accent3 4 2 2" xfId="13097"/>
    <cellStyle name="60% - Accent3 4 2 3" xfId="22488"/>
    <cellStyle name="60% - Accent3 4 3" xfId="5280"/>
    <cellStyle name="60% - Accent3 4 3 2" xfId="13096"/>
    <cellStyle name="60% - Accent3 4 3 3" xfId="22487"/>
    <cellStyle name="60% - Accent3 4 4" xfId="9606"/>
    <cellStyle name="60% - Accent3 4 5" xfId="22489"/>
    <cellStyle name="60% - Accent3 5" xfId="5281"/>
    <cellStyle name="60% - Accent3 5 2" xfId="5282"/>
    <cellStyle name="60% - Accent3 5 2 2" xfId="9608"/>
    <cellStyle name="60% - Accent3 5 2 3" xfId="22485"/>
    <cellStyle name="60% - Accent3 5 3" xfId="9607"/>
    <cellStyle name="60% - Accent3 5 4" xfId="22486"/>
    <cellStyle name="60% - Accent3 6" xfId="5283"/>
    <cellStyle name="60% - Accent3 6 2" xfId="9609"/>
    <cellStyle name="60% - Accent3 6 3" xfId="22484"/>
    <cellStyle name="60% - Accent3 7" xfId="5284"/>
    <cellStyle name="60% - Accent3 7 2" xfId="9610"/>
    <cellStyle name="60% - Accent3 7 3" xfId="22483"/>
    <cellStyle name="60% - Accent3 8" xfId="5285"/>
    <cellStyle name="60% - Accent3 8 2" xfId="9611"/>
    <cellStyle name="60% - Accent3 8 3" xfId="22482"/>
    <cellStyle name="60% - Accent3 9" xfId="5286"/>
    <cellStyle name="60% - Accent3 9 2" xfId="9612"/>
    <cellStyle name="60% - Accent3 9 3" xfId="22481"/>
    <cellStyle name="60% - Accent4" xfId="42" builtinId="44" customBuiltin="1"/>
    <cellStyle name="60% - Accent4 10" xfId="5287"/>
    <cellStyle name="60% - Accent4 10 2" xfId="9614"/>
    <cellStyle name="60% - Accent4 10 3" xfId="22480"/>
    <cellStyle name="60% - Accent4 11" xfId="5288"/>
    <cellStyle name="60% - Accent4 11 2" xfId="9615"/>
    <cellStyle name="60% - Accent4 11 3" xfId="22479"/>
    <cellStyle name="60% - Accent4 12" xfId="5289"/>
    <cellStyle name="60% - Accent4 12 2" xfId="5290"/>
    <cellStyle name="60% - Accent4 12 2 2" xfId="15583"/>
    <cellStyle name="60% - Accent4 12 2 3" xfId="22477"/>
    <cellStyle name="60% - Accent4 12 3" xfId="10477"/>
    <cellStyle name="60% - Accent4 12 4" xfId="22478"/>
    <cellStyle name="60% - Accent4 13" xfId="5291"/>
    <cellStyle name="60% - Accent4 13 2" xfId="11304"/>
    <cellStyle name="60% - Accent4 13 3" xfId="22476"/>
    <cellStyle name="60% - Accent4 14" xfId="5292"/>
    <cellStyle name="60% - Accent4 14 2" xfId="9613"/>
    <cellStyle name="60% - Accent4 14 3" xfId="22475"/>
    <cellStyle name="60% - Accent4 2" xfId="5293"/>
    <cellStyle name="60% - Accent4 2 2" xfId="9616"/>
    <cellStyle name="60% - Accent4 2 3" xfId="22474"/>
    <cellStyle name="60% - Accent4 2 4" xfId="33076"/>
    <cellStyle name="60% - Accent4 3" xfId="5294"/>
    <cellStyle name="60% - Accent4 3 2" xfId="5295"/>
    <cellStyle name="60% - Accent4 3 2 2" xfId="9618"/>
    <cellStyle name="60% - Accent4 3 2 3" xfId="22472"/>
    <cellStyle name="60% - Accent4 3 3" xfId="9617"/>
    <cellStyle name="60% - Accent4 3 4" xfId="22473"/>
    <cellStyle name="60% - Accent4 3 5" xfId="33107"/>
    <cellStyle name="60% - Accent4 4" xfId="5296"/>
    <cellStyle name="60% - Accent4 4 2" xfId="5297"/>
    <cellStyle name="60% - Accent4 4 2 2" xfId="13099"/>
    <cellStyle name="60% - Accent4 4 2 3" xfId="22470"/>
    <cellStyle name="60% - Accent4 4 3" xfId="5298"/>
    <cellStyle name="60% - Accent4 4 3 2" xfId="13098"/>
    <cellStyle name="60% - Accent4 4 3 3" xfId="22469"/>
    <cellStyle name="60% - Accent4 4 4" xfId="9619"/>
    <cellStyle name="60% - Accent4 4 5" xfId="22471"/>
    <cellStyle name="60% - Accent4 5" xfId="5299"/>
    <cellStyle name="60% - Accent4 5 2" xfId="5300"/>
    <cellStyle name="60% - Accent4 5 2 2" xfId="9621"/>
    <cellStyle name="60% - Accent4 5 2 3" xfId="22467"/>
    <cellStyle name="60% - Accent4 5 3" xfId="9620"/>
    <cellStyle name="60% - Accent4 5 4" xfId="22468"/>
    <cellStyle name="60% - Accent4 6" xfId="5301"/>
    <cellStyle name="60% - Accent4 6 2" xfId="9622"/>
    <cellStyle name="60% - Accent4 6 3" xfId="22466"/>
    <cellStyle name="60% - Accent4 7" xfId="5302"/>
    <cellStyle name="60% - Accent4 7 2" xfId="9623"/>
    <cellStyle name="60% - Accent4 7 3" xfId="22465"/>
    <cellStyle name="60% - Accent4 8" xfId="5303"/>
    <cellStyle name="60% - Accent4 8 2" xfId="9624"/>
    <cellStyle name="60% - Accent4 8 3" xfId="22464"/>
    <cellStyle name="60% - Accent4 9" xfId="5304"/>
    <cellStyle name="60% - Accent4 9 2" xfId="9625"/>
    <cellStyle name="60% - Accent4 9 3" xfId="22463"/>
    <cellStyle name="60% - Accent5" xfId="45" builtinId="48" customBuiltin="1"/>
    <cellStyle name="60% - Accent5 10" xfId="5305"/>
    <cellStyle name="60% - Accent5 10 2" xfId="9627"/>
    <cellStyle name="60% - Accent5 10 3" xfId="22462"/>
    <cellStyle name="60% - Accent5 11" xfId="5306"/>
    <cellStyle name="60% - Accent5 11 2" xfId="9628"/>
    <cellStyle name="60% - Accent5 11 3" xfId="22461"/>
    <cellStyle name="60% - Accent5 12" xfId="5307"/>
    <cellStyle name="60% - Accent5 12 2" xfId="5308"/>
    <cellStyle name="60% - Accent5 12 2 2" xfId="15584"/>
    <cellStyle name="60% - Accent5 12 2 3" xfId="22459"/>
    <cellStyle name="60% - Accent5 12 3" xfId="10478"/>
    <cellStyle name="60% - Accent5 12 4" xfId="22460"/>
    <cellStyle name="60% - Accent5 13" xfId="5309"/>
    <cellStyle name="60% - Accent5 13 2" xfId="11305"/>
    <cellStyle name="60% - Accent5 13 3" xfId="22458"/>
    <cellStyle name="60% - Accent5 14" xfId="5310"/>
    <cellStyle name="60% - Accent5 14 2" xfId="9626"/>
    <cellStyle name="60% - Accent5 14 3" xfId="22457"/>
    <cellStyle name="60% - Accent5 2" xfId="5311"/>
    <cellStyle name="60% - Accent5 2 2" xfId="9629"/>
    <cellStyle name="60% - Accent5 2 3" xfId="22456"/>
    <cellStyle name="60% - Accent5 2 4" xfId="33080"/>
    <cellStyle name="60% - Accent5 3" xfId="5312"/>
    <cellStyle name="60% - Accent5 3 2" xfId="5313"/>
    <cellStyle name="60% - Accent5 3 2 2" xfId="9631"/>
    <cellStyle name="60% - Accent5 3 2 3" xfId="22454"/>
    <cellStyle name="60% - Accent5 3 3" xfId="9630"/>
    <cellStyle name="60% - Accent5 3 4" xfId="22455"/>
    <cellStyle name="60% - Accent5 3 5" xfId="33108"/>
    <cellStyle name="60% - Accent5 4" xfId="5314"/>
    <cellStyle name="60% - Accent5 4 2" xfId="5315"/>
    <cellStyle name="60% - Accent5 4 2 2" xfId="13101"/>
    <cellStyle name="60% - Accent5 4 2 3" xfId="22452"/>
    <cellStyle name="60% - Accent5 4 3" xfId="5316"/>
    <cellStyle name="60% - Accent5 4 3 2" xfId="13100"/>
    <cellStyle name="60% - Accent5 4 3 3" xfId="22451"/>
    <cellStyle name="60% - Accent5 4 4" xfId="9632"/>
    <cellStyle name="60% - Accent5 4 5" xfId="22453"/>
    <cellStyle name="60% - Accent5 5" xfId="5317"/>
    <cellStyle name="60% - Accent5 5 2" xfId="5318"/>
    <cellStyle name="60% - Accent5 5 2 2" xfId="9634"/>
    <cellStyle name="60% - Accent5 5 2 3" xfId="22449"/>
    <cellStyle name="60% - Accent5 5 3" xfId="9633"/>
    <cellStyle name="60% - Accent5 5 4" xfId="22450"/>
    <cellStyle name="60% - Accent5 6" xfId="5319"/>
    <cellStyle name="60% - Accent5 6 2" xfId="9635"/>
    <cellStyle name="60% - Accent5 6 3" xfId="22448"/>
    <cellStyle name="60% - Accent5 7" xfId="5320"/>
    <cellStyle name="60% - Accent5 7 2" xfId="9636"/>
    <cellStyle name="60% - Accent5 7 3" xfId="22447"/>
    <cellStyle name="60% - Accent5 8" xfId="5321"/>
    <cellStyle name="60% - Accent5 8 2" xfId="9637"/>
    <cellStyle name="60% - Accent5 8 3" xfId="22446"/>
    <cellStyle name="60% - Accent5 9" xfId="5322"/>
    <cellStyle name="60% - Accent5 9 2" xfId="9638"/>
    <cellStyle name="60% - Accent5 9 3" xfId="22445"/>
    <cellStyle name="60% - Accent6" xfId="49" builtinId="52" customBuiltin="1"/>
    <cellStyle name="60% - Accent6 10" xfId="5323"/>
    <cellStyle name="60% - Accent6 10 2" xfId="9640"/>
    <cellStyle name="60% - Accent6 10 3" xfId="22444"/>
    <cellStyle name="60% - Accent6 11" xfId="5324"/>
    <cellStyle name="60% - Accent6 11 2" xfId="9641"/>
    <cellStyle name="60% - Accent6 11 3" xfId="22443"/>
    <cellStyle name="60% - Accent6 12" xfId="5325"/>
    <cellStyle name="60% - Accent6 12 2" xfId="5326"/>
    <cellStyle name="60% - Accent6 12 2 2" xfId="15585"/>
    <cellStyle name="60% - Accent6 12 2 3" xfId="22441"/>
    <cellStyle name="60% - Accent6 12 3" xfId="10479"/>
    <cellStyle name="60% - Accent6 12 4" xfId="22442"/>
    <cellStyle name="60% - Accent6 13" xfId="5327"/>
    <cellStyle name="60% - Accent6 13 2" xfId="11306"/>
    <cellStyle name="60% - Accent6 13 3" xfId="22440"/>
    <cellStyle name="60% - Accent6 14" xfId="5328"/>
    <cellStyle name="60% - Accent6 14 2" xfId="9639"/>
    <cellStyle name="60% - Accent6 14 3" xfId="22439"/>
    <cellStyle name="60% - Accent6 2" xfId="5329"/>
    <cellStyle name="60% - Accent6 2 2" xfId="9642"/>
    <cellStyle name="60% - Accent6 2 3" xfId="22438"/>
    <cellStyle name="60% - Accent6 2 4" xfId="33084"/>
    <cellStyle name="60% - Accent6 3" xfId="5330"/>
    <cellStyle name="60% - Accent6 3 2" xfId="5331"/>
    <cellStyle name="60% - Accent6 3 2 2" xfId="9644"/>
    <cellStyle name="60% - Accent6 3 2 3" xfId="22436"/>
    <cellStyle name="60% - Accent6 3 3" xfId="9643"/>
    <cellStyle name="60% - Accent6 3 4" xfId="22437"/>
    <cellStyle name="60% - Accent6 3 5" xfId="33109"/>
    <cellStyle name="60% - Accent6 4" xfId="5332"/>
    <cellStyle name="60% - Accent6 4 2" xfId="5333"/>
    <cellStyle name="60% - Accent6 4 2 2" xfId="13103"/>
    <cellStyle name="60% - Accent6 4 2 3" xfId="22434"/>
    <cellStyle name="60% - Accent6 4 3" xfId="5334"/>
    <cellStyle name="60% - Accent6 4 3 2" xfId="13102"/>
    <cellStyle name="60% - Accent6 4 3 3" xfId="22433"/>
    <cellStyle name="60% - Accent6 4 4" xfId="9645"/>
    <cellStyle name="60% - Accent6 4 5" xfId="22435"/>
    <cellStyle name="60% - Accent6 5" xfId="5335"/>
    <cellStyle name="60% - Accent6 5 2" xfId="5336"/>
    <cellStyle name="60% - Accent6 5 2 2" xfId="9647"/>
    <cellStyle name="60% - Accent6 5 2 3" xfId="22431"/>
    <cellStyle name="60% - Accent6 5 3" xfId="9646"/>
    <cellStyle name="60% - Accent6 5 4" xfId="22432"/>
    <cellStyle name="60% - Accent6 6" xfId="5337"/>
    <cellStyle name="60% - Accent6 6 2" xfId="9648"/>
    <cellStyle name="60% - Accent6 6 3" xfId="22430"/>
    <cellStyle name="60% - Accent6 7" xfId="5338"/>
    <cellStyle name="60% - Accent6 7 2" xfId="9649"/>
    <cellStyle name="60% - Accent6 7 3" xfId="22429"/>
    <cellStyle name="60% - Accent6 8" xfId="5339"/>
    <cellStyle name="60% - Accent6 8 2" xfId="9650"/>
    <cellStyle name="60% - Accent6 8 3" xfId="22428"/>
    <cellStyle name="60% - Accent6 9" xfId="5340"/>
    <cellStyle name="60% - Accent6 9 2" xfId="9651"/>
    <cellStyle name="60% - Accent6 9 3" xfId="22427"/>
    <cellStyle name="Accent1" xfId="27" builtinId="29" customBuiltin="1"/>
    <cellStyle name="Accent1 10" xfId="5341"/>
    <cellStyle name="Accent1 10 2" xfId="9653"/>
    <cellStyle name="Accent1 10 3" xfId="22426"/>
    <cellStyle name="Accent1 11" xfId="5342"/>
    <cellStyle name="Accent1 11 2" xfId="9654"/>
    <cellStyle name="Accent1 11 3" xfId="22425"/>
    <cellStyle name="Accent1 12" xfId="5343"/>
    <cellStyle name="Accent1 12 2" xfId="5344"/>
    <cellStyle name="Accent1 12 2 2" xfId="15586"/>
    <cellStyle name="Accent1 12 2 3" xfId="22423"/>
    <cellStyle name="Accent1 12 3" xfId="10480"/>
    <cellStyle name="Accent1 12 4" xfId="22424"/>
    <cellStyle name="Accent1 13" xfId="5345"/>
    <cellStyle name="Accent1 13 2" xfId="11307"/>
    <cellStyle name="Accent1 13 3" xfId="22422"/>
    <cellStyle name="Accent1 14" xfId="5346"/>
    <cellStyle name="Accent1 14 2" xfId="9652"/>
    <cellStyle name="Accent1 14 3" xfId="22421"/>
    <cellStyle name="Accent1 2" xfId="5347"/>
    <cellStyle name="Accent1 2 2" xfId="9655"/>
    <cellStyle name="Accent1 2 3" xfId="22420"/>
    <cellStyle name="Accent1 2 4" xfId="33061"/>
    <cellStyle name="Accent1 3" xfId="5348"/>
    <cellStyle name="Accent1 3 2" xfId="5349"/>
    <cellStyle name="Accent1 3 2 2" xfId="9657"/>
    <cellStyle name="Accent1 3 2 3" xfId="22418"/>
    <cellStyle name="Accent1 3 3" xfId="9656"/>
    <cellStyle name="Accent1 3 4" xfId="22419"/>
    <cellStyle name="Accent1 4" xfId="5350"/>
    <cellStyle name="Accent1 4 2" xfId="5351"/>
    <cellStyle name="Accent1 4 2 2" xfId="13105"/>
    <cellStyle name="Accent1 4 2 3" xfId="22416"/>
    <cellStyle name="Accent1 4 3" xfId="5352"/>
    <cellStyle name="Accent1 4 3 2" xfId="13104"/>
    <cellStyle name="Accent1 4 3 3" xfId="22415"/>
    <cellStyle name="Accent1 4 4" xfId="9658"/>
    <cellStyle name="Accent1 4 5" xfId="22417"/>
    <cellStyle name="Accent1 5" xfId="5353"/>
    <cellStyle name="Accent1 5 2" xfId="5354"/>
    <cellStyle name="Accent1 5 2 2" xfId="9660"/>
    <cellStyle name="Accent1 5 2 3" xfId="22413"/>
    <cellStyle name="Accent1 5 3" xfId="9659"/>
    <cellStyle name="Accent1 5 4" xfId="22414"/>
    <cellStyle name="Accent1 6" xfId="5355"/>
    <cellStyle name="Accent1 6 2" xfId="9661"/>
    <cellStyle name="Accent1 6 3" xfId="22412"/>
    <cellStyle name="Accent1 7" xfId="5356"/>
    <cellStyle name="Accent1 7 2" xfId="9662"/>
    <cellStyle name="Accent1 7 3" xfId="22411"/>
    <cellStyle name="Accent1 8" xfId="5357"/>
    <cellStyle name="Accent1 8 2" xfId="9663"/>
    <cellStyle name="Accent1 8 3" xfId="22410"/>
    <cellStyle name="Accent1 9" xfId="5358"/>
    <cellStyle name="Accent1 9 2" xfId="9664"/>
    <cellStyle name="Accent1 9 3" xfId="22409"/>
    <cellStyle name="Accent2" xfId="31" builtinId="33" customBuiltin="1"/>
    <cellStyle name="Accent2 10" xfId="5359"/>
    <cellStyle name="Accent2 10 2" xfId="9666"/>
    <cellStyle name="Accent2 10 3" xfId="22408"/>
    <cellStyle name="Accent2 11" xfId="5360"/>
    <cellStyle name="Accent2 11 2" xfId="9667"/>
    <cellStyle name="Accent2 11 3" xfId="22407"/>
    <cellStyle name="Accent2 12" xfId="5361"/>
    <cellStyle name="Accent2 12 2" xfId="5362"/>
    <cellStyle name="Accent2 12 2 2" xfId="15587"/>
    <cellStyle name="Accent2 12 2 3" xfId="22405"/>
    <cellStyle name="Accent2 12 3" xfId="10481"/>
    <cellStyle name="Accent2 12 4" xfId="22406"/>
    <cellStyle name="Accent2 13" xfId="5363"/>
    <cellStyle name="Accent2 13 2" xfId="11308"/>
    <cellStyle name="Accent2 13 3" xfId="22404"/>
    <cellStyle name="Accent2 14" xfId="5364"/>
    <cellStyle name="Accent2 14 2" xfId="9665"/>
    <cellStyle name="Accent2 14 3" xfId="22403"/>
    <cellStyle name="Accent2 2" xfId="5365"/>
    <cellStyle name="Accent2 2 2" xfId="9668"/>
    <cellStyle name="Accent2 2 3" xfId="22402"/>
    <cellStyle name="Accent2 2 4" xfId="33065"/>
    <cellStyle name="Accent2 3" xfId="5366"/>
    <cellStyle name="Accent2 3 2" xfId="5367"/>
    <cellStyle name="Accent2 3 2 2" xfId="9670"/>
    <cellStyle name="Accent2 3 2 3" xfId="22400"/>
    <cellStyle name="Accent2 3 3" xfId="9669"/>
    <cellStyle name="Accent2 3 4" xfId="22401"/>
    <cellStyle name="Accent2 4" xfId="5368"/>
    <cellStyle name="Accent2 4 2" xfId="5369"/>
    <cellStyle name="Accent2 4 2 2" xfId="13107"/>
    <cellStyle name="Accent2 4 2 3" xfId="22398"/>
    <cellStyle name="Accent2 4 3" xfId="5370"/>
    <cellStyle name="Accent2 4 3 2" xfId="13106"/>
    <cellStyle name="Accent2 4 3 3" xfId="22397"/>
    <cellStyle name="Accent2 4 4" xfId="9671"/>
    <cellStyle name="Accent2 4 5" xfId="22399"/>
    <cellStyle name="Accent2 5" xfId="5371"/>
    <cellStyle name="Accent2 5 2" xfId="5372"/>
    <cellStyle name="Accent2 5 2 2" xfId="9673"/>
    <cellStyle name="Accent2 5 2 3" xfId="22395"/>
    <cellStyle name="Accent2 5 3" xfId="9672"/>
    <cellStyle name="Accent2 5 4" xfId="22396"/>
    <cellStyle name="Accent2 6" xfId="5373"/>
    <cellStyle name="Accent2 6 2" xfId="9674"/>
    <cellStyle name="Accent2 6 3" xfId="22394"/>
    <cellStyle name="Accent2 7" xfId="5374"/>
    <cellStyle name="Accent2 7 2" xfId="9675"/>
    <cellStyle name="Accent2 7 3" xfId="22393"/>
    <cellStyle name="Accent2 8" xfId="5375"/>
    <cellStyle name="Accent2 8 2" xfId="9676"/>
    <cellStyle name="Accent2 8 3" xfId="22392"/>
    <cellStyle name="Accent2 9" xfId="5376"/>
    <cellStyle name="Accent2 9 2" xfId="9677"/>
    <cellStyle name="Accent2 9 3" xfId="22391"/>
    <cellStyle name="Accent3" xfId="35" builtinId="37" customBuiltin="1"/>
    <cellStyle name="Accent3 10" xfId="5377"/>
    <cellStyle name="Accent3 10 2" xfId="9679"/>
    <cellStyle name="Accent3 10 3" xfId="22390"/>
    <cellStyle name="Accent3 11" xfId="5378"/>
    <cellStyle name="Accent3 11 2" xfId="9680"/>
    <cellStyle name="Accent3 11 3" xfId="22389"/>
    <cellStyle name="Accent3 12" xfId="5379"/>
    <cellStyle name="Accent3 12 2" xfId="5380"/>
    <cellStyle name="Accent3 12 2 2" xfId="15588"/>
    <cellStyle name="Accent3 12 2 3" xfId="22387"/>
    <cellStyle name="Accent3 12 3" xfId="10482"/>
    <cellStyle name="Accent3 12 4" xfId="22388"/>
    <cellStyle name="Accent3 13" xfId="5381"/>
    <cellStyle name="Accent3 13 2" xfId="11309"/>
    <cellStyle name="Accent3 13 3" xfId="22386"/>
    <cellStyle name="Accent3 14" xfId="5382"/>
    <cellStyle name="Accent3 14 2" xfId="9678"/>
    <cellStyle name="Accent3 14 3" xfId="22385"/>
    <cellStyle name="Accent3 2" xfId="5383"/>
    <cellStyle name="Accent3 2 2" xfId="9681"/>
    <cellStyle name="Accent3 2 3" xfId="22384"/>
    <cellStyle name="Accent3 2 4" xfId="33069"/>
    <cellStyle name="Accent3 3" xfId="5384"/>
    <cellStyle name="Accent3 3 2" xfId="5385"/>
    <cellStyle name="Accent3 3 2 2" xfId="9683"/>
    <cellStyle name="Accent3 3 2 3" xfId="22382"/>
    <cellStyle name="Accent3 3 3" xfId="9682"/>
    <cellStyle name="Accent3 3 4" xfId="22383"/>
    <cellStyle name="Accent3 4" xfId="5386"/>
    <cellStyle name="Accent3 4 2" xfId="5387"/>
    <cellStyle name="Accent3 4 2 2" xfId="13109"/>
    <cellStyle name="Accent3 4 2 3" xfId="22380"/>
    <cellStyle name="Accent3 4 3" xfId="5388"/>
    <cellStyle name="Accent3 4 3 2" xfId="13108"/>
    <cellStyle name="Accent3 4 3 3" xfId="22379"/>
    <cellStyle name="Accent3 4 4" xfId="9684"/>
    <cellStyle name="Accent3 4 5" xfId="22381"/>
    <cellStyle name="Accent3 5" xfId="5389"/>
    <cellStyle name="Accent3 5 2" xfId="5390"/>
    <cellStyle name="Accent3 5 2 2" xfId="9686"/>
    <cellStyle name="Accent3 5 2 3" xfId="22377"/>
    <cellStyle name="Accent3 5 3" xfId="9685"/>
    <cellStyle name="Accent3 5 4" xfId="22378"/>
    <cellStyle name="Accent3 6" xfId="5391"/>
    <cellStyle name="Accent3 6 2" xfId="9687"/>
    <cellStyle name="Accent3 6 3" xfId="22376"/>
    <cellStyle name="Accent3 7" xfId="5392"/>
    <cellStyle name="Accent3 7 2" xfId="9688"/>
    <cellStyle name="Accent3 7 3" xfId="22375"/>
    <cellStyle name="Accent3 8" xfId="5393"/>
    <cellStyle name="Accent3 8 2" xfId="9689"/>
    <cellStyle name="Accent3 8 3" xfId="22374"/>
    <cellStyle name="Accent3 9" xfId="5394"/>
    <cellStyle name="Accent3 9 2" xfId="9690"/>
    <cellStyle name="Accent3 9 3" xfId="22373"/>
    <cellStyle name="Accent4" xfId="39" builtinId="41" customBuiltin="1"/>
    <cellStyle name="Accent4 10" xfId="5395"/>
    <cellStyle name="Accent4 10 2" xfId="9692"/>
    <cellStyle name="Accent4 10 3" xfId="22372"/>
    <cellStyle name="Accent4 11" xfId="5396"/>
    <cellStyle name="Accent4 11 2" xfId="9693"/>
    <cellStyle name="Accent4 11 3" xfId="22371"/>
    <cellStyle name="Accent4 12" xfId="5397"/>
    <cellStyle name="Accent4 12 2" xfId="5398"/>
    <cellStyle name="Accent4 12 2 2" xfId="15589"/>
    <cellStyle name="Accent4 12 2 3" xfId="22369"/>
    <cellStyle name="Accent4 12 3" xfId="10483"/>
    <cellStyle name="Accent4 12 4" xfId="22370"/>
    <cellStyle name="Accent4 13" xfId="5399"/>
    <cellStyle name="Accent4 13 2" xfId="11310"/>
    <cellStyle name="Accent4 13 3" xfId="22368"/>
    <cellStyle name="Accent4 14" xfId="5400"/>
    <cellStyle name="Accent4 14 2" xfId="9691"/>
    <cellStyle name="Accent4 14 3" xfId="22367"/>
    <cellStyle name="Accent4 2" xfId="5401"/>
    <cellStyle name="Accent4 2 2" xfId="9694"/>
    <cellStyle name="Accent4 2 3" xfId="22366"/>
    <cellStyle name="Accent4 2 4" xfId="33073"/>
    <cellStyle name="Accent4 3" xfId="5402"/>
    <cellStyle name="Accent4 3 2" xfId="5403"/>
    <cellStyle name="Accent4 3 2 2" xfId="9696"/>
    <cellStyle name="Accent4 3 2 3" xfId="22364"/>
    <cellStyle name="Accent4 3 3" xfId="9695"/>
    <cellStyle name="Accent4 3 4" xfId="22365"/>
    <cellStyle name="Accent4 4" xfId="5404"/>
    <cellStyle name="Accent4 4 2" xfId="5405"/>
    <cellStyle name="Accent4 4 2 2" xfId="13111"/>
    <cellStyle name="Accent4 4 2 3" xfId="22362"/>
    <cellStyle name="Accent4 4 3" xfId="5406"/>
    <cellStyle name="Accent4 4 3 2" xfId="13110"/>
    <cellStyle name="Accent4 4 3 3" xfId="22361"/>
    <cellStyle name="Accent4 4 4" xfId="9697"/>
    <cellStyle name="Accent4 4 5" xfId="22363"/>
    <cellStyle name="Accent4 5" xfId="5407"/>
    <cellStyle name="Accent4 5 2" xfId="5408"/>
    <cellStyle name="Accent4 5 2 2" xfId="9699"/>
    <cellStyle name="Accent4 5 2 3" xfId="22359"/>
    <cellStyle name="Accent4 5 3" xfId="9698"/>
    <cellStyle name="Accent4 5 4" xfId="22360"/>
    <cellStyle name="Accent4 6" xfId="5409"/>
    <cellStyle name="Accent4 6 2" xfId="9700"/>
    <cellStyle name="Accent4 6 3" xfId="22358"/>
    <cellStyle name="Accent4 7" xfId="5410"/>
    <cellStyle name="Accent4 7 2" xfId="9701"/>
    <cellStyle name="Accent4 7 3" xfId="22357"/>
    <cellStyle name="Accent4 8" xfId="5411"/>
    <cellStyle name="Accent4 8 2" xfId="9702"/>
    <cellStyle name="Accent4 8 3" xfId="22356"/>
    <cellStyle name="Accent4 9" xfId="5412"/>
    <cellStyle name="Accent4 9 2" xfId="9703"/>
    <cellStyle name="Accent4 9 3" xfId="22355"/>
    <cellStyle name="Accent5" xfId="33037" builtinId="45" customBuiltin="1"/>
    <cellStyle name="Accent5 2" xfId="8817"/>
    <cellStyle name="Accent5 2 2" xfId="33077"/>
    <cellStyle name="Accent5 3" xfId="22354"/>
    <cellStyle name="Accent5 4" xfId="5413"/>
    <cellStyle name="Accent6" xfId="46" builtinId="49" customBuiltin="1"/>
    <cellStyle name="Accent6 10" xfId="5414"/>
    <cellStyle name="Accent6 10 2" xfId="9705"/>
    <cellStyle name="Accent6 10 3" xfId="22353"/>
    <cellStyle name="Accent6 11" xfId="5415"/>
    <cellStyle name="Accent6 11 2" xfId="9706"/>
    <cellStyle name="Accent6 11 3" xfId="22352"/>
    <cellStyle name="Accent6 12" xfId="5416"/>
    <cellStyle name="Accent6 12 2" xfId="5417"/>
    <cellStyle name="Accent6 12 2 2" xfId="15590"/>
    <cellStyle name="Accent6 12 2 3" xfId="22350"/>
    <cellStyle name="Accent6 12 3" xfId="10484"/>
    <cellStyle name="Accent6 12 4" xfId="22351"/>
    <cellStyle name="Accent6 13" xfId="5418"/>
    <cellStyle name="Accent6 13 2" xfId="11311"/>
    <cellStyle name="Accent6 13 3" xfId="22349"/>
    <cellStyle name="Accent6 14" xfId="5419"/>
    <cellStyle name="Accent6 14 2" xfId="9704"/>
    <cellStyle name="Accent6 14 3" xfId="22348"/>
    <cellStyle name="Accent6 2" xfId="5420"/>
    <cellStyle name="Accent6 2 2" xfId="9707"/>
    <cellStyle name="Accent6 2 3" xfId="22347"/>
    <cellStyle name="Accent6 2 4" xfId="33081"/>
    <cellStyle name="Accent6 3" xfId="5421"/>
    <cellStyle name="Accent6 3 2" xfId="5422"/>
    <cellStyle name="Accent6 3 2 2" xfId="9709"/>
    <cellStyle name="Accent6 3 2 3" xfId="22345"/>
    <cellStyle name="Accent6 3 3" xfId="9708"/>
    <cellStyle name="Accent6 3 4" xfId="22346"/>
    <cellStyle name="Accent6 4" xfId="5423"/>
    <cellStyle name="Accent6 4 2" xfId="5424"/>
    <cellStyle name="Accent6 4 2 2" xfId="13113"/>
    <cellStyle name="Accent6 4 2 3" xfId="22343"/>
    <cellStyle name="Accent6 4 3" xfId="5425"/>
    <cellStyle name="Accent6 4 3 2" xfId="13112"/>
    <cellStyle name="Accent6 4 3 3" xfId="22342"/>
    <cellStyle name="Accent6 4 4" xfId="9710"/>
    <cellStyle name="Accent6 4 5" xfId="22344"/>
    <cellStyle name="Accent6 5" xfId="5426"/>
    <cellStyle name="Accent6 5 2" xfId="5427"/>
    <cellStyle name="Accent6 5 2 2" xfId="9712"/>
    <cellStyle name="Accent6 5 2 3" xfId="22340"/>
    <cellStyle name="Accent6 5 3" xfId="9711"/>
    <cellStyle name="Accent6 5 4" xfId="22341"/>
    <cellStyle name="Accent6 6" xfId="5428"/>
    <cellStyle name="Accent6 6 2" xfId="9713"/>
    <cellStyle name="Accent6 6 3" xfId="22339"/>
    <cellStyle name="Accent6 7" xfId="5429"/>
    <cellStyle name="Accent6 7 2" xfId="9714"/>
    <cellStyle name="Accent6 7 3" xfId="22338"/>
    <cellStyle name="Accent6 8" xfId="5430"/>
    <cellStyle name="Accent6 8 2" xfId="9715"/>
    <cellStyle name="Accent6 8 3" xfId="22337"/>
    <cellStyle name="Accent6 9" xfId="5431"/>
    <cellStyle name="Accent6 9 2" xfId="9716"/>
    <cellStyle name="Accent6 9 3" xfId="22336"/>
    <cellStyle name="ALSTEC Currency" xfId="1"/>
    <cellStyle name="ALSTEC Detail Header" xfId="2"/>
    <cellStyle name="ALSTEC Normal_RU EXP" xfId="3"/>
    <cellStyle name="Bad" xfId="20" builtinId="27" customBuiltin="1"/>
    <cellStyle name="Bad 10" xfId="5432"/>
    <cellStyle name="Bad 10 2" xfId="9718"/>
    <cellStyle name="Bad 10 3" xfId="22335"/>
    <cellStyle name="Bad 11" xfId="5433"/>
    <cellStyle name="Bad 11 2" xfId="9719"/>
    <cellStyle name="Bad 11 3" xfId="22334"/>
    <cellStyle name="Bad 12" xfId="5434"/>
    <cellStyle name="Bad 12 2" xfId="5435"/>
    <cellStyle name="Bad 12 2 2" xfId="15591"/>
    <cellStyle name="Bad 12 2 3" xfId="22332"/>
    <cellStyle name="Bad 12 3" xfId="10485"/>
    <cellStyle name="Bad 12 4" xfId="22333"/>
    <cellStyle name="Bad 13" xfId="5436"/>
    <cellStyle name="Bad 13 2" xfId="11312"/>
    <cellStyle name="Bad 13 3" xfId="22331"/>
    <cellStyle name="Bad 14" xfId="5437"/>
    <cellStyle name="Bad 14 2" xfId="9717"/>
    <cellStyle name="Bad 14 3" xfId="22330"/>
    <cellStyle name="Bad 2" xfId="5438"/>
    <cellStyle name="Bad 2 2" xfId="9720"/>
    <cellStyle name="Bad 2 3" xfId="22329"/>
    <cellStyle name="Bad 2 4" xfId="33050"/>
    <cellStyle name="Bad 3" xfId="5439"/>
    <cellStyle name="Bad 3 2" xfId="5440"/>
    <cellStyle name="Bad 3 2 2" xfId="9722"/>
    <cellStyle name="Bad 3 2 3" xfId="22327"/>
    <cellStyle name="Bad 3 3" xfId="9721"/>
    <cellStyle name="Bad 3 4" xfId="22328"/>
    <cellStyle name="Bad 4" xfId="5441"/>
    <cellStyle name="Bad 4 2" xfId="5442"/>
    <cellStyle name="Bad 4 2 2" xfId="13115"/>
    <cellStyle name="Bad 4 2 3" xfId="22325"/>
    <cellStyle name="Bad 4 3" xfId="5443"/>
    <cellStyle name="Bad 4 3 2" xfId="13114"/>
    <cellStyle name="Bad 4 3 3" xfId="22324"/>
    <cellStyle name="Bad 4 4" xfId="9723"/>
    <cellStyle name="Bad 4 5" xfId="22326"/>
    <cellStyle name="Bad 5" xfId="5444"/>
    <cellStyle name="Bad 5 2" xfId="5445"/>
    <cellStyle name="Bad 5 2 2" xfId="9725"/>
    <cellStyle name="Bad 5 2 3" xfId="22322"/>
    <cellStyle name="Bad 5 3" xfId="9724"/>
    <cellStyle name="Bad 5 4" xfId="22323"/>
    <cellStyle name="Bad 6" xfId="5446"/>
    <cellStyle name="Bad 6 2" xfId="9726"/>
    <cellStyle name="Bad 6 3" xfId="22321"/>
    <cellStyle name="Bad 7" xfId="5447"/>
    <cellStyle name="Bad 7 2" xfId="9727"/>
    <cellStyle name="Bad 7 3" xfId="22320"/>
    <cellStyle name="Bad 8" xfId="5448"/>
    <cellStyle name="Bad 8 2" xfId="9728"/>
    <cellStyle name="Bad 8 3" xfId="22319"/>
    <cellStyle name="Bad 9" xfId="5449"/>
    <cellStyle name="Bad 9 2" xfId="9729"/>
    <cellStyle name="Bad 9 3" xfId="22318"/>
    <cellStyle name="Calculation" xfId="24" builtinId="22" customBuiltin="1"/>
    <cellStyle name="Calculation 10" xfId="5450"/>
    <cellStyle name="Calculation 10 2" xfId="9731"/>
    <cellStyle name="Calculation 10 3" xfId="22317"/>
    <cellStyle name="Calculation 11" xfId="5451"/>
    <cellStyle name="Calculation 11 2" xfId="9732"/>
    <cellStyle name="Calculation 11 3" xfId="22316"/>
    <cellStyle name="Calculation 12" xfId="5452"/>
    <cellStyle name="Calculation 12 2" xfId="5453"/>
    <cellStyle name="Calculation 12 2 2" xfId="15592"/>
    <cellStyle name="Calculation 12 2 3" xfId="22314"/>
    <cellStyle name="Calculation 12 3" xfId="10486"/>
    <cellStyle name="Calculation 12 4" xfId="22315"/>
    <cellStyle name="Calculation 13" xfId="5454"/>
    <cellStyle name="Calculation 13 2" xfId="11313"/>
    <cellStyle name="Calculation 13 3" xfId="22313"/>
    <cellStyle name="Calculation 14" xfId="5455"/>
    <cellStyle name="Calculation 14 2" xfId="9730"/>
    <cellStyle name="Calculation 14 3" xfId="22312"/>
    <cellStyle name="Calculation 2" xfId="5456"/>
    <cellStyle name="Calculation 2 2" xfId="9733"/>
    <cellStyle name="Calculation 2 3" xfId="22311"/>
    <cellStyle name="Calculation 2 4" xfId="33054"/>
    <cellStyle name="Calculation 3" xfId="5457"/>
    <cellStyle name="Calculation 3 2" xfId="5458"/>
    <cellStyle name="Calculation 3 2 2" xfId="9735"/>
    <cellStyle name="Calculation 3 2 3" xfId="22309"/>
    <cellStyle name="Calculation 3 3" xfId="9734"/>
    <cellStyle name="Calculation 3 4" xfId="22310"/>
    <cellStyle name="Calculation 4" xfId="5459"/>
    <cellStyle name="Calculation 4 2" xfId="5460"/>
    <cellStyle name="Calculation 4 2 2" xfId="13117"/>
    <cellStyle name="Calculation 4 2 3" xfId="22307"/>
    <cellStyle name="Calculation 4 3" xfId="5461"/>
    <cellStyle name="Calculation 4 3 2" xfId="13116"/>
    <cellStyle name="Calculation 4 3 3" xfId="22306"/>
    <cellStyle name="Calculation 4 4" xfId="9736"/>
    <cellStyle name="Calculation 4 5" xfId="22308"/>
    <cellStyle name="Calculation 5" xfId="5462"/>
    <cellStyle name="Calculation 5 2" xfId="5463"/>
    <cellStyle name="Calculation 5 2 2" xfId="9738"/>
    <cellStyle name="Calculation 5 2 3" xfId="22304"/>
    <cellStyle name="Calculation 5 3" xfId="9737"/>
    <cellStyle name="Calculation 5 4" xfId="22305"/>
    <cellStyle name="Calculation 6" xfId="5464"/>
    <cellStyle name="Calculation 6 2" xfId="9739"/>
    <cellStyle name="Calculation 6 3" xfId="22303"/>
    <cellStyle name="Calculation 7" xfId="5465"/>
    <cellStyle name="Calculation 7 2" xfId="9740"/>
    <cellStyle name="Calculation 7 3" xfId="22302"/>
    <cellStyle name="Calculation 8" xfId="5466"/>
    <cellStyle name="Calculation 8 2" xfId="9741"/>
    <cellStyle name="Calculation 8 3" xfId="22301"/>
    <cellStyle name="Calculation 9" xfId="5467"/>
    <cellStyle name="Calculation 9 2" xfId="9742"/>
    <cellStyle name="Calculation 9 3" xfId="22300"/>
    <cellStyle name="Check Cell" xfId="33033" builtinId="23" customBuiltin="1"/>
    <cellStyle name="Check Cell 2" xfId="8813"/>
    <cellStyle name="Check Cell 2 2" xfId="33056"/>
    <cellStyle name="Check Cell 3" xfId="22299"/>
    <cellStyle name="Check Cell 4" xfId="5468"/>
    <cellStyle name="Comma" xfId="4" builtinId="3"/>
    <cellStyle name="Comma 10" xfId="5469"/>
    <cellStyle name="Comma 10 2" xfId="5470"/>
    <cellStyle name="Comma 10 2 2" xfId="13118"/>
    <cellStyle name="Comma 10 2 3" xfId="22297"/>
    <cellStyle name="Comma 10 3" xfId="10515"/>
    <cellStyle name="Comma 10 4" xfId="22298"/>
    <cellStyle name="Comma 11" xfId="8786"/>
    <cellStyle name="Comma 12" xfId="50"/>
    <cellStyle name="Comma 2" xfId="5"/>
    <cellStyle name="Comma 2 2" xfId="5472"/>
    <cellStyle name="Comma 2 2 2" xfId="5473"/>
    <cellStyle name="Comma 2 2 2 2" xfId="9743"/>
    <cellStyle name="Comma 2 2 2 3" xfId="22294"/>
    <cellStyle name="Comma 2 2 3" xfId="5474"/>
    <cellStyle name="Comma 2 2 3 2" xfId="9744"/>
    <cellStyle name="Comma 2 2 3 3" xfId="22293"/>
    <cellStyle name="Comma 2 2 4" xfId="8711"/>
    <cellStyle name="Comma 2 2 5" xfId="22295"/>
    <cellStyle name="Comma 2 3" xfId="5475"/>
    <cellStyle name="Comma 2 3 2" xfId="5476"/>
    <cellStyle name="Comma 2 3 2 2" xfId="9745"/>
    <cellStyle name="Comma 2 3 2 3" xfId="22291"/>
    <cellStyle name="Comma 2 3 3" xfId="5477"/>
    <cellStyle name="Comma 2 3 3 2" xfId="13119"/>
    <cellStyle name="Comma 2 3 3 3" xfId="22290"/>
    <cellStyle name="Comma 2 3 4" xfId="8677"/>
    <cellStyle name="Comma 2 3 5" xfId="22292"/>
    <cellStyle name="Comma 2 4" xfId="5478"/>
    <cellStyle name="Comma 2 4 2" xfId="5479"/>
    <cellStyle name="Comma 2 4 2 2" xfId="13120"/>
    <cellStyle name="Comma 2 4 2 3" xfId="22288"/>
    <cellStyle name="Comma 2 4 3" xfId="5480"/>
    <cellStyle name="Comma 2 4 3 2" xfId="17369"/>
    <cellStyle name="Comma 2 4 3 3" xfId="22287"/>
    <cellStyle name="Comma 2 4 4" xfId="8726"/>
    <cellStyle name="Comma 2 4 5" xfId="22289"/>
    <cellStyle name="Comma 2 5" xfId="8658"/>
    <cellStyle name="Comma 2 6" xfId="22296"/>
    <cellStyle name="Comma 2 7" xfId="33031"/>
    <cellStyle name="Comma 2 8" xfId="5471"/>
    <cellStyle name="Comma 3" xfId="5481"/>
    <cellStyle name="Comma 3 10" xfId="5482"/>
    <cellStyle name="Comma 3 10 2" xfId="9747"/>
    <cellStyle name="Comma 3 10 3" xfId="22285"/>
    <cellStyle name="Comma 3 11" xfId="5483"/>
    <cellStyle name="Comma 3 11 2" xfId="5484"/>
    <cellStyle name="Comma 3 11 2 2" xfId="13121"/>
    <cellStyle name="Comma 3 11 2 3" xfId="22283"/>
    <cellStyle name="Comma 3 11 3" xfId="5485"/>
    <cellStyle name="Comma 3 11 3 2" xfId="17019"/>
    <cellStyle name="Comma 3 11 3 2 2" xfId="30426"/>
    <cellStyle name="Comma 3 11 3 3" xfId="22282"/>
    <cellStyle name="Comma 3 11 4" xfId="9748"/>
    <cellStyle name="Comma 3 11 5" xfId="22284"/>
    <cellStyle name="Comma 3 12" xfId="5486"/>
    <cellStyle name="Comma 3 12 2" xfId="5487"/>
    <cellStyle name="Comma 3 12 2 2" xfId="13123"/>
    <cellStyle name="Comma 3 12 2 3" xfId="22280"/>
    <cellStyle name="Comma 3 12 3" xfId="5488"/>
    <cellStyle name="Comma 3 12 3 2" xfId="13122"/>
    <cellStyle name="Comma 3 12 3 2 2" xfId="26834"/>
    <cellStyle name="Comma 3 12 3 3" xfId="22279"/>
    <cellStyle name="Comma 3 12 4" xfId="5489"/>
    <cellStyle name="Comma 3 12 4 2" xfId="17108"/>
    <cellStyle name="Comma 3 12 4 2 2" xfId="30467"/>
    <cellStyle name="Comma 3 12 4 3" xfId="22278"/>
    <cellStyle name="Comma 3 12 5" xfId="9749"/>
    <cellStyle name="Comma 3 12 6" xfId="22281"/>
    <cellStyle name="Comma 3 13" xfId="5490"/>
    <cellStyle name="Comma 3 13 2" xfId="5491"/>
    <cellStyle name="Comma 3 13 2 2" xfId="17197"/>
    <cellStyle name="Comma 3 13 2 2 2" xfId="30556"/>
    <cellStyle name="Comma 3 13 2 3" xfId="22276"/>
    <cellStyle name="Comma 3 13 3" xfId="9750"/>
    <cellStyle name="Comma 3 13 4" xfId="22277"/>
    <cellStyle name="Comma 3 14" xfId="5492"/>
    <cellStyle name="Comma 3 14 2" xfId="5493"/>
    <cellStyle name="Comma 3 14 2 2" xfId="5494"/>
    <cellStyle name="Comma 3 14 2 2 2" xfId="11316"/>
    <cellStyle name="Comma 3 14 2 2 3" xfId="22273"/>
    <cellStyle name="Comma 3 14 2 3" xfId="9752"/>
    <cellStyle name="Comma 3 14 2 4" xfId="22274"/>
    <cellStyle name="Comma 3 14 3" xfId="5495"/>
    <cellStyle name="Comma 3 14 3 2" xfId="11315"/>
    <cellStyle name="Comma 3 14 3 3" xfId="22272"/>
    <cellStyle name="Comma 3 14 4" xfId="5496"/>
    <cellStyle name="Comma 3 14 4 2" xfId="17286"/>
    <cellStyle name="Comma 3 14 4 2 2" xfId="30645"/>
    <cellStyle name="Comma 3 14 4 3" xfId="22271"/>
    <cellStyle name="Comma 3 14 5" xfId="9751"/>
    <cellStyle name="Comma 3 14 6" xfId="22275"/>
    <cellStyle name="Comma 3 15" xfId="5497"/>
    <cellStyle name="Comma 3 15 2" xfId="5498"/>
    <cellStyle name="Comma 3 15 2 2" xfId="11317"/>
    <cellStyle name="Comma 3 15 2 3" xfId="22269"/>
    <cellStyle name="Comma 3 15 3" xfId="5499"/>
    <cellStyle name="Comma 3 15 3 2" xfId="16438"/>
    <cellStyle name="Comma 3 15 3 2 2" xfId="29845"/>
    <cellStyle name="Comma 3 15 3 3" xfId="22268"/>
    <cellStyle name="Comma 3 15 4" xfId="9753"/>
    <cellStyle name="Comma 3 15 5" xfId="22270"/>
    <cellStyle name="Comma 3 16" xfId="5500"/>
    <cellStyle name="Comma 3 16 2" xfId="5501"/>
    <cellStyle name="Comma 3 16 2 2" xfId="11318"/>
    <cellStyle name="Comma 3 16 2 3" xfId="22266"/>
    <cellStyle name="Comma 3 16 3" xfId="9754"/>
    <cellStyle name="Comma 3 16 4" xfId="22267"/>
    <cellStyle name="Comma 3 17" xfId="5502"/>
    <cellStyle name="Comma 3 17 2" xfId="5503"/>
    <cellStyle name="Comma 3 17 2 2" xfId="11319"/>
    <cellStyle name="Comma 3 17 2 3" xfId="22264"/>
    <cellStyle name="Comma 3 17 3" xfId="9755"/>
    <cellStyle name="Comma 3 17 4" xfId="22265"/>
    <cellStyle name="Comma 3 18" xfId="5504"/>
    <cellStyle name="Comma 3 18 2" xfId="5505"/>
    <cellStyle name="Comma 3 18 2 2" xfId="11320"/>
    <cellStyle name="Comma 3 18 2 3" xfId="22262"/>
    <cellStyle name="Comma 3 18 3" xfId="9756"/>
    <cellStyle name="Comma 3 18 4" xfId="22263"/>
    <cellStyle name="Comma 3 19" xfId="5506"/>
    <cellStyle name="Comma 3 19 2" xfId="5507"/>
    <cellStyle name="Comma 3 19 2 2" xfId="11321"/>
    <cellStyle name="Comma 3 19 2 3" xfId="22260"/>
    <cellStyle name="Comma 3 19 3" xfId="9757"/>
    <cellStyle name="Comma 3 19 4" xfId="22261"/>
    <cellStyle name="Comma 3 2" xfId="5508"/>
    <cellStyle name="Comma 3 2 10" xfId="5509"/>
    <cellStyle name="Comma 3 2 10 2" xfId="11322"/>
    <cellStyle name="Comma 3 2 10 3" xfId="22258"/>
    <cellStyle name="Comma 3 2 11" xfId="5510"/>
    <cellStyle name="Comma 3 2 11 2" xfId="5511"/>
    <cellStyle name="Comma 3 2 11 2 2" xfId="13124"/>
    <cellStyle name="Comma 3 2 11 2 2 2" xfId="26836"/>
    <cellStyle name="Comma 3 2 11 2 3" xfId="22256"/>
    <cellStyle name="Comma 3 2 11 3" xfId="5512"/>
    <cellStyle name="Comma 3 2 11 3 2" xfId="15593"/>
    <cellStyle name="Comma 3 2 11 3 3" xfId="22255"/>
    <cellStyle name="Comma 3 2 11 4" xfId="11735"/>
    <cellStyle name="Comma 3 2 11 5" xfId="22257"/>
    <cellStyle name="Comma 3 2 12" xfId="5513"/>
    <cellStyle name="Comma 3 2 12 2" xfId="11853"/>
    <cellStyle name="Comma 3 2 12 2 2" xfId="25568"/>
    <cellStyle name="Comma 3 2 12 3" xfId="22254"/>
    <cellStyle name="Comma 3 2 13" xfId="5514"/>
    <cellStyle name="Comma 3 2 13 2" xfId="13447"/>
    <cellStyle name="Comma 3 2 13 2 2" xfId="26996"/>
    <cellStyle name="Comma 3 2 13 3" xfId="22253"/>
    <cellStyle name="Comma 3 2 14" xfId="5515"/>
    <cellStyle name="Comma 3 2 14 2" xfId="14028"/>
    <cellStyle name="Comma 3 2 14 2 2" xfId="27577"/>
    <cellStyle name="Comma 3 2 14 3" xfId="22252"/>
    <cellStyle name="Comma 3 2 15" xfId="5516"/>
    <cellStyle name="Comma 3 2 15 2" xfId="15914"/>
    <cellStyle name="Comma 3 2 15 2 2" xfId="29321"/>
    <cellStyle name="Comma 3 2 15 3" xfId="22251"/>
    <cellStyle name="Comma 3 2 16" xfId="5517"/>
    <cellStyle name="Comma 3 2 16 2" xfId="9758"/>
    <cellStyle name="Comma 3 2 16 3" xfId="22250"/>
    <cellStyle name="Comma 3 2 17" xfId="8712"/>
    <cellStyle name="Comma 3 2 18" xfId="22259"/>
    <cellStyle name="Comma 3 2 19" xfId="33088"/>
    <cellStyle name="Comma 3 2 2" xfId="5518"/>
    <cellStyle name="Comma 3 2 2 10" xfId="9759"/>
    <cellStyle name="Comma 3 2 2 11" xfId="22249"/>
    <cellStyle name="Comma 3 2 2 12" xfId="32938"/>
    <cellStyle name="Comma 3 2 2 2" xfId="5519"/>
    <cellStyle name="Comma 3 2 2 2 2" xfId="5520"/>
    <cellStyle name="Comma 3 2 2 2 2 2" xfId="5521"/>
    <cellStyle name="Comma 3 2 2 2 2 2 2" xfId="5522"/>
    <cellStyle name="Comma 3 2 2 2 2 2 2 2" xfId="11323"/>
    <cellStyle name="Comma 3 2 2 2 2 2 2 3" xfId="22245"/>
    <cellStyle name="Comma 3 2 2 2 2 2 3" xfId="5523"/>
    <cellStyle name="Comma 3 2 2 2 2 2 3 2" xfId="16973"/>
    <cellStyle name="Comma 3 2 2 2 2 2 3 2 2" xfId="30380"/>
    <cellStyle name="Comma 3 2 2 2 2 2 3 3" xfId="22244"/>
    <cellStyle name="Comma 3 2 2 2 2 2 4" xfId="9762"/>
    <cellStyle name="Comma 3 2 2 2 2 2 5" xfId="22246"/>
    <cellStyle name="Comma 3 2 2 2 2 3" xfId="5524"/>
    <cellStyle name="Comma 3 2 2 2 2 3 2" xfId="5525"/>
    <cellStyle name="Comma 3 2 2 2 2 3 2 2" xfId="13125"/>
    <cellStyle name="Comma 3 2 2 2 2 3 2 3" xfId="22242"/>
    <cellStyle name="Comma 3 2 2 2 2 3 3" xfId="12361"/>
    <cellStyle name="Comma 3 2 2 2 2 3 3 2" xfId="26073"/>
    <cellStyle name="Comma 3 2 2 2 2 3 4" xfId="22243"/>
    <cellStyle name="Comma 3 2 2 2 2 4" xfId="5526"/>
    <cellStyle name="Comma 3 2 2 2 2 4 2" xfId="5527"/>
    <cellStyle name="Comma 3 2 2 2 2 4 2 2" xfId="15594"/>
    <cellStyle name="Comma 3 2 2 2 2 4 2 3" xfId="22240"/>
    <cellStyle name="Comma 3 2 2 2 2 4 3" xfId="13925"/>
    <cellStyle name="Comma 3 2 2 2 2 4 3 2" xfId="27474"/>
    <cellStyle name="Comma 3 2 2 2 2 4 4" xfId="22241"/>
    <cellStyle name="Comma 3 2 2 2 2 5" xfId="5528"/>
    <cellStyle name="Comma 3 2 2 2 2 5 2" xfId="14506"/>
    <cellStyle name="Comma 3 2 2 2 2 5 2 2" xfId="28055"/>
    <cellStyle name="Comma 3 2 2 2 2 5 3" xfId="22239"/>
    <cellStyle name="Comma 3 2 2 2 2 6" xfId="5529"/>
    <cellStyle name="Comma 3 2 2 2 2 6 2" xfId="16392"/>
    <cellStyle name="Comma 3 2 2 2 2 6 2 2" xfId="29799"/>
    <cellStyle name="Comma 3 2 2 2 2 6 3" xfId="22238"/>
    <cellStyle name="Comma 3 2 2 2 2 7" xfId="9761"/>
    <cellStyle name="Comma 3 2 2 2 2 8" xfId="22247"/>
    <cellStyle name="Comma 3 2 2 2 3" xfId="5530"/>
    <cellStyle name="Comma 3 2 2 2 3 2" xfId="5531"/>
    <cellStyle name="Comma 3 2 2 2 3 2 2" xfId="11324"/>
    <cellStyle name="Comma 3 2 2 2 3 2 3" xfId="22236"/>
    <cellStyle name="Comma 3 2 2 2 3 3" xfId="5532"/>
    <cellStyle name="Comma 3 2 2 2 3 3 2" xfId="16684"/>
    <cellStyle name="Comma 3 2 2 2 3 3 2 2" xfId="30091"/>
    <cellStyle name="Comma 3 2 2 2 3 3 3" xfId="22235"/>
    <cellStyle name="Comma 3 2 2 2 3 4" xfId="9763"/>
    <cellStyle name="Comma 3 2 2 2 3 5" xfId="22237"/>
    <cellStyle name="Comma 3 2 2 2 4" xfId="5533"/>
    <cellStyle name="Comma 3 2 2 2 4 2" xfId="5534"/>
    <cellStyle name="Comma 3 2 2 2 4 2 2" xfId="13126"/>
    <cellStyle name="Comma 3 2 2 2 4 2 3" xfId="22233"/>
    <cellStyle name="Comma 3 2 2 2 4 3" xfId="12061"/>
    <cellStyle name="Comma 3 2 2 2 4 3 2" xfId="25776"/>
    <cellStyle name="Comma 3 2 2 2 4 4" xfId="22234"/>
    <cellStyle name="Comma 3 2 2 2 5" xfId="5535"/>
    <cellStyle name="Comma 3 2 2 2 5 2" xfId="5536"/>
    <cellStyle name="Comma 3 2 2 2 5 2 2" xfId="15595"/>
    <cellStyle name="Comma 3 2 2 2 5 2 3" xfId="22231"/>
    <cellStyle name="Comma 3 2 2 2 5 3" xfId="13636"/>
    <cellStyle name="Comma 3 2 2 2 5 3 2" xfId="27185"/>
    <cellStyle name="Comma 3 2 2 2 5 4" xfId="22232"/>
    <cellStyle name="Comma 3 2 2 2 6" xfId="5537"/>
    <cellStyle name="Comma 3 2 2 2 6 2" xfId="14217"/>
    <cellStyle name="Comma 3 2 2 2 6 2 2" xfId="27766"/>
    <cellStyle name="Comma 3 2 2 2 6 3" xfId="22230"/>
    <cellStyle name="Comma 3 2 2 2 7" xfId="5538"/>
    <cellStyle name="Comma 3 2 2 2 7 2" xfId="16103"/>
    <cellStyle name="Comma 3 2 2 2 7 2 2" xfId="29510"/>
    <cellStyle name="Comma 3 2 2 2 7 3" xfId="22229"/>
    <cellStyle name="Comma 3 2 2 2 8" xfId="9760"/>
    <cellStyle name="Comma 3 2 2 2 9" xfId="22248"/>
    <cellStyle name="Comma 3 2 2 3" xfId="5539"/>
    <cellStyle name="Comma 3 2 2 3 2" xfId="5540"/>
    <cellStyle name="Comma 3 2 2 3 2 2" xfId="5541"/>
    <cellStyle name="Comma 3 2 2 3 2 2 2" xfId="11325"/>
    <cellStyle name="Comma 3 2 2 3 2 2 3" xfId="22226"/>
    <cellStyle name="Comma 3 2 2 3 2 3" xfId="5542"/>
    <cellStyle name="Comma 3 2 2 3 2 3 2" xfId="16830"/>
    <cellStyle name="Comma 3 2 2 3 2 3 2 2" xfId="30237"/>
    <cellStyle name="Comma 3 2 2 3 2 3 3" xfId="22225"/>
    <cellStyle name="Comma 3 2 2 3 2 4" xfId="9765"/>
    <cellStyle name="Comma 3 2 2 3 2 5" xfId="22227"/>
    <cellStyle name="Comma 3 2 2 3 3" xfId="5543"/>
    <cellStyle name="Comma 3 2 2 3 3 2" xfId="5544"/>
    <cellStyle name="Comma 3 2 2 3 3 2 2" xfId="13127"/>
    <cellStyle name="Comma 3 2 2 3 3 2 3" xfId="22223"/>
    <cellStyle name="Comma 3 2 2 3 3 3" xfId="12218"/>
    <cellStyle name="Comma 3 2 2 3 3 3 2" xfId="25930"/>
    <cellStyle name="Comma 3 2 2 3 3 4" xfId="22224"/>
    <cellStyle name="Comma 3 2 2 3 4" xfId="5545"/>
    <cellStyle name="Comma 3 2 2 3 4 2" xfId="5546"/>
    <cellStyle name="Comma 3 2 2 3 4 2 2" xfId="15596"/>
    <cellStyle name="Comma 3 2 2 3 4 2 3" xfId="22221"/>
    <cellStyle name="Comma 3 2 2 3 4 3" xfId="13782"/>
    <cellStyle name="Comma 3 2 2 3 4 3 2" xfId="27331"/>
    <cellStyle name="Comma 3 2 2 3 4 4" xfId="22222"/>
    <cellStyle name="Comma 3 2 2 3 5" xfId="5547"/>
    <cellStyle name="Comma 3 2 2 3 5 2" xfId="14363"/>
    <cellStyle name="Comma 3 2 2 3 5 2 2" xfId="27912"/>
    <cellStyle name="Comma 3 2 2 3 5 3" xfId="22220"/>
    <cellStyle name="Comma 3 2 2 3 6" xfId="5548"/>
    <cellStyle name="Comma 3 2 2 3 6 2" xfId="16249"/>
    <cellStyle name="Comma 3 2 2 3 6 2 2" xfId="29656"/>
    <cellStyle name="Comma 3 2 2 3 6 3" xfId="22219"/>
    <cellStyle name="Comma 3 2 2 3 7" xfId="9764"/>
    <cellStyle name="Comma 3 2 2 3 8" xfId="22228"/>
    <cellStyle name="Comma 3 2 2 4" xfId="5549"/>
    <cellStyle name="Comma 3 2 2 4 2" xfId="5550"/>
    <cellStyle name="Comma 3 2 2 4 2 2" xfId="17177"/>
    <cellStyle name="Comma 3 2 2 4 2 2 2" xfId="30536"/>
    <cellStyle name="Comma 3 2 2 4 2 3" xfId="22217"/>
    <cellStyle name="Comma 3 2 2 4 3" xfId="9766"/>
    <cellStyle name="Comma 3 2 2 4 4" xfId="22218"/>
    <cellStyle name="Comma 3 2 2 5" xfId="5551"/>
    <cellStyle name="Comma 3 2 2 5 2" xfId="5552"/>
    <cellStyle name="Comma 3 2 2 5 2 2" xfId="11326"/>
    <cellStyle name="Comma 3 2 2 5 2 3" xfId="22215"/>
    <cellStyle name="Comma 3 2 2 5 3" xfId="5553"/>
    <cellStyle name="Comma 3 2 2 5 3 2" xfId="17266"/>
    <cellStyle name="Comma 3 2 2 5 3 2 2" xfId="30625"/>
    <cellStyle name="Comma 3 2 2 5 3 3" xfId="22214"/>
    <cellStyle name="Comma 3 2 2 5 4" xfId="9767"/>
    <cellStyle name="Comma 3 2 2 5 5" xfId="22216"/>
    <cellStyle name="Comma 3 2 2 6" xfId="5554"/>
    <cellStyle name="Comma 3 2 2 6 2" xfId="5555"/>
    <cellStyle name="Comma 3 2 2 6 2 2" xfId="13128"/>
    <cellStyle name="Comma 3 2 2 6 2 3" xfId="22212"/>
    <cellStyle name="Comma 3 2 2 6 3" xfId="5556"/>
    <cellStyle name="Comma 3 2 2 6 3 2" xfId="16541"/>
    <cellStyle name="Comma 3 2 2 6 3 2 2" xfId="29948"/>
    <cellStyle name="Comma 3 2 2 6 3 3" xfId="22211"/>
    <cellStyle name="Comma 3 2 2 6 4" xfId="11916"/>
    <cellStyle name="Comma 3 2 2 6 4 2" xfId="25631"/>
    <cellStyle name="Comma 3 2 2 6 5" xfId="22213"/>
    <cellStyle name="Comma 3 2 2 7" xfId="5557"/>
    <cellStyle name="Comma 3 2 2 7 2" xfId="5558"/>
    <cellStyle name="Comma 3 2 2 7 2 2" xfId="15597"/>
    <cellStyle name="Comma 3 2 2 7 2 3" xfId="22209"/>
    <cellStyle name="Comma 3 2 2 7 3" xfId="13493"/>
    <cellStyle name="Comma 3 2 2 7 3 2" xfId="27042"/>
    <cellStyle name="Comma 3 2 2 7 4" xfId="22210"/>
    <cellStyle name="Comma 3 2 2 8" xfId="5559"/>
    <cellStyle name="Comma 3 2 2 8 2" xfId="14074"/>
    <cellStyle name="Comma 3 2 2 8 2 2" xfId="27623"/>
    <cellStyle name="Comma 3 2 2 8 3" xfId="22208"/>
    <cellStyle name="Comma 3 2 2 9" xfId="5560"/>
    <cellStyle name="Comma 3 2 2 9 2" xfId="15960"/>
    <cellStyle name="Comma 3 2 2 9 2 2" xfId="29367"/>
    <cellStyle name="Comma 3 2 2 9 3" xfId="22207"/>
    <cellStyle name="Comma 3 2 3" xfId="5561"/>
    <cellStyle name="Comma 3 2 3 2" xfId="5562"/>
    <cellStyle name="Comma 3 2 3 2 2" xfId="5563"/>
    <cellStyle name="Comma 3 2 3 2 2 2" xfId="5564"/>
    <cellStyle name="Comma 3 2 3 2 2 2 2" xfId="11327"/>
    <cellStyle name="Comma 3 2 3 2 2 2 3" xfId="22203"/>
    <cellStyle name="Comma 3 2 3 2 2 3" xfId="5565"/>
    <cellStyle name="Comma 3 2 3 2 2 3 2" xfId="16927"/>
    <cellStyle name="Comma 3 2 3 2 2 3 2 2" xfId="30334"/>
    <cellStyle name="Comma 3 2 3 2 2 3 3" xfId="22202"/>
    <cellStyle name="Comma 3 2 3 2 2 4" xfId="9770"/>
    <cellStyle name="Comma 3 2 3 2 2 5" xfId="22204"/>
    <cellStyle name="Comma 3 2 3 2 3" xfId="5566"/>
    <cellStyle name="Comma 3 2 3 2 3 2" xfId="5567"/>
    <cellStyle name="Comma 3 2 3 2 3 2 2" xfId="13129"/>
    <cellStyle name="Comma 3 2 3 2 3 2 3" xfId="22200"/>
    <cellStyle name="Comma 3 2 3 2 3 3" xfId="12315"/>
    <cellStyle name="Comma 3 2 3 2 3 3 2" xfId="26027"/>
    <cellStyle name="Comma 3 2 3 2 3 4" xfId="22201"/>
    <cellStyle name="Comma 3 2 3 2 4" xfId="5568"/>
    <cellStyle name="Comma 3 2 3 2 4 2" xfId="5569"/>
    <cellStyle name="Comma 3 2 3 2 4 2 2" xfId="15598"/>
    <cellStyle name="Comma 3 2 3 2 4 2 3" xfId="22198"/>
    <cellStyle name="Comma 3 2 3 2 4 3" xfId="13879"/>
    <cellStyle name="Comma 3 2 3 2 4 3 2" xfId="27428"/>
    <cellStyle name="Comma 3 2 3 2 4 4" xfId="22199"/>
    <cellStyle name="Comma 3 2 3 2 5" xfId="5570"/>
    <cellStyle name="Comma 3 2 3 2 5 2" xfId="14460"/>
    <cellStyle name="Comma 3 2 3 2 5 2 2" xfId="28009"/>
    <cellStyle name="Comma 3 2 3 2 5 3" xfId="22197"/>
    <cellStyle name="Comma 3 2 3 2 6" xfId="5571"/>
    <cellStyle name="Comma 3 2 3 2 6 2" xfId="16346"/>
    <cellStyle name="Comma 3 2 3 2 6 2 2" xfId="29753"/>
    <cellStyle name="Comma 3 2 3 2 6 3" xfId="22196"/>
    <cellStyle name="Comma 3 2 3 2 7" xfId="9769"/>
    <cellStyle name="Comma 3 2 3 2 8" xfId="22205"/>
    <cellStyle name="Comma 3 2 3 3" xfId="5572"/>
    <cellStyle name="Comma 3 2 3 3 2" xfId="5573"/>
    <cellStyle name="Comma 3 2 3 3 2 2" xfId="11328"/>
    <cellStyle name="Comma 3 2 3 3 2 3" xfId="22194"/>
    <cellStyle name="Comma 3 2 3 3 3" xfId="5574"/>
    <cellStyle name="Comma 3 2 3 3 3 2" xfId="16638"/>
    <cellStyle name="Comma 3 2 3 3 3 2 2" xfId="30045"/>
    <cellStyle name="Comma 3 2 3 3 3 3" xfId="22193"/>
    <cellStyle name="Comma 3 2 3 3 4" xfId="9771"/>
    <cellStyle name="Comma 3 2 3 3 5" xfId="22195"/>
    <cellStyle name="Comma 3 2 3 4" xfId="5575"/>
    <cellStyle name="Comma 3 2 3 4 2" xfId="5576"/>
    <cellStyle name="Comma 3 2 3 4 2 2" xfId="13130"/>
    <cellStyle name="Comma 3 2 3 4 2 3" xfId="22191"/>
    <cellStyle name="Comma 3 2 3 4 3" xfId="12015"/>
    <cellStyle name="Comma 3 2 3 4 3 2" xfId="25730"/>
    <cellStyle name="Comma 3 2 3 4 4" xfId="22192"/>
    <cellStyle name="Comma 3 2 3 5" xfId="5577"/>
    <cellStyle name="Comma 3 2 3 5 2" xfId="5578"/>
    <cellStyle name="Comma 3 2 3 5 2 2" xfId="15599"/>
    <cellStyle name="Comma 3 2 3 5 2 3" xfId="22189"/>
    <cellStyle name="Comma 3 2 3 5 3" xfId="13590"/>
    <cellStyle name="Comma 3 2 3 5 3 2" xfId="27139"/>
    <cellStyle name="Comma 3 2 3 5 4" xfId="22190"/>
    <cellStyle name="Comma 3 2 3 6" xfId="5579"/>
    <cellStyle name="Comma 3 2 3 6 2" xfId="14171"/>
    <cellStyle name="Comma 3 2 3 6 2 2" xfId="27720"/>
    <cellStyle name="Comma 3 2 3 6 3" xfId="22188"/>
    <cellStyle name="Comma 3 2 3 7" xfId="5580"/>
    <cellStyle name="Comma 3 2 3 7 2" xfId="16057"/>
    <cellStyle name="Comma 3 2 3 7 2 2" xfId="29464"/>
    <cellStyle name="Comma 3 2 3 7 3" xfId="22187"/>
    <cellStyle name="Comma 3 2 3 8" xfId="9768"/>
    <cellStyle name="Comma 3 2 3 9" xfId="22206"/>
    <cellStyle name="Comma 3 2 4" xfId="5581"/>
    <cellStyle name="Comma 3 2 4 2" xfId="5582"/>
    <cellStyle name="Comma 3 2 4 2 2" xfId="5583"/>
    <cellStyle name="Comma 3 2 4 2 2 2" xfId="11329"/>
    <cellStyle name="Comma 3 2 4 2 2 3" xfId="22184"/>
    <cellStyle name="Comma 3 2 4 2 3" xfId="5584"/>
    <cellStyle name="Comma 3 2 4 2 3 2" xfId="16784"/>
    <cellStyle name="Comma 3 2 4 2 3 2 2" xfId="30191"/>
    <cellStyle name="Comma 3 2 4 2 3 3" xfId="22183"/>
    <cellStyle name="Comma 3 2 4 2 4" xfId="9773"/>
    <cellStyle name="Comma 3 2 4 2 5" xfId="22185"/>
    <cellStyle name="Comma 3 2 4 3" xfId="5585"/>
    <cellStyle name="Comma 3 2 4 3 2" xfId="5586"/>
    <cellStyle name="Comma 3 2 4 3 2 2" xfId="13131"/>
    <cellStyle name="Comma 3 2 4 3 2 3" xfId="22181"/>
    <cellStyle name="Comma 3 2 4 3 3" xfId="12172"/>
    <cellStyle name="Comma 3 2 4 3 3 2" xfId="25884"/>
    <cellStyle name="Comma 3 2 4 3 4" xfId="22182"/>
    <cellStyle name="Comma 3 2 4 4" xfId="5587"/>
    <cellStyle name="Comma 3 2 4 4 2" xfId="5588"/>
    <cellStyle name="Comma 3 2 4 4 2 2" xfId="15600"/>
    <cellStyle name="Comma 3 2 4 4 2 3" xfId="22179"/>
    <cellStyle name="Comma 3 2 4 4 3" xfId="13736"/>
    <cellStyle name="Comma 3 2 4 4 3 2" xfId="27285"/>
    <cellStyle name="Comma 3 2 4 4 4" xfId="22180"/>
    <cellStyle name="Comma 3 2 4 5" xfId="5589"/>
    <cellStyle name="Comma 3 2 4 5 2" xfId="14317"/>
    <cellStyle name="Comma 3 2 4 5 2 2" xfId="27866"/>
    <cellStyle name="Comma 3 2 4 5 3" xfId="22178"/>
    <cellStyle name="Comma 3 2 4 6" xfId="5590"/>
    <cellStyle name="Comma 3 2 4 6 2" xfId="16203"/>
    <cellStyle name="Comma 3 2 4 6 2 2" xfId="29610"/>
    <cellStyle name="Comma 3 2 4 6 3" xfId="22177"/>
    <cellStyle name="Comma 3 2 4 7" xfId="9772"/>
    <cellStyle name="Comma 3 2 4 8" xfId="22186"/>
    <cellStyle name="Comma 3 2 5" xfId="5591"/>
    <cellStyle name="Comma 3 2 5 2" xfId="5592"/>
    <cellStyle name="Comma 3 2 5 2 2" xfId="5593"/>
    <cellStyle name="Comma 3 2 5 2 2 2" xfId="11331"/>
    <cellStyle name="Comma 3 2 5 2 2 3" xfId="22174"/>
    <cellStyle name="Comma 3 2 5 2 3" xfId="9775"/>
    <cellStyle name="Comma 3 2 5 2 4" xfId="22175"/>
    <cellStyle name="Comma 3 2 5 3" xfId="5594"/>
    <cellStyle name="Comma 3 2 5 3 2" xfId="11330"/>
    <cellStyle name="Comma 3 2 5 3 3" xfId="22173"/>
    <cellStyle name="Comma 3 2 5 4" xfId="5595"/>
    <cellStyle name="Comma 3 2 5 4 2" xfId="17020"/>
    <cellStyle name="Comma 3 2 5 4 2 2" xfId="30427"/>
    <cellStyle name="Comma 3 2 5 4 3" xfId="22172"/>
    <cellStyle name="Comma 3 2 5 5" xfId="9774"/>
    <cellStyle name="Comma 3 2 5 6" xfId="22176"/>
    <cellStyle name="Comma 3 2 6" xfId="5596"/>
    <cellStyle name="Comma 3 2 6 2" xfId="5597"/>
    <cellStyle name="Comma 3 2 6 2 2" xfId="17131"/>
    <cellStyle name="Comma 3 2 6 2 2 2" xfId="30490"/>
    <cellStyle name="Comma 3 2 6 2 3" xfId="22170"/>
    <cellStyle name="Comma 3 2 6 3" xfId="9776"/>
    <cellStyle name="Comma 3 2 6 4" xfId="22171"/>
    <cellStyle name="Comma 3 2 7" xfId="5598"/>
    <cellStyle name="Comma 3 2 7 2" xfId="5599"/>
    <cellStyle name="Comma 3 2 7 2 2" xfId="11332"/>
    <cellStyle name="Comma 3 2 7 2 3" xfId="22168"/>
    <cellStyle name="Comma 3 2 7 3" xfId="5600"/>
    <cellStyle name="Comma 3 2 7 3 2" xfId="17220"/>
    <cellStyle name="Comma 3 2 7 3 2 2" xfId="30579"/>
    <cellStyle name="Comma 3 2 7 3 3" xfId="22167"/>
    <cellStyle name="Comma 3 2 7 4" xfId="9777"/>
    <cellStyle name="Comma 3 2 7 5" xfId="22169"/>
    <cellStyle name="Comma 3 2 8" xfId="5601"/>
    <cellStyle name="Comma 3 2 8 2" xfId="5602"/>
    <cellStyle name="Comma 3 2 8 2 2" xfId="11333"/>
    <cellStyle name="Comma 3 2 8 2 3" xfId="22165"/>
    <cellStyle name="Comma 3 2 8 3" xfId="5603"/>
    <cellStyle name="Comma 3 2 8 3 2" xfId="16495"/>
    <cellStyle name="Comma 3 2 8 3 2 2" xfId="29902"/>
    <cellStyle name="Comma 3 2 8 3 3" xfId="22164"/>
    <cellStyle name="Comma 3 2 8 4" xfId="9778"/>
    <cellStyle name="Comma 3 2 8 5" xfId="22166"/>
    <cellStyle name="Comma 3 2 9" xfId="5604"/>
    <cellStyle name="Comma 3 2 9 2" xfId="5605"/>
    <cellStyle name="Comma 3 2 9 2 2" xfId="13132"/>
    <cellStyle name="Comma 3 2 9 2 2 2" xfId="26844"/>
    <cellStyle name="Comma 3 2 9 2 3" xfId="22162"/>
    <cellStyle name="Comma 3 2 9 3" xfId="5606"/>
    <cellStyle name="Comma 3 2 9 3 2" xfId="15601"/>
    <cellStyle name="Comma 3 2 9 3 3" xfId="22161"/>
    <cellStyle name="Comma 3 2 9 4" xfId="10540"/>
    <cellStyle name="Comma 3 2 9 4 2" xfId="24482"/>
    <cellStyle name="Comma 3 2 9 5" xfId="22163"/>
    <cellStyle name="Comma 3 20" xfId="5607"/>
    <cellStyle name="Comma 3 20 2" xfId="5608"/>
    <cellStyle name="Comma 3 20 2 2" xfId="11334"/>
    <cellStyle name="Comma 3 20 2 3" xfId="22159"/>
    <cellStyle name="Comma 3 20 3" xfId="9779"/>
    <cellStyle name="Comma 3 20 4" xfId="22160"/>
    <cellStyle name="Comma 3 21" xfId="5609"/>
    <cellStyle name="Comma 3 21 2" xfId="5610"/>
    <cellStyle name="Comma 3 21 2 2" xfId="11722"/>
    <cellStyle name="Comma 3 21 2 2 2" xfId="25442"/>
    <cellStyle name="Comma 3 21 2 3" xfId="22157"/>
    <cellStyle name="Comma 3 21 3" xfId="5611"/>
    <cellStyle name="Comma 3 21 3 2" xfId="13133"/>
    <cellStyle name="Comma 3 21 3 2 2" xfId="26845"/>
    <cellStyle name="Comma 3 21 3 3" xfId="22156"/>
    <cellStyle name="Comma 3 21 4" xfId="5612"/>
    <cellStyle name="Comma 3 21 4 2" xfId="15602"/>
    <cellStyle name="Comma 3 21 4 3" xfId="22155"/>
    <cellStyle name="Comma 3 21 5" xfId="10487"/>
    <cellStyle name="Comma 3 21 5 2" xfId="24446"/>
    <cellStyle name="Comma 3 21 6" xfId="22158"/>
    <cellStyle name="Comma 3 22" xfId="5613"/>
    <cellStyle name="Comma 3 22 2" xfId="5614"/>
    <cellStyle name="Comma 3 22 2 2" xfId="13134"/>
    <cellStyle name="Comma 3 22 2 2 2" xfId="26846"/>
    <cellStyle name="Comma 3 22 2 3" xfId="22153"/>
    <cellStyle name="Comma 3 22 3" xfId="5615"/>
    <cellStyle name="Comma 3 22 3 2" xfId="15603"/>
    <cellStyle name="Comma 3 22 3 3" xfId="22152"/>
    <cellStyle name="Comma 3 22 4" xfId="10517"/>
    <cellStyle name="Comma 3 22 4 2" xfId="24465"/>
    <cellStyle name="Comma 3 22 5" xfId="22154"/>
    <cellStyle name="Comma 3 23" xfId="5616"/>
    <cellStyle name="Comma 3 23 2" xfId="11314"/>
    <cellStyle name="Comma 3 23 3" xfId="22151"/>
    <cellStyle name="Comma 3 24" xfId="5617"/>
    <cellStyle name="Comma 3 24 2" xfId="11760"/>
    <cellStyle name="Comma 3 24 2 2" xfId="25475"/>
    <cellStyle name="Comma 3 24 3" xfId="22150"/>
    <cellStyle name="Comma 3 25" xfId="5618"/>
    <cellStyle name="Comma 3 25 2" xfId="13390"/>
    <cellStyle name="Comma 3 25 2 2" xfId="26939"/>
    <cellStyle name="Comma 3 25 3" xfId="22149"/>
    <cellStyle name="Comma 3 26" xfId="5619"/>
    <cellStyle name="Comma 3 26 2" xfId="13971"/>
    <cellStyle name="Comma 3 26 2 2" xfId="27520"/>
    <cellStyle name="Comma 3 26 3" xfId="22148"/>
    <cellStyle name="Comma 3 27" xfId="5620"/>
    <cellStyle name="Comma 3 27 2" xfId="15829"/>
    <cellStyle name="Comma 3 27 2 2" xfId="29236"/>
    <cellStyle name="Comma 3 27 3" xfId="22147"/>
    <cellStyle name="Comma 3 28" xfId="5621"/>
    <cellStyle name="Comma 3 28 2" xfId="15857"/>
    <cellStyle name="Comma 3 28 2 2" xfId="29264"/>
    <cellStyle name="Comma 3 28 3" xfId="22146"/>
    <cellStyle name="Comma 3 29" xfId="8659"/>
    <cellStyle name="Comma 3 29 2" xfId="9746"/>
    <cellStyle name="Comma 3 3" xfId="5622"/>
    <cellStyle name="Comma 3 3 10" xfId="5623"/>
    <cellStyle name="Comma 3 3 10 2" xfId="17331"/>
    <cellStyle name="Comma 3 3 10 3" xfId="22144"/>
    <cellStyle name="Comma 3 3 11" xfId="8739"/>
    <cellStyle name="Comma 3 3 12" xfId="9780"/>
    <cellStyle name="Comma 3 3 13" xfId="22145"/>
    <cellStyle name="Comma 3 3 2" xfId="5624"/>
    <cellStyle name="Comma 3 3 2 2" xfId="5625"/>
    <cellStyle name="Comma 3 3 2 2 2" xfId="5626"/>
    <cellStyle name="Comma 3 3 2 2 2 2" xfId="5627"/>
    <cellStyle name="Comma 3 3 2 2 2 2 2" xfId="11335"/>
    <cellStyle name="Comma 3 3 2 2 2 2 3" xfId="22140"/>
    <cellStyle name="Comma 3 3 2 2 2 3" xfId="5628"/>
    <cellStyle name="Comma 3 3 2 2 2 3 2" xfId="16950"/>
    <cellStyle name="Comma 3 3 2 2 2 3 2 2" xfId="30357"/>
    <cellStyle name="Comma 3 3 2 2 2 3 3" xfId="22139"/>
    <cellStyle name="Comma 3 3 2 2 2 4" xfId="9783"/>
    <cellStyle name="Comma 3 3 2 2 2 5" xfId="22141"/>
    <cellStyle name="Comma 3 3 2 2 3" xfId="5629"/>
    <cellStyle name="Comma 3 3 2 2 3 2" xfId="5630"/>
    <cellStyle name="Comma 3 3 2 2 3 2 2" xfId="13135"/>
    <cellStyle name="Comma 3 3 2 2 3 2 3" xfId="22137"/>
    <cellStyle name="Comma 3 3 2 2 3 3" xfId="12338"/>
    <cellStyle name="Comma 3 3 2 2 3 3 2" xfId="26050"/>
    <cellStyle name="Comma 3 3 2 2 3 4" xfId="22138"/>
    <cellStyle name="Comma 3 3 2 2 4" xfId="5631"/>
    <cellStyle name="Comma 3 3 2 2 4 2" xfId="5632"/>
    <cellStyle name="Comma 3 3 2 2 4 2 2" xfId="15604"/>
    <cellStyle name="Comma 3 3 2 2 4 2 3" xfId="22135"/>
    <cellStyle name="Comma 3 3 2 2 4 3" xfId="13902"/>
    <cellStyle name="Comma 3 3 2 2 4 3 2" xfId="27451"/>
    <cellStyle name="Comma 3 3 2 2 4 4" xfId="22136"/>
    <cellStyle name="Comma 3 3 2 2 5" xfId="5633"/>
    <cellStyle name="Comma 3 3 2 2 5 2" xfId="14483"/>
    <cellStyle name="Comma 3 3 2 2 5 2 2" xfId="28032"/>
    <cellStyle name="Comma 3 3 2 2 5 3" xfId="22134"/>
    <cellStyle name="Comma 3 3 2 2 6" xfId="5634"/>
    <cellStyle name="Comma 3 3 2 2 6 2" xfId="16369"/>
    <cellStyle name="Comma 3 3 2 2 6 2 2" xfId="29776"/>
    <cellStyle name="Comma 3 3 2 2 6 3" xfId="22133"/>
    <cellStyle name="Comma 3 3 2 2 7" xfId="9782"/>
    <cellStyle name="Comma 3 3 2 2 8" xfId="22142"/>
    <cellStyle name="Comma 3 3 2 3" xfId="5635"/>
    <cellStyle name="Comma 3 3 2 3 2" xfId="5636"/>
    <cellStyle name="Comma 3 3 2 3 2 2" xfId="11336"/>
    <cellStyle name="Comma 3 3 2 3 2 3" xfId="22131"/>
    <cellStyle name="Comma 3 3 2 3 3" xfId="5637"/>
    <cellStyle name="Comma 3 3 2 3 3 2" xfId="16661"/>
    <cellStyle name="Comma 3 3 2 3 3 2 2" xfId="30068"/>
    <cellStyle name="Comma 3 3 2 3 3 3" xfId="22130"/>
    <cellStyle name="Comma 3 3 2 3 4" xfId="9784"/>
    <cellStyle name="Comma 3 3 2 3 5" xfId="22132"/>
    <cellStyle name="Comma 3 3 2 4" xfId="5638"/>
    <cellStyle name="Comma 3 3 2 4 2" xfId="5639"/>
    <cellStyle name="Comma 3 3 2 4 2 2" xfId="13136"/>
    <cellStyle name="Comma 3 3 2 4 2 3" xfId="22128"/>
    <cellStyle name="Comma 3 3 2 4 3" xfId="12038"/>
    <cellStyle name="Comma 3 3 2 4 3 2" xfId="25753"/>
    <cellStyle name="Comma 3 3 2 4 4" xfId="22129"/>
    <cellStyle name="Comma 3 3 2 5" xfId="5640"/>
    <cellStyle name="Comma 3 3 2 5 2" xfId="5641"/>
    <cellStyle name="Comma 3 3 2 5 2 2" xfId="15605"/>
    <cellStyle name="Comma 3 3 2 5 2 3" xfId="22126"/>
    <cellStyle name="Comma 3 3 2 5 3" xfId="13613"/>
    <cellStyle name="Comma 3 3 2 5 3 2" xfId="27162"/>
    <cellStyle name="Comma 3 3 2 5 4" xfId="22127"/>
    <cellStyle name="Comma 3 3 2 6" xfId="5642"/>
    <cellStyle name="Comma 3 3 2 6 2" xfId="14194"/>
    <cellStyle name="Comma 3 3 2 6 2 2" xfId="27743"/>
    <cellStyle name="Comma 3 3 2 6 3" xfId="22125"/>
    <cellStyle name="Comma 3 3 2 7" xfId="5643"/>
    <cellStyle name="Comma 3 3 2 7 2" xfId="16080"/>
    <cellStyle name="Comma 3 3 2 7 2 2" xfId="29487"/>
    <cellStyle name="Comma 3 3 2 7 3" xfId="22124"/>
    <cellStyle name="Comma 3 3 2 8" xfId="9781"/>
    <cellStyle name="Comma 3 3 2 9" xfId="22143"/>
    <cellStyle name="Comma 3 3 3" xfId="5644"/>
    <cellStyle name="Comma 3 3 3 2" xfId="5645"/>
    <cellStyle name="Comma 3 3 3 2 2" xfId="5646"/>
    <cellStyle name="Comma 3 3 3 2 2 2" xfId="11337"/>
    <cellStyle name="Comma 3 3 3 2 2 3" xfId="22121"/>
    <cellStyle name="Comma 3 3 3 2 3" xfId="5647"/>
    <cellStyle name="Comma 3 3 3 2 3 2" xfId="16807"/>
    <cellStyle name="Comma 3 3 3 2 3 2 2" xfId="30214"/>
    <cellStyle name="Comma 3 3 3 2 3 3" xfId="22120"/>
    <cellStyle name="Comma 3 3 3 2 4" xfId="9786"/>
    <cellStyle name="Comma 3 3 3 2 5" xfId="22122"/>
    <cellStyle name="Comma 3 3 3 3" xfId="5648"/>
    <cellStyle name="Comma 3 3 3 3 2" xfId="5649"/>
    <cellStyle name="Comma 3 3 3 3 2 2" xfId="13137"/>
    <cellStyle name="Comma 3 3 3 3 2 3" xfId="22118"/>
    <cellStyle name="Comma 3 3 3 3 3" xfId="12195"/>
    <cellStyle name="Comma 3 3 3 3 3 2" xfId="25907"/>
    <cellStyle name="Comma 3 3 3 3 4" xfId="22119"/>
    <cellStyle name="Comma 3 3 3 4" xfId="5650"/>
    <cellStyle name="Comma 3 3 3 4 2" xfId="5651"/>
    <cellStyle name="Comma 3 3 3 4 2 2" xfId="15606"/>
    <cellStyle name="Comma 3 3 3 4 2 3" xfId="22116"/>
    <cellStyle name="Comma 3 3 3 4 3" xfId="13759"/>
    <cellStyle name="Comma 3 3 3 4 3 2" xfId="27308"/>
    <cellStyle name="Comma 3 3 3 4 4" xfId="22117"/>
    <cellStyle name="Comma 3 3 3 5" xfId="5652"/>
    <cellStyle name="Comma 3 3 3 5 2" xfId="14340"/>
    <cellStyle name="Comma 3 3 3 5 2 2" xfId="27889"/>
    <cellStyle name="Comma 3 3 3 5 3" xfId="22115"/>
    <cellStyle name="Comma 3 3 3 6" xfId="5653"/>
    <cellStyle name="Comma 3 3 3 6 2" xfId="16226"/>
    <cellStyle name="Comma 3 3 3 6 2 2" xfId="29633"/>
    <cellStyle name="Comma 3 3 3 6 3" xfId="22114"/>
    <cellStyle name="Comma 3 3 3 7" xfId="9785"/>
    <cellStyle name="Comma 3 3 3 8" xfId="22123"/>
    <cellStyle name="Comma 3 3 4" xfId="5654"/>
    <cellStyle name="Comma 3 3 4 2" xfId="5655"/>
    <cellStyle name="Comma 3 3 4 2 2" xfId="13138"/>
    <cellStyle name="Comma 3 3 4 2 3" xfId="22112"/>
    <cellStyle name="Comma 3 3 4 3" xfId="5656"/>
    <cellStyle name="Comma 3 3 4 3 2" xfId="17154"/>
    <cellStyle name="Comma 3 3 4 3 2 2" xfId="30513"/>
    <cellStyle name="Comma 3 3 4 3 3" xfId="22111"/>
    <cellStyle name="Comma 3 3 4 4" xfId="9787"/>
    <cellStyle name="Comma 3 3 4 5" xfId="22113"/>
    <cellStyle name="Comma 3 3 5" xfId="5657"/>
    <cellStyle name="Comma 3 3 5 2" xfId="5658"/>
    <cellStyle name="Comma 3 3 5 2 2" xfId="11338"/>
    <cellStyle name="Comma 3 3 5 2 3" xfId="22109"/>
    <cellStyle name="Comma 3 3 5 3" xfId="5659"/>
    <cellStyle name="Comma 3 3 5 3 2" xfId="17243"/>
    <cellStyle name="Comma 3 3 5 3 2 2" xfId="30602"/>
    <cellStyle name="Comma 3 3 5 3 3" xfId="22108"/>
    <cellStyle name="Comma 3 3 5 4" xfId="9788"/>
    <cellStyle name="Comma 3 3 5 5" xfId="22110"/>
    <cellStyle name="Comma 3 3 6" xfId="5660"/>
    <cellStyle name="Comma 3 3 6 2" xfId="5661"/>
    <cellStyle name="Comma 3 3 6 2 2" xfId="15607"/>
    <cellStyle name="Comma 3 3 6 2 3" xfId="22106"/>
    <cellStyle name="Comma 3 3 6 3" xfId="5662"/>
    <cellStyle name="Comma 3 3 6 3 2" xfId="16518"/>
    <cellStyle name="Comma 3 3 6 3 2 2" xfId="29925"/>
    <cellStyle name="Comma 3 3 6 3 3" xfId="22105"/>
    <cellStyle name="Comma 3 3 6 4" xfId="11891"/>
    <cellStyle name="Comma 3 3 6 4 2" xfId="25606"/>
    <cellStyle name="Comma 3 3 6 5" xfId="22107"/>
    <cellStyle name="Comma 3 3 7" xfId="5663"/>
    <cellStyle name="Comma 3 3 7 2" xfId="13470"/>
    <cellStyle name="Comma 3 3 7 2 2" xfId="27019"/>
    <cellStyle name="Comma 3 3 7 3" xfId="22104"/>
    <cellStyle name="Comma 3 3 8" xfId="5664"/>
    <cellStyle name="Comma 3 3 8 2" xfId="14051"/>
    <cellStyle name="Comma 3 3 8 2 2" xfId="27600"/>
    <cellStyle name="Comma 3 3 8 3" xfId="22103"/>
    <cellStyle name="Comma 3 3 9" xfId="5665"/>
    <cellStyle name="Comma 3 3 9 2" xfId="15937"/>
    <cellStyle name="Comma 3 3 9 2 2" xfId="29344"/>
    <cellStyle name="Comma 3 3 9 3" xfId="22102"/>
    <cellStyle name="Comma 3 30" xfId="17302"/>
    <cellStyle name="Comma 3 31" xfId="22286"/>
    <cellStyle name="Comma 3 4" xfId="5666"/>
    <cellStyle name="Comma 3 4 10" xfId="9789"/>
    <cellStyle name="Comma 3 4 11" xfId="22101"/>
    <cellStyle name="Comma 3 4 2" xfId="5667"/>
    <cellStyle name="Comma 3 4 2 2" xfId="5668"/>
    <cellStyle name="Comma 3 4 2 2 2" xfId="5669"/>
    <cellStyle name="Comma 3 4 2 2 2 2" xfId="5670"/>
    <cellStyle name="Comma 3 4 2 2 2 2 2" xfId="11339"/>
    <cellStyle name="Comma 3 4 2 2 2 2 3" xfId="22097"/>
    <cellStyle name="Comma 3 4 2 2 2 3" xfId="5671"/>
    <cellStyle name="Comma 3 4 2 2 2 3 2" xfId="16904"/>
    <cellStyle name="Comma 3 4 2 2 2 3 2 2" xfId="30311"/>
    <cellStyle name="Comma 3 4 2 2 2 3 3" xfId="22096"/>
    <cellStyle name="Comma 3 4 2 2 2 4" xfId="9792"/>
    <cellStyle name="Comma 3 4 2 2 2 5" xfId="22098"/>
    <cellStyle name="Comma 3 4 2 2 3" xfId="5672"/>
    <cellStyle name="Comma 3 4 2 2 3 2" xfId="5673"/>
    <cellStyle name="Comma 3 4 2 2 3 2 2" xfId="13139"/>
    <cellStyle name="Comma 3 4 2 2 3 2 3" xfId="22094"/>
    <cellStyle name="Comma 3 4 2 2 3 3" xfId="12292"/>
    <cellStyle name="Comma 3 4 2 2 3 3 2" xfId="26004"/>
    <cellStyle name="Comma 3 4 2 2 3 4" xfId="22095"/>
    <cellStyle name="Comma 3 4 2 2 4" xfId="5674"/>
    <cellStyle name="Comma 3 4 2 2 4 2" xfId="5675"/>
    <cellStyle name="Comma 3 4 2 2 4 2 2" xfId="15608"/>
    <cellStyle name="Comma 3 4 2 2 4 2 3" xfId="22092"/>
    <cellStyle name="Comma 3 4 2 2 4 3" xfId="13856"/>
    <cellStyle name="Comma 3 4 2 2 4 3 2" xfId="27405"/>
    <cellStyle name="Comma 3 4 2 2 4 4" xfId="22093"/>
    <cellStyle name="Comma 3 4 2 2 5" xfId="5676"/>
    <cellStyle name="Comma 3 4 2 2 5 2" xfId="14437"/>
    <cellStyle name="Comma 3 4 2 2 5 2 2" xfId="27986"/>
    <cellStyle name="Comma 3 4 2 2 5 3" xfId="22091"/>
    <cellStyle name="Comma 3 4 2 2 6" xfId="5677"/>
    <cellStyle name="Comma 3 4 2 2 6 2" xfId="16323"/>
    <cellStyle name="Comma 3 4 2 2 6 2 2" xfId="29730"/>
    <cellStyle name="Comma 3 4 2 2 6 3" xfId="22090"/>
    <cellStyle name="Comma 3 4 2 2 7" xfId="9791"/>
    <cellStyle name="Comma 3 4 2 2 8" xfId="22099"/>
    <cellStyle name="Comma 3 4 2 3" xfId="5678"/>
    <cellStyle name="Comma 3 4 2 3 2" xfId="5679"/>
    <cellStyle name="Comma 3 4 2 3 2 2" xfId="11340"/>
    <cellStyle name="Comma 3 4 2 3 2 3" xfId="22088"/>
    <cellStyle name="Comma 3 4 2 3 3" xfId="5680"/>
    <cellStyle name="Comma 3 4 2 3 3 2" xfId="16615"/>
    <cellStyle name="Comma 3 4 2 3 3 2 2" xfId="30022"/>
    <cellStyle name="Comma 3 4 2 3 3 3" xfId="22087"/>
    <cellStyle name="Comma 3 4 2 3 4" xfId="9793"/>
    <cellStyle name="Comma 3 4 2 3 5" xfId="22089"/>
    <cellStyle name="Comma 3 4 2 4" xfId="5681"/>
    <cellStyle name="Comma 3 4 2 4 2" xfId="5682"/>
    <cellStyle name="Comma 3 4 2 4 2 2" xfId="13140"/>
    <cellStyle name="Comma 3 4 2 4 2 3" xfId="22085"/>
    <cellStyle name="Comma 3 4 2 4 3" xfId="11992"/>
    <cellStyle name="Comma 3 4 2 4 3 2" xfId="25707"/>
    <cellStyle name="Comma 3 4 2 4 4" xfId="22086"/>
    <cellStyle name="Comma 3 4 2 5" xfId="5683"/>
    <cellStyle name="Comma 3 4 2 5 2" xfId="5684"/>
    <cellStyle name="Comma 3 4 2 5 2 2" xfId="15609"/>
    <cellStyle name="Comma 3 4 2 5 2 3" xfId="22083"/>
    <cellStyle name="Comma 3 4 2 5 3" xfId="13567"/>
    <cellStyle name="Comma 3 4 2 5 3 2" xfId="27116"/>
    <cellStyle name="Comma 3 4 2 5 4" xfId="22084"/>
    <cellStyle name="Comma 3 4 2 6" xfId="5685"/>
    <cellStyle name="Comma 3 4 2 6 2" xfId="14148"/>
    <cellStyle name="Comma 3 4 2 6 2 2" xfId="27697"/>
    <cellStyle name="Comma 3 4 2 6 3" xfId="22082"/>
    <cellStyle name="Comma 3 4 2 7" xfId="5686"/>
    <cellStyle name="Comma 3 4 2 7 2" xfId="16034"/>
    <cellStyle name="Comma 3 4 2 7 2 2" xfId="29441"/>
    <cellStyle name="Comma 3 4 2 7 3" xfId="22081"/>
    <cellStyle name="Comma 3 4 2 8" xfId="9790"/>
    <cellStyle name="Comma 3 4 2 9" xfId="22100"/>
    <cellStyle name="Comma 3 4 3" xfId="5687"/>
    <cellStyle name="Comma 3 4 3 2" xfId="5688"/>
    <cellStyle name="Comma 3 4 3 2 2" xfId="5689"/>
    <cellStyle name="Comma 3 4 3 2 2 2" xfId="11341"/>
    <cellStyle name="Comma 3 4 3 2 2 3" xfId="22078"/>
    <cellStyle name="Comma 3 4 3 2 3" xfId="5690"/>
    <cellStyle name="Comma 3 4 3 2 3 2" xfId="16764"/>
    <cellStyle name="Comma 3 4 3 2 3 2 2" xfId="30171"/>
    <cellStyle name="Comma 3 4 3 2 3 3" xfId="22077"/>
    <cellStyle name="Comma 3 4 3 2 4" xfId="9795"/>
    <cellStyle name="Comma 3 4 3 2 5" xfId="22079"/>
    <cellStyle name="Comma 3 4 3 3" xfId="5691"/>
    <cellStyle name="Comma 3 4 3 3 2" xfId="5692"/>
    <cellStyle name="Comma 3 4 3 3 2 2" xfId="13141"/>
    <cellStyle name="Comma 3 4 3 3 2 3" xfId="22075"/>
    <cellStyle name="Comma 3 4 3 3 3" xfId="12152"/>
    <cellStyle name="Comma 3 4 3 3 3 2" xfId="25864"/>
    <cellStyle name="Comma 3 4 3 3 4" xfId="22076"/>
    <cellStyle name="Comma 3 4 3 4" xfId="5693"/>
    <cellStyle name="Comma 3 4 3 4 2" xfId="5694"/>
    <cellStyle name="Comma 3 4 3 4 2 2" xfId="15610"/>
    <cellStyle name="Comma 3 4 3 4 2 3" xfId="22073"/>
    <cellStyle name="Comma 3 4 3 4 3" xfId="13716"/>
    <cellStyle name="Comma 3 4 3 4 3 2" xfId="27265"/>
    <cellStyle name="Comma 3 4 3 4 4" xfId="22074"/>
    <cellStyle name="Comma 3 4 3 5" xfId="5695"/>
    <cellStyle name="Comma 3 4 3 5 2" xfId="14297"/>
    <cellStyle name="Comma 3 4 3 5 2 2" xfId="27846"/>
    <cellStyle name="Comma 3 4 3 5 3" xfId="22072"/>
    <cellStyle name="Comma 3 4 3 6" xfId="5696"/>
    <cellStyle name="Comma 3 4 3 6 2" xfId="16183"/>
    <cellStyle name="Comma 3 4 3 6 2 2" xfId="29590"/>
    <cellStyle name="Comma 3 4 3 6 3" xfId="22071"/>
    <cellStyle name="Comma 3 4 3 7" xfId="9794"/>
    <cellStyle name="Comma 3 4 3 8" xfId="22080"/>
    <cellStyle name="Comma 3 4 4" xfId="5697"/>
    <cellStyle name="Comma 3 4 4 2" xfId="5698"/>
    <cellStyle name="Comma 3 4 4 2 2" xfId="16472"/>
    <cellStyle name="Comma 3 4 4 2 2 2" xfId="29879"/>
    <cellStyle name="Comma 3 4 4 2 3" xfId="22069"/>
    <cellStyle name="Comma 3 4 4 3" xfId="9796"/>
    <cellStyle name="Comma 3 4 4 4" xfId="22070"/>
    <cellStyle name="Comma 3 4 5" xfId="5699"/>
    <cellStyle name="Comma 3 4 5 2" xfId="5700"/>
    <cellStyle name="Comma 3 4 5 2 2" xfId="11342"/>
    <cellStyle name="Comma 3 4 5 2 3" xfId="22067"/>
    <cellStyle name="Comma 3 4 5 3" xfId="9797"/>
    <cellStyle name="Comma 3 4 5 4" xfId="22068"/>
    <cellStyle name="Comma 3 4 6" xfId="5701"/>
    <cellStyle name="Comma 3 4 6 2" xfId="5702"/>
    <cellStyle name="Comma 3 4 6 2 2" xfId="13142"/>
    <cellStyle name="Comma 3 4 6 2 3" xfId="22065"/>
    <cellStyle name="Comma 3 4 6 3" xfId="11823"/>
    <cellStyle name="Comma 3 4 6 3 2" xfId="25538"/>
    <cellStyle name="Comma 3 4 6 4" xfId="22066"/>
    <cellStyle name="Comma 3 4 7" xfId="5703"/>
    <cellStyle name="Comma 3 4 7 2" xfId="5704"/>
    <cellStyle name="Comma 3 4 7 2 2" xfId="15611"/>
    <cellStyle name="Comma 3 4 7 2 3" xfId="22063"/>
    <cellStyle name="Comma 3 4 7 3" xfId="13424"/>
    <cellStyle name="Comma 3 4 7 3 2" xfId="26973"/>
    <cellStyle name="Comma 3 4 7 4" xfId="22064"/>
    <cellStyle name="Comma 3 4 8" xfId="5705"/>
    <cellStyle name="Comma 3 4 8 2" xfId="14005"/>
    <cellStyle name="Comma 3 4 8 2 2" xfId="27554"/>
    <cellStyle name="Comma 3 4 8 3" xfId="22062"/>
    <cellStyle name="Comma 3 4 9" xfId="5706"/>
    <cellStyle name="Comma 3 4 9 2" xfId="15891"/>
    <cellStyle name="Comma 3 4 9 2 2" xfId="29298"/>
    <cellStyle name="Comma 3 4 9 3" xfId="22061"/>
    <cellStyle name="Comma 3 5" xfId="5707"/>
    <cellStyle name="Comma 3 5 10" xfId="9798"/>
    <cellStyle name="Comma 3 5 11" xfId="22060"/>
    <cellStyle name="Comma 3 5 2" xfId="5708"/>
    <cellStyle name="Comma 3 5 2 2" xfId="5709"/>
    <cellStyle name="Comma 3 5 2 2 2" xfId="5710"/>
    <cellStyle name="Comma 3 5 2 2 2 2" xfId="5711"/>
    <cellStyle name="Comma 3 5 2 2 2 2 2" xfId="11343"/>
    <cellStyle name="Comma 3 5 2 2 2 2 3" xfId="22056"/>
    <cellStyle name="Comma 3 5 2 2 2 3" xfId="5712"/>
    <cellStyle name="Comma 3 5 2 2 2 3 2" xfId="16887"/>
    <cellStyle name="Comma 3 5 2 2 2 3 2 2" xfId="30294"/>
    <cellStyle name="Comma 3 5 2 2 2 3 3" xfId="22055"/>
    <cellStyle name="Comma 3 5 2 2 2 4" xfId="9801"/>
    <cellStyle name="Comma 3 5 2 2 2 5" xfId="22057"/>
    <cellStyle name="Comma 3 5 2 2 3" xfId="5713"/>
    <cellStyle name="Comma 3 5 2 2 3 2" xfId="5714"/>
    <cellStyle name="Comma 3 5 2 2 3 2 2" xfId="13143"/>
    <cellStyle name="Comma 3 5 2 2 3 2 3" xfId="22053"/>
    <cellStyle name="Comma 3 5 2 2 3 3" xfId="12275"/>
    <cellStyle name="Comma 3 5 2 2 3 3 2" xfId="25987"/>
    <cellStyle name="Comma 3 5 2 2 3 4" xfId="22054"/>
    <cellStyle name="Comma 3 5 2 2 4" xfId="5715"/>
    <cellStyle name="Comma 3 5 2 2 4 2" xfId="5716"/>
    <cellStyle name="Comma 3 5 2 2 4 2 2" xfId="15612"/>
    <cellStyle name="Comma 3 5 2 2 4 2 3" xfId="22051"/>
    <cellStyle name="Comma 3 5 2 2 4 3" xfId="13839"/>
    <cellStyle name="Comma 3 5 2 2 4 3 2" xfId="27388"/>
    <cellStyle name="Comma 3 5 2 2 4 4" xfId="22052"/>
    <cellStyle name="Comma 3 5 2 2 5" xfId="5717"/>
    <cellStyle name="Comma 3 5 2 2 5 2" xfId="14420"/>
    <cellStyle name="Comma 3 5 2 2 5 2 2" xfId="27969"/>
    <cellStyle name="Comma 3 5 2 2 5 3" xfId="22050"/>
    <cellStyle name="Comma 3 5 2 2 6" xfId="5718"/>
    <cellStyle name="Comma 3 5 2 2 6 2" xfId="16306"/>
    <cellStyle name="Comma 3 5 2 2 6 2 2" xfId="29713"/>
    <cellStyle name="Comma 3 5 2 2 6 3" xfId="22049"/>
    <cellStyle name="Comma 3 5 2 2 7" xfId="9800"/>
    <cellStyle name="Comma 3 5 2 2 8" xfId="22058"/>
    <cellStyle name="Comma 3 5 2 3" xfId="5719"/>
    <cellStyle name="Comma 3 5 2 3 2" xfId="5720"/>
    <cellStyle name="Comma 3 5 2 3 2 2" xfId="11344"/>
    <cellStyle name="Comma 3 5 2 3 2 3" xfId="22047"/>
    <cellStyle name="Comma 3 5 2 3 3" xfId="5721"/>
    <cellStyle name="Comma 3 5 2 3 3 2" xfId="16598"/>
    <cellStyle name="Comma 3 5 2 3 3 2 2" xfId="30005"/>
    <cellStyle name="Comma 3 5 2 3 3 3" xfId="22046"/>
    <cellStyle name="Comma 3 5 2 3 4" xfId="9802"/>
    <cellStyle name="Comma 3 5 2 3 5" xfId="22048"/>
    <cellStyle name="Comma 3 5 2 4" xfId="5722"/>
    <cellStyle name="Comma 3 5 2 4 2" xfId="5723"/>
    <cellStyle name="Comma 3 5 2 4 2 2" xfId="13144"/>
    <cellStyle name="Comma 3 5 2 4 2 3" xfId="22044"/>
    <cellStyle name="Comma 3 5 2 4 3" xfId="11975"/>
    <cellStyle name="Comma 3 5 2 4 3 2" xfId="25690"/>
    <cellStyle name="Comma 3 5 2 4 4" xfId="22045"/>
    <cellStyle name="Comma 3 5 2 5" xfId="5724"/>
    <cellStyle name="Comma 3 5 2 5 2" xfId="5725"/>
    <cellStyle name="Comma 3 5 2 5 2 2" xfId="15613"/>
    <cellStyle name="Comma 3 5 2 5 2 3" xfId="22042"/>
    <cellStyle name="Comma 3 5 2 5 3" xfId="13550"/>
    <cellStyle name="Comma 3 5 2 5 3 2" xfId="27099"/>
    <cellStyle name="Comma 3 5 2 5 4" xfId="22043"/>
    <cellStyle name="Comma 3 5 2 6" xfId="5726"/>
    <cellStyle name="Comma 3 5 2 6 2" xfId="14131"/>
    <cellStyle name="Comma 3 5 2 6 2 2" xfId="27680"/>
    <cellStyle name="Comma 3 5 2 6 3" xfId="22041"/>
    <cellStyle name="Comma 3 5 2 7" xfId="5727"/>
    <cellStyle name="Comma 3 5 2 7 2" xfId="16017"/>
    <cellStyle name="Comma 3 5 2 7 2 2" xfId="29424"/>
    <cellStyle name="Comma 3 5 2 7 3" xfId="22040"/>
    <cellStyle name="Comma 3 5 2 8" xfId="9799"/>
    <cellStyle name="Comma 3 5 2 9" xfId="22059"/>
    <cellStyle name="Comma 3 5 3" xfId="5728"/>
    <cellStyle name="Comma 3 5 3 2" xfId="5729"/>
    <cellStyle name="Comma 3 5 3 2 2" xfId="5730"/>
    <cellStyle name="Comma 3 5 3 2 2 2" xfId="11345"/>
    <cellStyle name="Comma 3 5 3 2 2 3" xfId="22037"/>
    <cellStyle name="Comma 3 5 3 2 3" xfId="5731"/>
    <cellStyle name="Comma 3 5 3 2 3 2" xfId="16747"/>
    <cellStyle name="Comma 3 5 3 2 3 2 2" xfId="30154"/>
    <cellStyle name="Comma 3 5 3 2 3 3" xfId="22036"/>
    <cellStyle name="Comma 3 5 3 2 4" xfId="9804"/>
    <cellStyle name="Comma 3 5 3 2 5" xfId="22038"/>
    <cellStyle name="Comma 3 5 3 3" xfId="5732"/>
    <cellStyle name="Comma 3 5 3 3 2" xfId="5733"/>
    <cellStyle name="Comma 3 5 3 3 2 2" xfId="13145"/>
    <cellStyle name="Comma 3 5 3 3 2 3" xfId="22034"/>
    <cellStyle name="Comma 3 5 3 3 3" xfId="12135"/>
    <cellStyle name="Comma 3 5 3 3 3 2" xfId="25847"/>
    <cellStyle name="Comma 3 5 3 3 4" xfId="22035"/>
    <cellStyle name="Comma 3 5 3 4" xfId="5734"/>
    <cellStyle name="Comma 3 5 3 4 2" xfId="5735"/>
    <cellStyle name="Comma 3 5 3 4 2 2" xfId="15614"/>
    <cellStyle name="Comma 3 5 3 4 2 3" xfId="22032"/>
    <cellStyle name="Comma 3 5 3 4 3" xfId="13699"/>
    <cellStyle name="Comma 3 5 3 4 3 2" xfId="27248"/>
    <cellStyle name="Comma 3 5 3 4 4" xfId="22033"/>
    <cellStyle name="Comma 3 5 3 5" xfId="5736"/>
    <cellStyle name="Comma 3 5 3 5 2" xfId="14280"/>
    <cellStyle name="Comma 3 5 3 5 2 2" xfId="27829"/>
    <cellStyle name="Comma 3 5 3 5 3" xfId="22031"/>
    <cellStyle name="Comma 3 5 3 6" xfId="5737"/>
    <cellStyle name="Comma 3 5 3 6 2" xfId="16166"/>
    <cellStyle name="Comma 3 5 3 6 2 2" xfId="29573"/>
    <cellStyle name="Comma 3 5 3 6 3" xfId="22030"/>
    <cellStyle name="Comma 3 5 3 7" xfId="9803"/>
    <cellStyle name="Comma 3 5 3 8" xfId="22039"/>
    <cellStyle name="Comma 3 5 4" xfId="5738"/>
    <cellStyle name="Comma 3 5 4 2" xfId="5739"/>
    <cellStyle name="Comma 3 5 4 2 2" xfId="16455"/>
    <cellStyle name="Comma 3 5 4 2 2 2" xfId="29862"/>
    <cellStyle name="Comma 3 5 4 2 3" xfId="22028"/>
    <cellStyle name="Comma 3 5 4 3" xfId="9805"/>
    <cellStyle name="Comma 3 5 4 4" xfId="22029"/>
    <cellStyle name="Comma 3 5 5" xfId="5740"/>
    <cellStyle name="Comma 3 5 5 2" xfId="5741"/>
    <cellStyle name="Comma 3 5 5 2 2" xfId="11346"/>
    <cellStyle name="Comma 3 5 5 2 3" xfId="22026"/>
    <cellStyle name="Comma 3 5 5 3" xfId="9806"/>
    <cellStyle name="Comma 3 5 5 4" xfId="22027"/>
    <cellStyle name="Comma 3 5 6" xfId="5742"/>
    <cellStyle name="Comma 3 5 6 2" xfId="5743"/>
    <cellStyle name="Comma 3 5 6 2 2" xfId="13146"/>
    <cellStyle name="Comma 3 5 6 2 3" xfId="22024"/>
    <cellStyle name="Comma 3 5 6 3" xfId="11806"/>
    <cellStyle name="Comma 3 5 6 3 2" xfId="25521"/>
    <cellStyle name="Comma 3 5 6 4" xfId="22025"/>
    <cellStyle name="Comma 3 5 7" xfId="5744"/>
    <cellStyle name="Comma 3 5 7 2" xfId="5745"/>
    <cellStyle name="Comma 3 5 7 2 2" xfId="15615"/>
    <cellStyle name="Comma 3 5 7 2 3" xfId="22022"/>
    <cellStyle name="Comma 3 5 7 3" xfId="13407"/>
    <cellStyle name="Comma 3 5 7 3 2" xfId="26956"/>
    <cellStyle name="Comma 3 5 7 4" xfId="22023"/>
    <cellStyle name="Comma 3 5 8" xfId="5746"/>
    <cellStyle name="Comma 3 5 8 2" xfId="13988"/>
    <cellStyle name="Comma 3 5 8 2 2" xfId="27537"/>
    <cellStyle name="Comma 3 5 8 3" xfId="22021"/>
    <cellStyle name="Comma 3 5 9" xfId="5747"/>
    <cellStyle name="Comma 3 5 9 2" xfId="15874"/>
    <cellStyle name="Comma 3 5 9 2 2" xfId="29281"/>
    <cellStyle name="Comma 3 5 9 3" xfId="22020"/>
    <cellStyle name="Comma 3 6" xfId="5748"/>
    <cellStyle name="Comma 3 6 10" xfId="9807"/>
    <cellStyle name="Comma 3 6 11" xfId="22019"/>
    <cellStyle name="Comma 3 6 2" xfId="5749"/>
    <cellStyle name="Comma 3 6 2 2" xfId="5750"/>
    <cellStyle name="Comma 3 6 2 2 2" xfId="5751"/>
    <cellStyle name="Comma 3 6 2 2 2 2" xfId="5752"/>
    <cellStyle name="Comma 3 6 2 2 2 2 2" xfId="11347"/>
    <cellStyle name="Comma 3 6 2 2 2 2 3" xfId="22015"/>
    <cellStyle name="Comma 3 6 2 2 2 3" xfId="5753"/>
    <cellStyle name="Comma 3 6 2 2 2 3 2" xfId="16993"/>
    <cellStyle name="Comma 3 6 2 2 2 3 2 2" xfId="30400"/>
    <cellStyle name="Comma 3 6 2 2 2 3 3" xfId="22014"/>
    <cellStyle name="Comma 3 6 2 2 2 4" xfId="9810"/>
    <cellStyle name="Comma 3 6 2 2 2 5" xfId="22016"/>
    <cellStyle name="Comma 3 6 2 2 3" xfId="5754"/>
    <cellStyle name="Comma 3 6 2 2 3 2" xfId="5755"/>
    <cellStyle name="Comma 3 6 2 2 3 2 2" xfId="13147"/>
    <cellStyle name="Comma 3 6 2 2 3 2 3" xfId="22012"/>
    <cellStyle name="Comma 3 6 2 2 3 3" xfId="12381"/>
    <cellStyle name="Comma 3 6 2 2 3 3 2" xfId="26093"/>
    <cellStyle name="Comma 3 6 2 2 3 4" xfId="22013"/>
    <cellStyle name="Comma 3 6 2 2 4" xfId="5756"/>
    <cellStyle name="Comma 3 6 2 2 4 2" xfId="5757"/>
    <cellStyle name="Comma 3 6 2 2 4 2 2" xfId="15616"/>
    <cellStyle name="Comma 3 6 2 2 4 2 3" xfId="22010"/>
    <cellStyle name="Comma 3 6 2 2 4 3" xfId="13945"/>
    <cellStyle name="Comma 3 6 2 2 4 3 2" xfId="27494"/>
    <cellStyle name="Comma 3 6 2 2 4 4" xfId="22011"/>
    <cellStyle name="Comma 3 6 2 2 5" xfId="5758"/>
    <cellStyle name="Comma 3 6 2 2 5 2" xfId="14526"/>
    <cellStyle name="Comma 3 6 2 2 5 2 2" xfId="28075"/>
    <cellStyle name="Comma 3 6 2 2 5 3" xfId="22009"/>
    <cellStyle name="Comma 3 6 2 2 6" xfId="5759"/>
    <cellStyle name="Comma 3 6 2 2 6 2" xfId="16412"/>
    <cellStyle name="Comma 3 6 2 2 6 2 2" xfId="29819"/>
    <cellStyle name="Comma 3 6 2 2 6 3" xfId="22008"/>
    <cellStyle name="Comma 3 6 2 2 7" xfId="9809"/>
    <cellStyle name="Comma 3 6 2 2 8" xfId="22017"/>
    <cellStyle name="Comma 3 6 2 3" xfId="5760"/>
    <cellStyle name="Comma 3 6 2 3 2" xfId="5761"/>
    <cellStyle name="Comma 3 6 2 3 2 2" xfId="11348"/>
    <cellStyle name="Comma 3 6 2 3 2 3" xfId="22006"/>
    <cellStyle name="Comma 3 6 2 3 3" xfId="5762"/>
    <cellStyle name="Comma 3 6 2 3 3 2" xfId="16704"/>
    <cellStyle name="Comma 3 6 2 3 3 2 2" xfId="30111"/>
    <cellStyle name="Comma 3 6 2 3 3 3" xfId="22005"/>
    <cellStyle name="Comma 3 6 2 3 4" xfId="9811"/>
    <cellStyle name="Comma 3 6 2 3 5" xfId="22007"/>
    <cellStyle name="Comma 3 6 2 4" xfId="5763"/>
    <cellStyle name="Comma 3 6 2 4 2" xfId="5764"/>
    <cellStyle name="Comma 3 6 2 4 2 2" xfId="13148"/>
    <cellStyle name="Comma 3 6 2 4 2 3" xfId="22003"/>
    <cellStyle name="Comma 3 6 2 4 3" xfId="12081"/>
    <cellStyle name="Comma 3 6 2 4 3 2" xfId="25796"/>
    <cellStyle name="Comma 3 6 2 4 4" xfId="22004"/>
    <cellStyle name="Comma 3 6 2 5" xfId="5765"/>
    <cellStyle name="Comma 3 6 2 5 2" xfId="5766"/>
    <cellStyle name="Comma 3 6 2 5 2 2" xfId="15617"/>
    <cellStyle name="Comma 3 6 2 5 2 3" xfId="22001"/>
    <cellStyle name="Comma 3 6 2 5 3" xfId="13656"/>
    <cellStyle name="Comma 3 6 2 5 3 2" xfId="27205"/>
    <cellStyle name="Comma 3 6 2 5 4" xfId="22002"/>
    <cellStyle name="Comma 3 6 2 6" xfId="5767"/>
    <cellStyle name="Comma 3 6 2 6 2" xfId="14237"/>
    <cellStyle name="Comma 3 6 2 6 2 2" xfId="27786"/>
    <cellStyle name="Comma 3 6 2 6 3" xfId="22000"/>
    <cellStyle name="Comma 3 6 2 7" xfId="5768"/>
    <cellStyle name="Comma 3 6 2 7 2" xfId="16123"/>
    <cellStyle name="Comma 3 6 2 7 2 2" xfId="29530"/>
    <cellStyle name="Comma 3 6 2 7 3" xfId="21999"/>
    <cellStyle name="Comma 3 6 2 8" xfId="9808"/>
    <cellStyle name="Comma 3 6 2 9" xfId="22018"/>
    <cellStyle name="Comma 3 6 3" xfId="5769"/>
    <cellStyle name="Comma 3 6 3 2" xfId="5770"/>
    <cellStyle name="Comma 3 6 3 2 2" xfId="5771"/>
    <cellStyle name="Comma 3 6 3 2 2 2" xfId="11349"/>
    <cellStyle name="Comma 3 6 3 2 2 3" xfId="21996"/>
    <cellStyle name="Comma 3 6 3 2 3" xfId="5772"/>
    <cellStyle name="Comma 3 6 3 2 3 2" xfId="16850"/>
    <cellStyle name="Comma 3 6 3 2 3 2 2" xfId="30257"/>
    <cellStyle name="Comma 3 6 3 2 3 3" xfId="21995"/>
    <cellStyle name="Comma 3 6 3 2 4" xfId="9813"/>
    <cellStyle name="Comma 3 6 3 2 5" xfId="21997"/>
    <cellStyle name="Comma 3 6 3 3" xfId="5773"/>
    <cellStyle name="Comma 3 6 3 3 2" xfId="5774"/>
    <cellStyle name="Comma 3 6 3 3 2 2" xfId="13149"/>
    <cellStyle name="Comma 3 6 3 3 2 3" xfId="21993"/>
    <cellStyle name="Comma 3 6 3 3 3" xfId="12238"/>
    <cellStyle name="Comma 3 6 3 3 3 2" xfId="25950"/>
    <cellStyle name="Comma 3 6 3 3 4" xfId="21994"/>
    <cellStyle name="Comma 3 6 3 4" xfId="5775"/>
    <cellStyle name="Comma 3 6 3 4 2" xfId="5776"/>
    <cellStyle name="Comma 3 6 3 4 2 2" xfId="15618"/>
    <cellStyle name="Comma 3 6 3 4 2 3" xfId="21991"/>
    <cellStyle name="Comma 3 6 3 4 3" xfId="13802"/>
    <cellStyle name="Comma 3 6 3 4 3 2" xfId="27351"/>
    <cellStyle name="Comma 3 6 3 4 4" xfId="21992"/>
    <cellStyle name="Comma 3 6 3 5" xfId="5777"/>
    <cellStyle name="Comma 3 6 3 5 2" xfId="14383"/>
    <cellStyle name="Comma 3 6 3 5 2 2" xfId="27932"/>
    <cellStyle name="Comma 3 6 3 5 3" xfId="21990"/>
    <cellStyle name="Comma 3 6 3 6" xfId="5778"/>
    <cellStyle name="Comma 3 6 3 6 2" xfId="16269"/>
    <cellStyle name="Comma 3 6 3 6 2 2" xfId="29676"/>
    <cellStyle name="Comma 3 6 3 6 3" xfId="21989"/>
    <cellStyle name="Comma 3 6 3 7" xfId="9812"/>
    <cellStyle name="Comma 3 6 3 8" xfId="21998"/>
    <cellStyle name="Comma 3 6 4" xfId="5779"/>
    <cellStyle name="Comma 3 6 4 2" xfId="5780"/>
    <cellStyle name="Comma 3 6 4 2 2" xfId="16561"/>
    <cellStyle name="Comma 3 6 4 2 2 2" xfId="29968"/>
    <cellStyle name="Comma 3 6 4 2 3" xfId="21987"/>
    <cellStyle name="Comma 3 6 4 3" xfId="9814"/>
    <cellStyle name="Comma 3 6 4 4" xfId="21988"/>
    <cellStyle name="Comma 3 6 5" xfId="5781"/>
    <cellStyle name="Comma 3 6 5 2" xfId="5782"/>
    <cellStyle name="Comma 3 6 5 2 2" xfId="11350"/>
    <cellStyle name="Comma 3 6 5 2 3" xfId="21985"/>
    <cellStyle name="Comma 3 6 5 3" xfId="9815"/>
    <cellStyle name="Comma 3 6 5 4" xfId="21986"/>
    <cellStyle name="Comma 3 6 6" xfId="5783"/>
    <cellStyle name="Comma 3 6 6 2" xfId="5784"/>
    <cellStyle name="Comma 3 6 6 2 2" xfId="13150"/>
    <cellStyle name="Comma 3 6 6 2 3" xfId="21983"/>
    <cellStyle name="Comma 3 6 6 3" xfId="11936"/>
    <cellStyle name="Comma 3 6 6 3 2" xfId="25651"/>
    <cellStyle name="Comma 3 6 6 4" xfId="21984"/>
    <cellStyle name="Comma 3 6 7" xfId="5785"/>
    <cellStyle name="Comma 3 6 7 2" xfId="5786"/>
    <cellStyle name="Comma 3 6 7 2 2" xfId="15619"/>
    <cellStyle name="Comma 3 6 7 2 3" xfId="21981"/>
    <cellStyle name="Comma 3 6 7 3" xfId="13513"/>
    <cellStyle name="Comma 3 6 7 3 2" xfId="27062"/>
    <cellStyle name="Comma 3 6 7 4" xfId="21982"/>
    <cellStyle name="Comma 3 6 8" xfId="5787"/>
    <cellStyle name="Comma 3 6 8 2" xfId="14094"/>
    <cellStyle name="Comma 3 6 8 2 2" xfId="27643"/>
    <cellStyle name="Comma 3 6 8 3" xfId="21980"/>
    <cellStyle name="Comma 3 6 9" xfId="5788"/>
    <cellStyle name="Comma 3 6 9 2" xfId="15980"/>
    <cellStyle name="Comma 3 6 9 2 2" xfId="29387"/>
    <cellStyle name="Comma 3 6 9 3" xfId="21979"/>
    <cellStyle name="Comma 3 7" xfId="5789"/>
    <cellStyle name="Comma 3 7 2" xfId="5790"/>
    <cellStyle name="Comma 3 7 2 2" xfId="5791"/>
    <cellStyle name="Comma 3 7 2 2 2" xfId="5792"/>
    <cellStyle name="Comma 3 7 2 2 2 2" xfId="11351"/>
    <cellStyle name="Comma 3 7 2 2 2 3" xfId="21975"/>
    <cellStyle name="Comma 3 7 2 2 3" xfId="5793"/>
    <cellStyle name="Comma 3 7 2 2 3 2" xfId="16870"/>
    <cellStyle name="Comma 3 7 2 2 3 2 2" xfId="30277"/>
    <cellStyle name="Comma 3 7 2 2 3 3" xfId="21974"/>
    <cellStyle name="Comma 3 7 2 2 4" xfId="9818"/>
    <cellStyle name="Comma 3 7 2 2 5" xfId="21976"/>
    <cellStyle name="Comma 3 7 2 3" xfId="5794"/>
    <cellStyle name="Comma 3 7 2 3 2" xfId="5795"/>
    <cellStyle name="Comma 3 7 2 3 2 2" xfId="13151"/>
    <cellStyle name="Comma 3 7 2 3 2 3" xfId="21972"/>
    <cellStyle name="Comma 3 7 2 3 3" xfId="12258"/>
    <cellStyle name="Comma 3 7 2 3 3 2" xfId="25970"/>
    <cellStyle name="Comma 3 7 2 3 4" xfId="21973"/>
    <cellStyle name="Comma 3 7 2 4" xfId="5796"/>
    <cellStyle name="Comma 3 7 2 4 2" xfId="5797"/>
    <cellStyle name="Comma 3 7 2 4 2 2" xfId="15620"/>
    <cellStyle name="Comma 3 7 2 4 2 3" xfId="21970"/>
    <cellStyle name="Comma 3 7 2 4 3" xfId="13822"/>
    <cellStyle name="Comma 3 7 2 4 3 2" xfId="27371"/>
    <cellStyle name="Comma 3 7 2 4 4" xfId="21971"/>
    <cellStyle name="Comma 3 7 2 5" xfId="5798"/>
    <cellStyle name="Comma 3 7 2 5 2" xfId="14403"/>
    <cellStyle name="Comma 3 7 2 5 2 2" xfId="27952"/>
    <cellStyle name="Comma 3 7 2 5 3" xfId="21969"/>
    <cellStyle name="Comma 3 7 2 6" xfId="5799"/>
    <cellStyle name="Comma 3 7 2 6 2" xfId="16289"/>
    <cellStyle name="Comma 3 7 2 6 2 2" xfId="29696"/>
    <cellStyle name="Comma 3 7 2 6 3" xfId="21968"/>
    <cellStyle name="Comma 3 7 2 7" xfId="9817"/>
    <cellStyle name="Comma 3 7 2 8" xfId="21977"/>
    <cellStyle name="Comma 3 7 3" xfId="5800"/>
    <cellStyle name="Comma 3 7 3 2" xfId="5801"/>
    <cellStyle name="Comma 3 7 3 2 2" xfId="11352"/>
    <cellStyle name="Comma 3 7 3 2 3" xfId="21966"/>
    <cellStyle name="Comma 3 7 3 3" xfId="5802"/>
    <cellStyle name="Comma 3 7 3 3 2" xfId="16581"/>
    <cellStyle name="Comma 3 7 3 3 2 2" xfId="29988"/>
    <cellStyle name="Comma 3 7 3 3 3" xfId="21965"/>
    <cellStyle name="Comma 3 7 3 4" xfId="9819"/>
    <cellStyle name="Comma 3 7 3 5" xfId="21967"/>
    <cellStyle name="Comma 3 7 4" xfId="5803"/>
    <cellStyle name="Comma 3 7 4 2" xfId="5804"/>
    <cellStyle name="Comma 3 7 4 2 2" xfId="13152"/>
    <cellStyle name="Comma 3 7 4 2 3" xfId="21963"/>
    <cellStyle name="Comma 3 7 4 3" xfId="11956"/>
    <cellStyle name="Comma 3 7 4 3 2" xfId="25671"/>
    <cellStyle name="Comma 3 7 4 4" xfId="21964"/>
    <cellStyle name="Comma 3 7 5" xfId="5805"/>
    <cellStyle name="Comma 3 7 5 2" xfId="5806"/>
    <cellStyle name="Comma 3 7 5 2 2" xfId="15621"/>
    <cellStyle name="Comma 3 7 5 2 3" xfId="21961"/>
    <cellStyle name="Comma 3 7 5 3" xfId="13533"/>
    <cellStyle name="Comma 3 7 5 3 2" xfId="27082"/>
    <cellStyle name="Comma 3 7 5 4" xfId="21962"/>
    <cellStyle name="Comma 3 7 6" xfId="5807"/>
    <cellStyle name="Comma 3 7 6 2" xfId="14114"/>
    <cellStyle name="Comma 3 7 6 2 2" xfId="27663"/>
    <cellStyle name="Comma 3 7 6 3" xfId="21960"/>
    <cellStyle name="Comma 3 7 7" xfId="5808"/>
    <cellStyle name="Comma 3 7 7 2" xfId="16000"/>
    <cellStyle name="Comma 3 7 7 2 2" xfId="29407"/>
    <cellStyle name="Comma 3 7 7 3" xfId="21959"/>
    <cellStyle name="Comma 3 7 8" xfId="9816"/>
    <cellStyle name="Comma 3 7 9" xfId="21978"/>
    <cellStyle name="Comma 3 8" xfId="5809"/>
    <cellStyle name="Comma 3 8 2" xfId="5810"/>
    <cellStyle name="Comma 3 8 2 2" xfId="5811"/>
    <cellStyle name="Comma 3 8 2 2 2" xfId="11353"/>
    <cellStyle name="Comma 3 8 2 2 3" xfId="21956"/>
    <cellStyle name="Comma 3 8 2 3" xfId="5812"/>
    <cellStyle name="Comma 3 8 2 3 2" xfId="16726"/>
    <cellStyle name="Comma 3 8 2 3 2 2" xfId="30133"/>
    <cellStyle name="Comma 3 8 2 3 3" xfId="21955"/>
    <cellStyle name="Comma 3 8 2 4" xfId="9821"/>
    <cellStyle name="Comma 3 8 2 5" xfId="21957"/>
    <cellStyle name="Comma 3 8 3" xfId="5813"/>
    <cellStyle name="Comma 3 8 3 2" xfId="5814"/>
    <cellStyle name="Comma 3 8 3 2 2" xfId="13153"/>
    <cellStyle name="Comma 3 8 3 2 3" xfId="21953"/>
    <cellStyle name="Comma 3 8 3 3" xfId="12108"/>
    <cellStyle name="Comma 3 8 3 3 2" xfId="25820"/>
    <cellStyle name="Comma 3 8 3 4" xfId="21954"/>
    <cellStyle name="Comma 3 8 4" xfId="5815"/>
    <cellStyle name="Comma 3 8 4 2" xfId="5816"/>
    <cellStyle name="Comma 3 8 4 2 2" xfId="15622"/>
    <cellStyle name="Comma 3 8 4 2 3" xfId="21951"/>
    <cellStyle name="Comma 3 8 4 3" xfId="13678"/>
    <cellStyle name="Comma 3 8 4 3 2" xfId="27227"/>
    <cellStyle name="Comma 3 8 4 4" xfId="21952"/>
    <cellStyle name="Comma 3 8 5" xfId="5817"/>
    <cellStyle name="Comma 3 8 5 2" xfId="14259"/>
    <cellStyle name="Comma 3 8 5 2 2" xfId="27808"/>
    <cellStyle name="Comma 3 8 5 3" xfId="21950"/>
    <cellStyle name="Comma 3 8 6" xfId="5818"/>
    <cellStyle name="Comma 3 8 6 2" xfId="16145"/>
    <cellStyle name="Comma 3 8 6 2 2" xfId="29552"/>
    <cellStyle name="Comma 3 8 6 3" xfId="21949"/>
    <cellStyle name="Comma 3 8 7" xfId="9820"/>
    <cellStyle name="Comma 3 8 8" xfId="21958"/>
    <cellStyle name="Comma 3 9" xfId="5819"/>
    <cellStyle name="Comma 3 9 2" xfId="5820"/>
    <cellStyle name="Comma 3 9 2 2" xfId="5821"/>
    <cellStyle name="Comma 3 9 2 2 2" xfId="11354"/>
    <cellStyle name="Comma 3 9 2 2 3" xfId="21946"/>
    <cellStyle name="Comma 3 9 2 3" xfId="5822"/>
    <cellStyle name="Comma 3 9 2 3 2" xfId="16724"/>
    <cellStyle name="Comma 3 9 2 3 2 2" xfId="30131"/>
    <cellStyle name="Comma 3 9 2 3 3" xfId="21945"/>
    <cellStyle name="Comma 3 9 2 4" xfId="9823"/>
    <cellStyle name="Comma 3 9 2 5" xfId="21947"/>
    <cellStyle name="Comma 3 9 3" xfId="5823"/>
    <cellStyle name="Comma 3 9 3 2" xfId="5824"/>
    <cellStyle name="Comma 3 9 3 2 2" xfId="13154"/>
    <cellStyle name="Comma 3 9 3 2 3" xfId="21943"/>
    <cellStyle name="Comma 3 9 3 3" xfId="12104"/>
    <cellStyle name="Comma 3 9 3 3 2" xfId="25816"/>
    <cellStyle name="Comma 3 9 3 4" xfId="21944"/>
    <cellStyle name="Comma 3 9 4" xfId="5825"/>
    <cellStyle name="Comma 3 9 4 2" xfId="5826"/>
    <cellStyle name="Comma 3 9 4 2 2" xfId="15623"/>
    <cellStyle name="Comma 3 9 4 2 3" xfId="21941"/>
    <cellStyle name="Comma 3 9 4 3" xfId="13676"/>
    <cellStyle name="Comma 3 9 4 3 2" xfId="27225"/>
    <cellStyle name="Comma 3 9 4 4" xfId="21942"/>
    <cellStyle name="Comma 3 9 5" xfId="5827"/>
    <cellStyle name="Comma 3 9 5 2" xfId="14257"/>
    <cellStyle name="Comma 3 9 5 2 2" xfId="27806"/>
    <cellStyle name="Comma 3 9 5 3" xfId="21940"/>
    <cellStyle name="Comma 3 9 6" xfId="5828"/>
    <cellStyle name="Comma 3 9 6 2" xfId="16143"/>
    <cellStyle name="Comma 3 9 6 2 2" xfId="29550"/>
    <cellStyle name="Comma 3 9 6 3" xfId="21939"/>
    <cellStyle name="Comma 3 9 7" xfId="9822"/>
    <cellStyle name="Comma 3 9 8" xfId="21948"/>
    <cellStyle name="Comma 4" xfId="5829"/>
    <cellStyle name="Comma 4 2" xfId="5830"/>
    <cellStyle name="Comma 4 2 2" xfId="9825"/>
    <cellStyle name="Comma 4 2 3" xfId="21937"/>
    <cellStyle name="Comma 4 3" xfId="5831"/>
    <cellStyle name="Comma 4 3 2" xfId="13155"/>
    <cellStyle name="Comma 4 3 3" xfId="21936"/>
    <cellStyle name="Comma 4 4" xfId="5832"/>
    <cellStyle name="Comma 4 4 2" xfId="9824"/>
    <cellStyle name="Comma 4 4 3" xfId="21935"/>
    <cellStyle name="Comma 4 5" xfId="8667"/>
    <cellStyle name="Comma 4 6" xfId="21938"/>
    <cellStyle name="Comma 4 7" xfId="32911"/>
    <cellStyle name="Comma 4 8" xfId="33086"/>
    <cellStyle name="Comma 5" xfId="5833"/>
    <cellStyle name="Comma 5 2" xfId="5834"/>
    <cellStyle name="Comma 5 2 2" xfId="17021"/>
    <cellStyle name="Comma 5 2 2 2" xfId="30428"/>
    <cellStyle name="Comma 5 2 3" xfId="21933"/>
    <cellStyle name="Comma 5 2 4" xfId="33098"/>
    <cellStyle name="Comma 5 3" xfId="5835"/>
    <cellStyle name="Comma 5 3 2" xfId="17332"/>
    <cellStyle name="Comma 5 3 3" xfId="21932"/>
    <cellStyle name="Comma 5 4" xfId="8728"/>
    <cellStyle name="Comma 5 4 2" xfId="33100"/>
    <cellStyle name="Comma 5 5" xfId="21934"/>
    <cellStyle name="Comma 6" xfId="5836"/>
    <cellStyle name="Comma 6 2" xfId="5837"/>
    <cellStyle name="Comma 6 2 2" xfId="17022"/>
    <cellStyle name="Comma 6 2 2 2" xfId="30429"/>
    <cellStyle name="Comma 6 2 3" xfId="21930"/>
    <cellStyle name="Comma 6 3" xfId="9826"/>
    <cellStyle name="Comma 6 4" xfId="21931"/>
    <cellStyle name="Comma 7" xfId="5838"/>
    <cellStyle name="Comma 7 2" xfId="5839"/>
    <cellStyle name="Comma 7 2 2" xfId="17023"/>
    <cellStyle name="Comma 7 2 2 2" xfId="30430"/>
    <cellStyle name="Comma 7 2 3" xfId="21928"/>
    <cellStyle name="Comma 7 3" xfId="9827"/>
    <cellStyle name="Comma 7 4" xfId="21929"/>
    <cellStyle name="Comma 8" xfId="5840"/>
    <cellStyle name="Comma 8 2" xfId="5841"/>
    <cellStyle name="Comma 8 2 2" xfId="9829"/>
    <cellStyle name="Comma 8 2 3" xfId="21926"/>
    <cellStyle name="Comma 8 3" xfId="5842"/>
    <cellStyle name="Comma 8 3 2" xfId="13156"/>
    <cellStyle name="Comma 8 3 3" xfId="21925"/>
    <cellStyle name="Comma 8 4" xfId="9828"/>
    <cellStyle name="Comma 8 5" xfId="21927"/>
    <cellStyle name="Comma 9" xfId="5843"/>
    <cellStyle name="Comma 9 2" xfId="5844"/>
    <cellStyle name="Comma 9 2 2" xfId="5845"/>
    <cellStyle name="Comma 9 2 2 2" xfId="11356"/>
    <cellStyle name="Comma 9 2 2 3" xfId="21922"/>
    <cellStyle name="Comma 9 2 3" xfId="9831"/>
    <cellStyle name="Comma 9 2 4" xfId="21923"/>
    <cellStyle name="Comma 9 3" xfId="5846"/>
    <cellStyle name="Comma 9 3 2" xfId="11355"/>
    <cellStyle name="Comma 9 3 3" xfId="21921"/>
    <cellStyle name="Comma 9 4" xfId="5847"/>
    <cellStyle name="Comma 9 4 2" xfId="13157"/>
    <cellStyle name="Comma 9 4 3" xfId="21920"/>
    <cellStyle name="Comma 9 5" xfId="9830"/>
    <cellStyle name="Comma 9 6" xfId="21924"/>
    <cellStyle name="Comma0" xfId="5848"/>
    <cellStyle name="Comma0 2" xfId="5849"/>
    <cellStyle name="Comma0 2 2" xfId="5850"/>
    <cellStyle name="Comma0 2 2 2" xfId="17024"/>
    <cellStyle name="Comma0 2 2 3" xfId="21917"/>
    <cellStyle name="Comma0 2 3" xfId="8668"/>
    <cellStyle name="Comma0 2 4" xfId="21918"/>
    <cellStyle name="Comma0 3" xfId="5851"/>
    <cellStyle name="Comma0 3 2" xfId="8732"/>
    <cellStyle name="Comma0 3 2 2" xfId="17333"/>
    <cellStyle name="Comma0 3 3" xfId="17295"/>
    <cellStyle name="Comma0 3 4" xfId="9832"/>
    <cellStyle name="Comma0 3 5" xfId="21916"/>
    <cellStyle name="Comma0 4" xfId="8660"/>
    <cellStyle name="Comma0 5" xfId="21919"/>
    <cellStyle name="Currency" xfId="33110" builtinId="4"/>
    <cellStyle name="Currency 10" xfId="5852"/>
    <cellStyle name="Currency 10 2" xfId="9833"/>
    <cellStyle name="Currency 10 3" xfId="21915"/>
    <cellStyle name="Currency 11" xfId="5853"/>
    <cellStyle name="Currency 11 2" xfId="5854"/>
    <cellStyle name="Currency 11 2 2" xfId="9835"/>
    <cellStyle name="Currency 11 2 3" xfId="21913"/>
    <cellStyle name="Currency 11 3" xfId="5855"/>
    <cellStyle name="Currency 11 3 2" xfId="13158"/>
    <cellStyle name="Currency 11 3 3" xfId="21912"/>
    <cellStyle name="Currency 11 4" xfId="9834"/>
    <cellStyle name="Currency 11 5" xfId="21914"/>
    <cellStyle name="Currency 12" xfId="5856"/>
    <cellStyle name="Currency 12 2" xfId="13159"/>
    <cellStyle name="Currency 12 3" xfId="21911"/>
    <cellStyle name="Currency 2" xfId="6"/>
    <cellStyle name="Currency 2 2" xfId="5858"/>
    <cellStyle name="Currency 2 2 2" xfId="5859"/>
    <cellStyle name="Currency 2 2 2 2" xfId="9837"/>
    <cellStyle name="Currency 2 2 2 3" xfId="21908"/>
    <cellStyle name="Currency 2 2 3" xfId="5860"/>
    <cellStyle name="Currency 2 2 3 2" xfId="13160"/>
    <cellStyle name="Currency 2 2 3 3" xfId="21907"/>
    <cellStyle name="Currency 2 2 4" xfId="5861"/>
    <cellStyle name="Currency 2 2 4 2" xfId="17025"/>
    <cellStyle name="Currency 2 2 4 2 2" xfId="30432"/>
    <cellStyle name="Currency 2 2 4 3" xfId="21906"/>
    <cellStyle name="Currency 2 2 5" xfId="8679"/>
    <cellStyle name="Currency 2 2 6" xfId="21909"/>
    <cellStyle name="Currency 2 3" xfId="5862"/>
    <cellStyle name="Currency 2 3 2" xfId="5863"/>
    <cellStyle name="Currency 2 3 2 2" xfId="13161"/>
    <cellStyle name="Currency 2 3 2 3" xfId="21904"/>
    <cellStyle name="Currency 2 3 3" xfId="5864"/>
    <cellStyle name="Currency 2 3 3 2" xfId="17026"/>
    <cellStyle name="Currency 2 3 3 2 2" xfId="30433"/>
    <cellStyle name="Currency 2 3 3 3" xfId="21903"/>
    <cellStyle name="Currency 2 3 4" xfId="5865"/>
    <cellStyle name="Currency 2 3 4 2" xfId="17368"/>
    <cellStyle name="Currency 2 3 4 3" xfId="21902"/>
    <cellStyle name="Currency 2 3 5" xfId="8738"/>
    <cellStyle name="Currency 2 3 6" xfId="10516"/>
    <cellStyle name="Currency 2 3 7" xfId="21905"/>
    <cellStyle name="Currency 2 4" xfId="8653"/>
    <cellStyle name="Currency 2 4 2" xfId="9836"/>
    <cellStyle name="Currency 2 5" xfId="17301"/>
    <cellStyle name="Currency 2 6" xfId="21910"/>
    <cellStyle name="Currency 2 7" xfId="32974"/>
    <cellStyle name="Currency 2 8" xfId="5857"/>
    <cellStyle name="Currency 3" xfId="5866"/>
    <cellStyle name="Currency 3 10" xfId="5867"/>
    <cellStyle name="Currency 3 10 2" xfId="9839"/>
    <cellStyle name="Currency 3 10 3" xfId="21900"/>
    <cellStyle name="Currency 3 11" xfId="5868"/>
    <cellStyle name="Currency 3 11 2" xfId="5869"/>
    <cellStyle name="Currency 3 11 2 2" xfId="13162"/>
    <cellStyle name="Currency 3 11 2 3" xfId="21898"/>
    <cellStyle name="Currency 3 11 3" xfId="5870"/>
    <cellStyle name="Currency 3 11 3 2" xfId="17027"/>
    <cellStyle name="Currency 3 11 3 2 2" xfId="30434"/>
    <cellStyle name="Currency 3 11 3 3" xfId="21897"/>
    <cellStyle name="Currency 3 11 4" xfId="9840"/>
    <cellStyle name="Currency 3 11 5" xfId="21899"/>
    <cellStyle name="Currency 3 12" xfId="5871"/>
    <cellStyle name="Currency 3 12 2" xfId="5872"/>
    <cellStyle name="Currency 3 12 2 2" xfId="13164"/>
    <cellStyle name="Currency 3 12 2 3" xfId="21895"/>
    <cellStyle name="Currency 3 12 3" xfId="5873"/>
    <cellStyle name="Currency 3 12 3 2" xfId="13163"/>
    <cellStyle name="Currency 3 12 3 2 2" xfId="26875"/>
    <cellStyle name="Currency 3 12 3 3" xfId="21894"/>
    <cellStyle name="Currency 3 12 4" xfId="5874"/>
    <cellStyle name="Currency 3 12 4 2" xfId="17109"/>
    <cellStyle name="Currency 3 12 4 2 2" xfId="30468"/>
    <cellStyle name="Currency 3 12 4 3" xfId="21893"/>
    <cellStyle name="Currency 3 12 5" xfId="9841"/>
    <cellStyle name="Currency 3 12 6" xfId="21896"/>
    <cellStyle name="Currency 3 13" xfId="5875"/>
    <cellStyle name="Currency 3 13 2" xfId="5876"/>
    <cellStyle name="Currency 3 13 2 2" xfId="17198"/>
    <cellStyle name="Currency 3 13 2 2 2" xfId="30557"/>
    <cellStyle name="Currency 3 13 2 3" xfId="21891"/>
    <cellStyle name="Currency 3 13 3" xfId="9842"/>
    <cellStyle name="Currency 3 13 4" xfId="21892"/>
    <cellStyle name="Currency 3 14" xfId="5877"/>
    <cellStyle name="Currency 3 14 2" xfId="5878"/>
    <cellStyle name="Currency 3 14 2 2" xfId="5879"/>
    <cellStyle name="Currency 3 14 2 2 2" xfId="11359"/>
    <cellStyle name="Currency 3 14 2 2 3" xfId="21888"/>
    <cellStyle name="Currency 3 14 2 3" xfId="9844"/>
    <cellStyle name="Currency 3 14 2 4" xfId="21889"/>
    <cellStyle name="Currency 3 14 3" xfId="5880"/>
    <cellStyle name="Currency 3 14 3 2" xfId="11358"/>
    <cellStyle name="Currency 3 14 3 3" xfId="21887"/>
    <cellStyle name="Currency 3 14 4" xfId="5881"/>
    <cellStyle name="Currency 3 14 4 2" xfId="17287"/>
    <cellStyle name="Currency 3 14 4 2 2" xfId="30646"/>
    <cellStyle name="Currency 3 14 4 3" xfId="21886"/>
    <cellStyle name="Currency 3 14 5" xfId="9843"/>
    <cellStyle name="Currency 3 14 6" xfId="21890"/>
    <cellStyle name="Currency 3 15" xfId="5882"/>
    <cellStyle name="Currency 3 15 2" xfId="5883"/>
    <cellStyle name="Currency 3 15 2 2" xfId="11360"/>
    <cellStyle name="Currency 3 15 2 3" xfId="21884"/>
    <cellStyle name="Currency 3 15 3" xfId="5884"/>
    <cellStyle name="Currency 3 15 3 2" xfId="16439"/>
    <cellStyle name="Currency 3 15 3 2 2" xfId="29846"/>
    <cellStyle name="Currency 3 15 3 3" xfId="21883"/>
    <cellStyle name="Currency 3 15 4" xfId="9845"/>
    <cellStyle name="Currency 3 15 5" xfId="21885"/>
    <cellStyle name="Currency 3 16" xfId="5885"/>
    <cellStyle name="Currency 3 16 2" xfId="5886"/>
    <cellStyle name="Currency 3 16 2 2" xfId="11361"/>
    <cellStyle name="Currency 3 16 2 3" xfId="21881"/>
    <cellStyle name="Currency 3 16 3" xfId="9846"/>
    <cellStyle name="Currency 3 16 4" xfId="21882"/>
    <cellStyle name="Currency 3 17" xfId="5887"/>
    <cellStyle name="Currency 3 17 2" xfId="5888"/>
    <cellStyle name="Currency 3 17 2 2" xfId="11362"/>
    <cellStyle name="Currency 3 17 2 3" xfId="21879"/>
    <cellStyle name="Currency 3 17 3" xfId="9847"/>
    <cellStyle name="Currency 3 17 4" xfId="21880"/>
    <cellStyle name="Currency 3 18" xfId="5889"/>
    <cellStyle name="Currency 3 18 2" xfId="5890"/>
    <cellStyle name="Currency 3 18 2 2" xfId="11363"/>
    <cellStyle name="Currency 3 18 2 3" xfId="21877"/>
    <cellStyle name="Currency 3 18 3" xfId="9848"/>
    <cellStyle name="Currency 3 18 4" xfId="21878"/>
    <cellStyle name="Currency 3 19" xfId="5891"/>
    <cellStyle name="Currency 3 19 2" xfId="5892"/>
    <cellStyle name="Currency 3 19 2 2" xfId="11364"/>
    <cellStyle name="Currency 3 19 2 3" xfId="21875"/>
    <cellStyle name="Currency 3 19 3" xfId="9849"/>
    <cellStyle name="Currency 3 19 4" xfId="21876"/>
    <cellStyle name="Currency 3 2" xfId="5893"/>
    <cellStyle name="Currency 3 2 10" xfId="5894"/>
    <cellStyle name="Currency 3 2 10 2" xfId="11365"/>
    <cellStyle name="Currency 3 2 10 3" xfId="21873"/>
    <cellStyle name="Currency 3 2 11" xfId="5895"/>
    <cellStyle name="Currency 3 2 11 2" xfId="5896"/>
    <cellStyle name="Currency 3 2 11 2 2" xfId="13165"/>
    <cellStyle name="Currency 3 2 11 2 2 2" xfId="26877"/>
    <cellStyle name="Currency 3 2 11 2 3" xfId="21871"/>
    <cellStyle name="Currency 3 2 11 3" xfId="5897"/>
    <cellStyle name="Currency 3 2 11 3 2" xfId="15624"/>
    <cellStyle name="Currency 3 2 11 3 3" xfId="21870"/>
    <cellStyle name="Currency 3 2 11 4" xfId="11699"/>
    <cellStyle name="Currency 3 2 11 5" xfId="21872"/>
    <cellStyle name="Currency 3 2 12" xfId="5898"/>
    <cellStyle name="Currency 3 2 12 2" xfId="11855"/>
    <cellStyle name="Currency 3 2 12 2 2" xfId="25570"/>
    <cellStyle name="Currency 3 2 12 3" xfId="21869"/>
    <cellStyle name="Currency 3 2 13" xfId="5899"/>
    <cellStyle name="Currency 3 2 13 2" xfId="13448"/>
    <cellStyle name="Currency 3 2 13 2 2" xfId="26997"/>
    <cellStyle name="Currency 3 2 13 3" xfId="21868"/>
    <cellStyle name="Currency 3 2 14" xfId="5900"/>
    <cellStyle name="Currency 3 2 14 2" xfId="14029"/>
    <cellStyle name="Currency 3 2 14 2 2" xfId="27578"/>
    <cellStyle name="Currency 3 2 14 3" xfId="21867"/>
    <cellStyle name="Currency 3 2 15" xfId="5901"/>
    <cellStyle name="Currency 3 2 15 2" xfId="15915"/>
    <cellStyle name="Currency 3 2 15 2 2" xfId="29322"/>
    <cellStyle name="Currency 3 2 15 3" xfId="21866"/>
    <cellStyle name="Currency 3 2 16" xfId="5902"/>
    <cellStyle name="Currency 3 2 16 2" xfId="9850"/>
    <cellStyle name="Currency 3 2 16 3" xfId="21865"/>
    <cellStyle name="Currency 3 2 17" xfId="8715"/>
    <cellStyle name="Currency 3 2 18" xfId="21874"/>
    <cellStyle name="Currency 3 2 2" xfId="5903"/>
    <cellStyle name="Currency 3 2 2 10" xfId="9851"/>
    <cellStyle name="Currency 3 2 2 11" xfId="21864"/>
    <cellStyle name="Currency 3 2 2 2" xfId="5904"/>
    <cellStyle name="Currency 3 2 2 2 2" xfId="5905"/>
    <cellStyle name="Currency 3 2 2 2 2 2" xfId="5906"/>
    <cellStyle name="Currency 3 2 2 2 2 2 2" xfId="5907"/>
    <cellStyle name="Currency 3 2 2 2 2 2 2 2" xfId="11366"/>
    <cellStyle name="Currency 3 2 2 2 2 2 2 3" xfId="21860"/>
    <cellStyle name="Currency 3 2 2 2 2 2 3" xfId="5908"/>
    <cellStyle name="Currency 3 2 2 2 2 2 3 2" xfId="16974"/>
    <cellStyle name="Currency 3 2 2 2 2 2 3 2 2" xfId="30381"/>
    <cellStyle name="Currency 3 2 2 2 2 2 3 3" xfId="21859"/>
    <cellStyle name="Currency 3 2 2 2 2 2 4" xfId="9854"/>
    <cellStyle name="Currency 3 2 2 2 2 2 5" xfId="21861"/>
    <cellStyle name="Currency 3 2 2 2 2 3" xfId="5909"/>
    <cellStyle name="Currency 3 2 2 2 2 3 2" xfId="5910"/>
    <cellStyle name="Currency 3 2 2 2 2 3 2 2" xfId="13166"/>
    <cellStyle name="Currency 3 2 2 2 2 3 2 3" xfId="21857"/>
    <cellStyle name="Currency 3 2 2 2 2 3 3" xfId="12362"/>
    <cellStyle name="Currency 3 2 2 2 2 3 3 2" xfId="26074"/>
    <cellStyle name="Currency 3 2 2 2 2 3 4" xfId="21858"/>
    <cellStyle name="Currency 3 2 2 2 2 4" xfId="5911"/>
    <cellStyle name="Currency 3 2 2 2 2 4 2" xfId="5912"/>
    <cellStyle name="Currency 3 2 2 2 2 4 2 2" xfId="15625"/>
    <cellStyle name="Currency 3 2 2 2 2 4 2 3" xfId="21855"/>
    <cellStyle name="Currency 3 2 2 2 2 4 3" xfId="13926"/>
    <cellStyle name="Currency 3 2 2 2 2 4 3 2" xfId="27475"/>
    <cellStyle name="Currency 3 2 2 2 2 4 4" xfId="21856"/>
    <cellStyle name="Currency 3 2 2 2 2 5" xfId="5913"/>
    <cellStyle name="Currency 3 2 2 2 2 5 2" xfId="14507"/>
    <cellStyle name="Currency 3 2 2 2 2 5 2 2" xfId="28056"/>
    <cellStyle name="Currency 3 2 2 2 2 5 3" xfId="21854"/>
    <cellStyle name="Currency 3 2 2 2 2 6" xfId="5914"/>
    <cellStyle name="Currency 3 2 2 2 2 6 2" xfId="16393"/>
    <cellStyle name="Currency 3 2 2 2 2 6 2 2" xfId="29800"/>
    <cellStyle name="Currency 3 2 2 2 2 6 3" xfId="21853"/>
    <cellStyle name="Currency 3 2 2 2 2 7" xfId="9853"/>
    <cellStyle name="Currency 3 2 2 2 2 8" xfId="21862"/>
    <cellStyle name="Currency 3 2 2 2 3" xfId="5915"/>
    <cellStyle name="Currency 3 2 2 2 3 2" xfId="5916"/>
    <cellStyle name="Currency 3 2 2 2 3 2 2" xfId="11367"/>
    <cellStyle name="Currency 3 2 2 2 3 2 3" xfId="21851"/>
    <cellStyle name="Currency 3 2 2 2 3 3" xfId="5917"/>
    <cellStyle name="Currency 3 2 2 2 3 3 2" xfId="16685"/>
    <cellStyle name="Currency 3 2 2 2 3 3 2 2" xfId="30092"/>
    <cellStyle name="Currency 3 2 2 2 3 3 3" xfId="21850"/>
    <cellStyle name="Currency 3 2 2 2 3 4" xfId="9855"/>
    <cellStyle name="Currency 3 2 2 2 3 5" xfId="21852"/>
    <cellStyle name="Currency 3 2 2 2 4" xfId="5918"/>
    <cellStyle name="Currency 3 2 2 2 4 2" xfId="5919"/>
    <cellStyle name="Currency 3 2 2 2 4 2 2" xfId="13167"/>
    <cellStyle name="Currency 3 2 2 2 4 2 3" xfId="21848"/>
    <cellStyle name="Currency 3 2 2 2 4 3" xfId="12062"/>
    <cellStyle name="Currency 3 2 2 2 4 3 2" xfId="25777"/>
    <cellStyle name="Currency 3 2 2 2 4 4" xfId="21849"/>
    <cellStyle name="Currency 3 2 2 2 5" xfId="5920"/>
    <cellStyle name="Currency 3 2 2 2 5 2" xfId="5921"/>
    <cellStyle name="Currency 3 2 2 2 5 2 2" xfId="15626"/>
    <cellStyle name="Currency 3 2 2 2 5 2 3" xfId="21846"/>
    <cellStyle name="Currency 3 2 2 2 5 3" xfId="13637"/>
    <cellStyle name="Currency 3 2 2 2 5 3 2" xfId="27186"/>
    <cellStyle name="Currency 3 2 2 2 5 4" xfId="21847"/>
    <cellStyle name="Currency 3 2 2 2 6" xfId="5922"/>
    <cellStyle name="Currency 3 2 2 2 6 2" xfId="14218"/>
    <cellStyle name="Currency 3 2 2 2 6 2 2" xfId="27767"/>
    <cellStyle name="Currency 3 2 2 2 6 3" xfId="21845"/>
    <cellStyle name="Currency 3 2 2 2 7" xfId="5923"/>
    <cellStyle name="Currency 3 2 2 2 7 2" xfId="16104"/>
    <cellStyle name="Currency 3 2 2 2 7 2 2" xfId="29511"/>
    <cellStyle name="Currency 3 2 2 2 7 3" xfId="21844"/>
    <cellStyle name="Currency 3 2 2 2 8" xfId="9852"/>
    <cellStyle name="Currency 3 2 2 2 9" xfId="21863"/>
    <cellStyle name="Currency 3 2 2 3" xfId="5924"/>
    <cellStyle name="Currency 3 2 2 3 2" xfId="5925"/>
    <cellStyle name="Currency 3 2 2 3 2 2" xfId="5926"/>
    <cellStyle name="Currency 3 2 2 3 2 2 2" xfId="11368"/>
    <cellStyle name="Currency 3 2 2 3 2 2 3" xfId="21841"/>
    <cellStyle name="Currency 3 2 2 3 2 3" xfId="5927"/>
    <cellStyle name="Currency 3 2 2 3 2 3 2" xfId="16831"/>
    <cellStyle name="Currency 3 2 2 3 2 3 2 2" xfId="30238"/>
    <cellStyle name="Currency 3 2 2 3 2 3 3" xfId="21840"/>
    <cellStyle name="Currency 3 2 2 3 2 4" xfId="9857"/>
    <cellStyle name="Currency 3 2 2 3 2 5" xfId="21842"/>
    <cellStyle name="Currency 3 2 2 3 3" xfId="5928"/>
    <cellStyle name="Currency 3 2 2 3 3 2" xfId="5929"/>
    <cellStyle name="Currency 3 2 2 3 3 2 2" xfId="13168"/>
    <cellStyle name="Currency 3 2 2 3 3 2 3" xfId="21838"/>
    <cellStyle name="Currency 3 2 2 3 3 3" xfId="12219"/>
    <cellStyle name="Currency 3 2 2 3 3 3 2" xfId="25931"/>
    <cellStyle name="Currency 3 2 2 3 3 4" xfId="21839"/>
    <cellStyle name="Currency 3 2 2 3 4" xfId="5930"/>
    <cellStyle name="Currency 3 2 2 3 4 2" xfId="5931"/>
    <cellStyle name="Currency 3 2 2 3 4 2 2" xfId="15627"/>
    <cellStyle name="Currency 3 2 2 3 4 2 3" xfId="21836"/>
    <cellStyle name="Currency 3 2 2 3 4 3" xfId="13783"/>
    <cellStyle name="Currency 3 2 2 3 4 3 2" xfId="27332"/>
    <cellStyle name="Currency 3 2 2 3 4 4" xfId="21837"/>
    <cellStyle name="Currency 3 2 2 3 5" xfId="5932"/>
    <cellStyle name="Currency 3 2 2 3 5 2" xfId="14364"/>
    <cellStyle name="Currency 3 2 2 3 5 2 2" xfId="27913"/>
    <cellStyle name="Currency 3 2 2 3 5 3" xfId="21835"/>
    <cellStyle name="Currency 3 2 2 3 6" xfId="5933"/>
    <cellStyle name="Currency 3 2 2 3 6 2" xfId="16250"/>
    <cellStyle name="Currency 3 2 2 3 6 2 2" xfId="29657"/>
    <cellStyle name="Currency 3 2 2 3 6 3" xfId="21834"/>
    <cellStyle name="Currency 3 2 2 3 7" xfId="9856"/>
    <cellStyle name="Currency 3 2 2 3 8" xfId="21843"/>
    <cellStyle name="Currency 3 2 2 4" xfId="5934"/>
    <cellStyle name="Currency 3 2 2 4 2" xfId="5935"/>
    <cellStyle name="Currency 3 2 2 4 2 2" xfId="17178"/>
    <cellStyle name="Currency 3 2 2 4 2 2 2" xfId="30537"/>
    <cellStyle name="Currency 3 2 2 4 2 3" xfId="21832"/>
    <cellStyle name="Currency 3 2 2 4 3" xfId="9858"/>
    <cellStyle name="Currency 3 2 2 4 4" xfId="21833"/>
    <cellStyle name="Currency 3 2 2 5" xfId="5936"/>
    <cellStyle name="Currency 3 2 2 5 2" xfId="5937"/>
    <cellStyle name="Currency 3 2 2 5 2 2" xfId="11369"/>
    <cellStyle name="Currency 3 2 2 5 2 3" xfId="21830"/>
    <cellStyle name="Currency 3 2 2 5 3" xfId="5938"/>
    <cellStyle name="Currency 3 2 2 5 3 2" xfId="17267"/>
    <cellStyle name="Currency 3 2 2 5 3 2 2" xfId="30626"/>
    <cellStyle name="Currency 3 2 2 5 3 3" xfId="21829"/>
    <cellStyle name="Currency 3 2 2 5 4" xfId="9859"/>
    <cellStyle name="Currency 3 2 2 5 5" xfId="21831"/>
    <cellStyle name="Currency 3 2 2 6" xfId="5939"/>
    <cellStyle name="Currency 3 2 2 6 2" xfId="5940"/>
    <cellStyle name="Currency 3 2 2 6 2 2" xfId="13169"/>
    <cellStyle name="Currency 3 2 2 6 2 3" xfId="21827"/>
    <cellStyle name="Currency 3 2 2 6 3" xfId="5941"/>
    <cellStyle name="Currency 3 2 2 6 3 2" xfId="16542"/>
    <cellStyle name="Currency 3 2 2 6 3 2 2" xfId="29949"/>
    <cellStyle name="Currency 3 2 2 6 3 3" xfId="21826"/>
    <cellStyle name="Currency 3 2 2 6 4" xfId="11917"/>
    <cellStyle name="Currency 3 2 2 6 4 2" xfId="25632"/>
    <cellStyle name="Currency 3 2 2 6 5" xfId="21828"/>
    <cellStyle name="Currency 3 2 2 7" xfId="5942"/>
    <cellStyle name="Currency 3 2 2 7 2" xfId="5943"/>
    <cellStyle name="Currency 3 2 2 7 2 2" xfId="15628"/>
    <cellStyle name="Currency 3 2 2 7 2 3" xfId="21824"/>
    <cellStyle name="Currency 3 2 2 7 3" xfId="13494"/>
    <cellStyle name="Currency 3 2 2 7 3 2" xfId="27043"/>
    <cellStyle name="Currency 3 2 2 7 4" xfId="21825"/>
    <cellStyle name="Currency 3 2 2 8" xfId="5944"/>
    <cellStyle name="Currency 3 2 2 8 2" xfId="14075"/>
    <cellStyle name="Currency 3 2 2 8 2 2" xfId="27624"/>
    <cellStyle name="Currency 3 2 2 8 3" xfId="21823"/>
    <cellStyle name="Currency 3 2 2 9" xfId="5945"/>
    <cellStyle name="Currency 3 2 2 9 2" xfId="15961"/>
    <cellStyle name="Currency 3 2 2 9 2 2" xfId="29368"/>
    <cellStyle name="Currency 3 2 2 9 3" xfId="21822"/>
    <cellStyle name="Currency 3 2 3" xfId="5946"/>
    <cellStyle name="Currency 3 2 3 2" xfId="5947"/>
    <cellStyle name="Currency 3 2 3 2 2" xfId="5948"/>
    <cellStyle name="Currency 3 2 3 2 2 2" xfId="5949"/>
    <cellStyle name="Currency 3 2 3 2 2 2 2" xfId="11370"/>
    <cellStyle name="Currency 3 2 3 2 2 2 3" xfId="21818"/>
    <cellStyle name="Currency 3 2 3 2 2 3" xfId="5950"/>
    <cellStyle name="Currency 3 2 3 2 2 3 2" xfId="16928"/>
    <cellStyle name="Currency 3 2 3 2 2 3 2 2" xfId="30335"/>
    <cellStyle name="Currency 3 2 3 2 2 3 3" xfId="21817"/>
    <cellStyle name="Currency 3 2 3 2 2 4" xfId="9862"/>
    <cellStyle name="Currency 3 2 3 2 2 5" xfId="21819"/>
    <cellStyle name="Currency 3 2 3 2 3" xfId="5951"/>
    <cellStyle name="Currency 3 2 3 2 3 2" xfId="5952"/>
    <cellStyle name="Currency 3 2 3 2 3 2 2" xfId="13170"/>
    <cellStyle name="Currency 3 2 3 2 3 2 3" xfId="21815"/>
    <cellStyle name="Currency 3 2 3 2 3 3" xfId="12316"/>
    <cellStyle name="Currency 3 2 3 2 3 3 2" xfId="26028"/>
    <cellStyle name="Currency 3 2 3 2 3 4" xfId="21816"/>
    <cellStyle name="Currency 3 2 3 2 4" xfId="5953"/>
    <cellStyle name="Currency 3 2 3 2 4 2" xfId="5954"/>
    <cellStyle name="Currency 3 2 3 2 4 2 2" xfId="15629"/>
    <cellStyle name="Currency 3 2 3 2 4 2 3" xfId="21813"/>
    <cellStyle name="Currency 3 2 3 2 4 3" xfId="13880"/>
    <cellStyle name="Currency 3 2 3 2 4 3 2" xfId="27429"/>
    <cellStyle name="Currency 3 2 3 2 4 4" xfId="21814"/>
    <cellStyle name="Currency 3 2 3 2 5" xfId="5955"/>
    <cellStyle name="Currency 3 2 3 2 5 2" xfId="14461"/>
    <cellStyle name="Currency 3 2 3 2 5 2 2" xfId="28010"/>
    <cellStyle name="Currency 3 2 3 2 5 3" xfId="21812"/>
    <cellStyle name="Currency 3 2 3 2 6" xfId="5956"/>
    <cellStyle name="Currency 3 2 3 2 6 2" xfId="16347"/>
    <cellStyle name="Currency 3 2 3 2 6 2 2" xfId="29754"/>
    <cellStyle name="Currency 3 2 3 2 6 3" xfId="21811"/>
    <cellStyle name="Currency 3 2 3 2 7" xfId="9861"/>
    <cellStyle name="Currency 3 2 3 2 8" xfId="21820"/>
    <cellStyle name="Currency 3 2 3 3" xfId="5957"/>
    <cellStyle name="Currency 3 2 3 3 2" xfId="5958"/>
    <cellStyle name="Currency 3 2 3 3 2 2" xfId="11371"/>
    <cellStyle name="Currency 3 2 3 3 2 3" xfId="21809"/>
    <cellStyle name="Currency 3 2 3 3 3" xfId="5959"/>
    <cellStyle name="Currency 3 2 3 3 3 2" xfId="16639"/>
    <cellStyle name="Currency 3 2 3 3 3 2 2" xfId="30046"/>
    <cellStyle name="Currency 3 2 3 3 3 3" xfId="21808"/>
    <cellStyle name="Currency 3 2 3 3 4" xfId="9863"/>
    <cellStyle name="Currency 3 2 3 3 5" xfId="21810"/>
    <cellStyle name="Currency 3 2 3 4" xfId="5960"/>
    <cellStyle name="Currency 3 2 3 4 2" xfId="5961"/>
    <cellStyle name="Currency 3 2 3 4 2 2" xfId="13171"/>
    <cellStyle name="Currency 3 2 3 4 2 3" xfId="21806"/>
    <cellStyle name="Currency 3 2 3 4 3" xfId="12016"/>
    <cellStyle name="Currency 3 2 3 4 3 2" xfId="25731"/>
    <cellStyle name="Currency 3 2 3 4 4" xfId="21807"/>
    <cellStyle name="Currency 3 2 3 5" xfId="5962"/>
    <cellStyle name="Currency 3 2 3 5 2" xfId="5963"/>
    <cellStyle name="Currency 3 2 3 5 2 2" xfId="15630"/>
    <cellStyle name="Currency 3 2 3 5 2 3" xfId="21804"/>
    <cellStyle name="Currency 3 2 3 5 3" xfId="13591"/>
    <cellStyle name="Currency 3 2 3 5 3 2" xfId="27140"/>
    <cellStyle name="Currency 3 2 3 5 4" xfId="21805"/>
    <cellStyle name="Currency 3 2 3 6" xfId="5964"/>
    <cellStyle name="Currency 3 2 3 6 2" xfId="14172"/>
    <cellStyle name="Currency 3 2 3 6 2 2" xfId="27721"/>
    <cellStyle name="Currency 3 2 3 6 3" xfId="21803"/>
    <cellStyle name="Currency 3 2 3 7" xfId="5965"/>
    <cellStyle name="Currency 3 2 3 7 2" xfId="16058"/>
    <cellStyle name="Currency 3 2 3 7 2 2" xfId="29465"/>
    <cellStyle name="Currency 3 2 3 7 3" xfId="21802"/>
    <cellStyle name="Currency 3 2 3 8" xfId="9860"/>
    <cellStyle name="Currency 3 2 3 9" xfId="21821"/>
    <cellStyle name="Currency 3 2 4" xfId="5966"/>
    <cellStyle name="Currency 3 2 4 2" xfId="5967"/>
    <cellStyle name="Currency 3 2 4 2 2" xfId="5968"/>
    <cellStyle name="Currency 3 2 4 2 2 2" xfId="11372"/>
    <cellStyle name="Currency 3 2 4 2 2 3" xfId="21799"/>
    <cellStyle name="Currency 3 2 4 2 3" xfId="5969"/>
    <cellStyle name="Currency 3 2 4 2 3 2" xfId="16785"/>
    <cellStyle name="Currency 3 2 4 2 3 2 2" xfId="30192"/>
    <cellStyle name="Currency 3 2 4 2 3 3" xfId="21798"/>
    <cellStyle name="Currency 3 2 4 2 4" xfId="9865"/>
    <cellStyle name="Currency 3 2 4 2 5" xfId="21800"/>
    <cellStyle name="Currency 3 2 4 3" xfId="5970"/>
    <cellStyle name="Currency 3 2 4 3 2" xfId="5971"/>
    <cellStyle name="Currency 3 2 4 3 2 2" xfId="13172"/>
    <cellStyle name="Currency 3 2 4 3 2 3" xfId="21796"/>
    <cellStyle name="Currency 3 2 4 3 3" xfId="12173"/>
    <cellStyle name="Currency 3 2 4 3 3 2" xfId="25885"/>
    <cellStyle name="Currency 3 2 4 3 4" xfId="21797"/>
    <cellStyle name="Currency 3 2 4 4" xfId="5972"/>
    <cellStyle name="Currency 3 2 4 4 2" xfId="5973"/>
    <cellStyle name="Currency 3 2 4 4 2 2" xfId="15631"/>
    <cellStyle name="Currency 3 2 4 4 2 3" xfId="21794"/>
    <cellStyle name="Currency 3 2 4 4 3" xfId="13737"/>
    <cellStyle name="Currency 3 2 4 4 3 2" xfId="27286"/>
    <cellStyle name="Currency 3 2 4 4 4" xfId="21795"/>
    <cellStyle name="Currency 3 2 4 5" xfId="5974"/>
    <cellStyle name="Currency 3 2 4 5 2" xfId="14318"/>
    <cellStyle name="Currency 3 2 4 5 2 2" xfId="27867"/>
    <cellStyle name="Currency 3 2 4 5 3" xfId="21793"/>
    <cellStyle name="Currency 3 2 4 6" xfId="5975"/>
    <cellStyle name="Currency 3 2 4 6 2" xfId="16204"/>
    <cellStyle name="Currency 3 2 4 6 2 2" xfId="29611"/>
    <cellStyle name="Currency 3 2 4 6 3" xfId="21792"/>
    <cellStyle name="Currency 3 2 4 7" xfId="9864"/>
    <cellStyle name="Currency 3 2 4 8" xfId="21801"/>
    <cellStyle name="Currency 3 2 5" xfId="5976"/>
    <cellStyle name="Currency 3 2 5 2" xfId="5977"/>
    <cellStyle name="Currency 3 2 5 2 2" xfId="5978"/>
    <cellStyle name="Currency 3 2 5 2 2 2" xfId="11374"/>
    <cellStyle name="Currency 3 2 5 2 2 3" xfId="21789"/>
    <cellStyle name="Currency 3 2 5 2 3" xfId="9867"/>
    <cellStyle name="Currency 3 2 5 2 4" xfId="21790"/>
    <cellStyle name="Currency 3 2 5 3" xfId="5979"/>
    <cellStyle name="Currency 3 2 5 3 2" xfId="11373"/>
    <cellStyle name="Currency 3 2 5 3 3" xfId="21788"/>
    <cellStyle name="Currency 3 2 5 4" xfId="5980"/>
    <cellStyle name="Currency 3 2 5 4 2" xfId="17028"/>
    <cellStyle name="Currency 3 2 5 4 2 2" xfId="30435"/>
    <cellStyle name="Currency 3 2 5 4 3" xfId="21787"/>
    <cellStyle name="Currency 3 2 5 5" xfId="9866"/>
    <cellStyle name="Currency 3 2 5 6" xfId="21791"/>
    <cellStyle name="Currency 3 2 6" xfId="5981"/>
    <cellStyle name="Currency 3 2 6 2" xfId="5982"/>
    <cellStyle name="Currency 3 2 6 2 2" xfId="17132"/>
    <cellStyle name="Currency 3 2 6 2 2 2" xfId="30491"/>
    <cellStyle name="Currency 3 2 6 2 3" xfId="21785"/>
    <cellStyle name="Currency 3 2 6 3" xfId="9868"/>
    <cellStyle name="Currency 3 2 6 4" xfId="21786"/>
    <cellStyle name="Currency 3 2 7" xfId="5983"/>
    <cellStyle name="Currency 3 2 7 2" xfId="5984"/>
    <cellStyle name="Currency 3 2 7 2 2" xfId="11375"/>
    <cellStyle name="Currency 3 2 7 2 3" xfId="21783"/>
    <cellStyle name="Currency 3 2 7 3" xfId="5985"/>
    <cellStyle name="Currency 3 2 7 3 2" xfId="17221"/>
    <cellStyle name="Currency 3 2 7 3 2 2" xfId="30580"/>
    <cellStyle name="Currency 3 2 7 3 3" xfId="21782"/>
    <cellStyle name="Currency 3 2 7 4" xfId="9869"/>
    <cellStyle name="Currency 3 2 7 5" xfId="21784"/>
    <cellStyle name="Currency 3 2 8" xfId="5986"/>
    <cellStyle name="Currency 3 2 8 2" xfId="5987"/>
    <cellStyle name="Currency 3 2 8 2 2" xfId="11376"/>
    <cellStyle name="Currency 3 2 8 2 3" xfId="21780"/>
    <cellStyle name="Currency 3 2 8 3" xfId="5988"/>
    <cellStyle name="Currency 3 2 8 3 2" xfId="16496"/>
    <cellStyle name="Currency 3 2 8 3 2 2" xfId="29903"/>
    <cellStyle name="Currency 3 2 8 3 3" xfId="21779"/>
    <cellStyle name="Currency 3 2 8 4" xfId="9870"/>
    <cellStyle name="Currency 3 2 8 5" xfId="21781"/>
    <cellStyle name="Currency 3 2 9" xfId="5989"/>
    <cellStyle name="Currency 3 2 9 2" xfId="5990"/>
    <cellStyle name="Currency 3 2 9 2 2" xfId="13173"/>
    <cellStyle name="Currency 3 2 9 2 2 2" xfId="26878"/>
    <cellStyle name="Currency 3 2 9 2 3" xfId="21777"/>
    <cellStyle name="Currency 3 2 9 3" xfId="5991"/>
    <cellStyle name="Currency 3 2 9 3 2" xfId="15632"/>
    <cellStyle name="Currency 3 2 9 3 3" xfId="21776"/>
    <cellStyle name="Currency 3 2 9 4" xfId="10541"/>
    <cellStyle name="Currency 3 2 9 4 2" xfId="24483"/>
    <cellStyle name="Currency 3 2 9 5" xfId="21778"/>
    <cellStyle name="Currency 3 20" xfId="5992"/>
    <cellStyle name="Currency 3 20 2" xfId="5993"/>
    <cellStyle name="Currency 3 20 2 2" xfId="11377"/>
    <cellStyle name="Currency 3 20 2 3" xfId="21774"/>
    <cellStyle name="Currency 3 20 3" xfId="9871"/>
    <cellStyle name="Currency 3 20 4" xfId="21775"/>
    <cellStyle name="Currency 3 21" xfId="5994"/>
    <cellStyle name="Currency 3 21 2" xfId="5995"/>
    <cellStyle name="Currency 3 21 2 2" xfId="11723"/>
    <cellStyle name="Currency 3 21 2 2 2" xfId="25443"/>
    <cellStyle name="Currency 3 21 2 3" xfId="21772"/>
    <cellStyle name="Currency 3 21 3" xfId="5996"/>
    <cellStyle name="Currency 3 21 3 2" xfId="13174"/>
    <cellStyle name="Currency 3 21 3 2 2" xfId="26879"/>
    <cellStyle name="Currency 3 21 3 3" xfId="21771"/>
    <cellStyle name="Currency 3 21 4" xfId="5997"/>
    <cellStyle name="Currency 3 21 4 2" xfId="15633"/>
    <cellStyle name="Currency 3 21 4 3" xfId="21770"/>
    <cellStyle name="Currency 3 21 5" xfId="10488"/>
    <cellStyle name="Currency 3 21 5 2" xfId="24447"/>
    <cellStyle name="Currency 3 21 6" xfId="21773"/>
    <cellStyle name="Currency 3 22" xfId="5998"/>
    <cellStyle name="Currency 3 22 2" xfId="5999"/>
    <cellStyle name="Currency 3 22 2 2" xfId="13175"/>
    <cellStyle name="Currency 3 22 2 2 2" xfId="26880"/>
    <cellStyle name="Currency 3 22 2 3" xfId="21768"/>
    <cellStyle name="Currency 3 22 3" xfId="6000"/>
    <cellStyle name="Currency 3 22 3 2" xfId="15634"/>
    <cellStyle name="Currency 3 22 3 3" xfId="21767"/>
    <cellStyle name="Currency 3 22 4" xfId="10518"/>
    <cellStyle name="Currency 3 22 4 2" xfId="24466"/>
    <cellStyle name="Currency 3 22 5" xfId="21769"/>
    <cellStyle name="Currency 3 23" xfId="6001"/>
    <cellStyle name="Currency 3 23 2" xfId="11357"/>
    <cellStyle name="Currency 3 23 3" xfId="21766"/>
    <cellStyle name="Currency 3 24" xfId="6002"/>
    <cellStyle name="Currency 3 24 2" xfId="11763"/>
    <cellStyle name="Currency 3 24 2 2" xfId="25478"/>
    <cellStyle name="Currency 3 24 3" xfId="21765"/>
    <cellStyle name="Currency 3 25" xfId="6003"/>
    <cellStyle name="Currency 3 25 2" xfId="13391"/>
    <cellStyle name="Currency 3 25 2 2" xfId="26940"/>
    <cellStyle name="Currency 3 25 3" xfId="21764"/>
    <cellStyle name="Currency 3 26" xfId="6004"/>
    <cellStyle name="Currency 3 26 2" xfId="13972"/>
    <cellStyle name="Currency 3 26 2 2" xfId="27521"/>
    <cellStyle name="Currency 3 26 3" xfId="21763"/>
    <cellStyle name="Currency 3 27" xfId="6005"/>
    <cellStyle name="Currency 3 27 2" xfId="15828"/>
    <cellStyle name="Currency 3 27 2 2" xfId="29235"/>
    <cellStyle name="Currency 3 27 3" xfId="21762"/>
    <cellStyle name="Currency 3 28" xfId="6006"/>
    <cellStyle name="Currency 3 28 2" xfId="15858"/>
    <cellStyle name="Currency 3 28 2 2" xfId="29265"/>
    <cellStyle name="Currency 3 28 3" xfId="21761"/>
    <cellStyle name="Currency 3 29" xfId="8656"/>
    <cellStyle name="Currency 3 29 2" xfId="9838"/>
    <cellStyle name="Currency 3 3" xfId="6007"/>
    <cellStyle name="Currency 3 3 10" xfId="6008"/>
    <cellStyle name="Currency 3 3 10 2" xfId="17334"/>
    <cellStyle name="Currency 3 3 10 3" xfId="21759"/>
    <cellStyle name="Currency 3 3 11" xfId="8735"/>
    <cellStyle name="Currency 3 3 12" xfId="9872"/>
    <cellStyle name="Currency 3 3 13" xfId="21760"/>
    <cellStyle name="Currency 3 3 2" xfId="6009"/>
    <cellStyle name="Currency 3 3 2 2" xfId="6010"/>
    <cellStyle name="Currency 3 3 2 2 2" xfId="6011"/>
    <cellStyle name="Currency 3 3 2 2 2 2" xfId="6012"/>
    <cellStyle name="Currency 3 3 2 2 2 2 2" xfId="11378"/>
    <cellStyle name="Currency 3 3 2 2 2 2 3" xfId="21755"/>
    <cellStyle name="Currency 3 3 2 2 2 3" xfId="6013"/>
    <cellStyle name="Currency 3 3 2 2 2 3 2" xfId="16951"/>
    <cellStyle name="Currency 3 3 2 2 2 3 2 2" xfId="30358"/>
    <cellStyle name="Currency 3 3 2 2 2 3 3" xfId="21754"/>
    <cellStyle name="Currency 3 3 2 2 2 4" xfId="9875"/>
    <cellStyle name="Currency 3 3 2 2 2 5" xfId="21756"/>
    <cellStyle name="Currency 3 3 2 2 3" xfId="6014"/>
    <cellStyle name="Currency 3 3 2 2 3 2" xfId="6015"/>
    <cellStyle name="Currency 3 3 2 2 3 2 2" xfId="13176"/>
    <cellStyle name="Currency 3 3 2 2 3 2 3" xfId="21752"/>
    <cellStyle name="Currency 3 3 2 2 3 3" xfId="12339"/>
    <cellStyle name="Currency 3 3 2 2 3 3 2" xfId="26051"/>
    <cellStyle name="Currency 3 3 2 2 3 4" xfId="21753"/>
    <cellStyle name="Currency 3 3 2 2 4" xfId="6016"/>
    <cellStyle name="Currency 3 3 2 2 4 2" xfId="6017"/>
    <cellStyle name="Currency 3 3 2 2 4 2 2" xfId="15635"/>
    <cellStyle name="Currency 3 3 2 2 4 2 3" xfId="21750"/>
    <cellStyle name="Currency 3 3 2 2 4 3" xfId="13903"/>
    <cellStyle name="Currency 3 3 2 2 4 3 2" xfId="27452"/>
    <cellStyle name="Currency 3 3 2 2 4 4" xfId="21751"/>
    <cellStyle name="Currency 3 3 2 2 5" xfId="6018"/>
    <cellStyle name="Currency 3 3 2 2 5 2" xfId="14484"/>
    <cellStyle name="Currency 3 3 2 2 5 2 2" xfId="28033"/>
    <cellStyle name="Currency 3 3 2 2 5 3" xfId="21749"/>
    <cellStyle name="Currency 3 3 2 2 6" xfId="6019"/>
    <cellStyle name="Currency 3 3 2 2 6 2" xfId="16370"/>
    <cellStyle name="Currency 3 3 2 2 6 2 2" xfId="29777"/>
    <cellStyle name="Currency 3 3 2 2 6 3" xfId="21748"/>
    <cellStyle name="Currency 3 3 2 2 7" xfId="9874"/>
    <cellStyle name="Currency 3 3 2 2 8" xfId="21757"/>
    <cellStyle name="Currency 3 3 2 3" xfId="6020"/>
    <cellStyle name="Currency 3 3 2 3 2" xfId="6021"/>
    <cellStyle name="Currency 3 3 2 3 2 2" xfId="11379"/>
    <cellStyle name="Currency 3 3 2 3 2 3" xfId="21746"/>
    <cellStyle name="Currency 3 3 2 3 3" xfId="6022"/>
    <cellStyle name="Currency 3 3 2 3 3 2" xfId="16662"/>
    <cellStyle name="Currency 3 3 2 3 3 2 2" xfId="30069"/>
    <cellStyle name="Currency 3 3 2 3 3 3" xfId="21745"/>
    <cellStyle name="Currency 3 3 2 3 4" xfId="9876"/>
    <cellStyle name="Currency 3 3 2 3 5" xfId="21747"/>
    <cellStyle name="Currency 3 3 2 4" xfId="6023"/>
    <cellStyle name="Currency 3 3 2 4 2" xfId="6024"/>
    <cellStyle name="Currency 3 3 2 4 2 2" xfId="13177"/>
    <cellStyle name="Currency 3 3 2 4 2 3" xfId="21743"/>
    <cellStyle name="Currency 3 3 2 4 3" xfId="12039"/>
    <cellStyle name="Currency 3 3 2 4 3 2" xfId="25754"/>
    <cellStyle name="Currency 3 3 2 4 4" xfId="21744"/>
    <cellStyle name="Currency 3 3 2 5" xfId="6025"/>
    <cellStyle name="Currency 3 3 2 5 2" xfId="6026"/>
    <cellStyle name="Currency 3 3 2 5 2 2" xfId="15636"/>
    <cellStyle name="Currency 3 3 2 5 2 3" xfId="21741"/>
    <cellStyle name="Currency 3 3 2 5 3" xfId="13614"/>
    <cellStyle name="Currency 3 3 2 5 3 2" xfId="27163"/>
    <cellStyle name="Currency 3 3 2 5 4" xfId="21742"/>
    <cellStyle name="Currency 3 3 2 6" xfId="6027"/>
    <cellStyle name="Currency 3 3 2 6 2" xfId="14195"/>
    <cellStyle name="Currency 3 3 2 6 2 2" xfId="27744"/>
    <cellStyle name="Currency 3 3 2 6 3" xfId="21740"/>
    <cellStyle name="Currency 3 3 2 7" xfId="6028"/>
    <cellStyle name="Currency 3 3 2 7 2" xfId="16081"/>
    <cellStyle name="Currency 3 3 2 7 2 2" xfId="29488"/>
    <cellStyle name="Currency 3 3 2 7 3" xfId="21739"/>
    <cellStyle name="Currency 3 3 2 8" xfId="9873"/>
    <cellStyle name="Currency 3 3 2 9" xfId="21758"/>
    <cellStyle name="Currency 3 3 3" xfId="6029"/>
    <cellStyle name="Currency 3 3 3 2" xfId="6030"/>
    <cellStyle name="Currency 3 3 3 2 2" xfId="6031"/>
    <cellStyle name="Currency 3 3 3 2 2 2" xfId="11380"/>
    <cellStyle name="Currency 3 3 3 2 2 3" xfId="21736"/>
    <cellStyle name="Currency 3 3 3 2 3" xfId="6032"/>
    <cellStyle name="Currency 3 3 3 2 3 2" xfId="16808"/>
    <cellStyle name="Currency 3 3 3 2 3 2 2" xfId="30215"/>
    <cellStyle name="Currency 3 3 3 2 3 3" xfId="21735"/>
    <cellStyle name="Currency 3 3 3 2 4" xfId="9878"/>
    <cellStyle name="Currency 3 3 3 2 5" xfId="21737"/>
    <cellStyle name="Currency 3 3 3 3" xfId="6033"/>
    <cellStyle name="Currency 3 3 3 3 2" xfId="6034"/>
    <cellStyle name="Currency 3 3 3 3 2 2" xfId="13178"/>
    <cellStyle name="Currency 3 3 3 3 2 3" xfId="21733"/>
    <cellStyle name="Currency 3 3 3 3 3" xfId="12196"/>
    <cellStyle name="Currency 3 3 3 3 3 2" xfId="25908"/>
    <cellStyle name="Currency 3 3 3 3 4" xfId="21734"/>
    <cellStyle name="Currency 3 3 3 4" xfId="6035"/>
    <cellStyle name="Currency 3 3 3 4 2" xfId="6036"/>
    <cellStyle name="Currency 3 3 3 4 2 2" xfId="15637"/>
    <cellStyle name="Currency 3 3 3 4 2 3" xfId="21731"/>
    <cellStyle name="Currency 3 3 3 4 3" xfId="13760"/>
    <cellStyle name="Currency 3 3 3 4 3 2" xfId="27309"/>
    <cellStyle name="Currency 3 3 3 4 4" xfId="21732"/>
    <cellStyle name="Currency 3 3 3 5" xfId="6037"/>
    <cellStyle name="Currency 3 3 3 5 2" xfId="14341"/>
    <cellStyle name="Currency 3 3 3 5 2 2" xfId="27890"/>
    <cellStyle name="Currency 3 3 3 5 3" xfId="21730"/>
    <cellStyle name="Currency 3 3 3 6" xfId="6038"/>
    <cellStyle name="Currency 3 3 3 6 2" xfId="16227"/>
    <cellStyle name="Currency 3 3 3 6 2 2" xfId="29634"/>
    <cellStyle name="Currency 3 3 3 6 3" xfId="21729"/>
    <cellStyle name="Currency 3 3 3 7" xfId="9877"/>
    <cellStyle name="Currency 3 3 3 8" xfId="21738"/>
    <cellStyle name="Currency 3 3 4" xfId="6039"/>
    <cellStyle name="Currency 3 3 4 2" xfId="6040"/>
    <cellStyle name="Currency 3 3 4 2 2" xfId="13179"/>
    <cellStyle name="Currency 3 3 4 2 3" xfId="21727"/>
    <cellStyle name="Currency 3 3 4 3" xfId="6041"/>
    <cellStyle name="Currency 3 3 4 3 2" xfId="17029"/>
    <cellStyle name="Currency 3 3 4 3 3" xfId="21726"/>
    <cellStyle name="Currency 3 3 4 4" xfId="9879"/>
    <cellStyle name="Currency 3 3 4 5" xfId="21728"/>
    <cellStyle name="Currency 3 3 5" xfId="6042"/>
    <cellStyle name="Currency 3 3 5 2" xfId="6043"/>
    <cellStyle name="Currency 3 3 5 2 2" xfId="11381"/>
    <cellStyle name="Currency 3 3 5 2 3" xfId="21724"/>
    <cellStyle name="Currency 3 3 5 3" xfId="6044"/>
    <cellStyle name="Currency 3 3 5 3 2" xfId="17155"/>
    <cellStyle name="Currency 3 3 5 3 2 2" xfId="30514"/>
    <cellStyle name="Currency 3 3 5 3 3" xfId="21723"/>
    <cellStyle name="Currency 3 3 5 4" xfId="9880"/>
    <cellStyle name="Currency 3 3 5 5" xfId="21725"/>
    <cellStyle name="Currency 3 3 6" xfId="6045"/>
    <cellStyle name="Currency 3 3 6 2" xfId="6046"/>
    <cellStyle name="Currency 3 3 6 2 2" xfId="15638"/>
    <cellStyle name="Currency 3 3 6 2 3" xfId="21721"/>
    <cellStyle name="Currency 3 3 6 3" xfId="6047"/>
    <cellStyle name="Currency 3 3 6 3 2" xfId="17244"/>
    <cellStyle name="Currency 3 3 6 3 2 2" xfId="30603"/>
    <cellStyle name="Currency 3 3 6 3 3" xfId="21720"/>
    <cellStyle name="Currency 3 3 6 4" xfId="11892"/>
    <cellStyle name="Currency 3 3 6 4 2" xfId="25607"/>
    <cellStyle name="Currency 3 3 6 5" xfId="21722"/>
    <cellStyle name="Currency 3 3 7" xfId="6048"/>
    <cellStyle name="Currency 3 3 7 2" xfId="6049"/>
    <cellStyle name="Currency 3 3 7 2 2" xfId="16519"/>
    <cellStyle name="Currency 3 3 7 2 2 2" xfId="29926"/>
    <cellStyle name="Currency 3 3 7 2 3" xfId="21718"/>
    <cellStyle name="Currency 3 3 7 3" xfId="13471"/>
    <cellStyle name="Currency 3 3 7 3 2" xfId="27020"/>
    <cellStyle name="Currency 3 3 7 4" xfId="21719"/>
    <cellStyle name="Currency 3 3 8" xfId="6050"/>
    <cellStyle name="Currency 3 3 8 2" xfId="14052"/>
    <cellStyle name="Currency 3 3 8 2 2" xfId="27601"/>
    <cellStyle name="Currency 3 3 8 3" xfId="21717"/>
    <cellStyle name="Currency 3 3 9" xfId="6051"/>
    <cellStyle name="Currency 3 3 9 2" xfId="15938"/>
    <cellStyle name="Currency 3 3 9 2 2" xfId="29345"/>
    <cellStyle name="Currency 3 3 9 3" xfId="21716"/>
    <cellStyle name="Currency 3 30" xfId="21901"/>
    <cellStyle name="Currency 3 4" xfId="6052"/>
    <cellStyle name="Currency 3 4 10" xfId="9881"/>
    <cellStyle name="Currency 3 4 11" xfId="21715"/>
    <cellStyle name="Currency 3 4 2" xfId="6053"/>
    <cellStyle name="Currency 3 4 2 2" xfId="6054"/>
    <cellStyle name="Currency 3 4 2 2 2" xfId="6055"/>
    <cellStyle name="Currency 3 4 2 2 2 2" xfId="6056"/>
    <cellStyle name="Currency 3 4 2 2 2 2 2" xfId="11382"/>
    <cellStyle name="Currency 3 4 2 2 2 2 3" xfId="21711"/>
    <cellStyle name="Currency 3 4 2 2 2 3" xfId="6057"/>
    <cellStyle name="Currency 3 4 2 2 2 3 2" xfId="16905"/>
    <cellStyle name="Currency 3 4 2 2 2 3 2 2" xfId="30312"/>
    <cellStyle name="Currency 3 4 2 2 2 3 3" xfId="21710"/>
    <cellStyle name="Currency 3 4 2 2 2 4" xfId="9884"/>
    <cellStyle name="Currency 3 4 2 2 2 5" xfId="21712"/>
    <cellStyle name="Currency 3 4 2 2 3" xfId="6058"/>
    <cellStyle name="Currency 3 4 2 2 3 2" xfId="6059"/>
    <cellStyle name="Currency 3 4 2 2 3 2 2" xfId="13180"/>
    <cellStyle name="Currency 3 4 2 2 3 2 3" xfId="21708"/>
    <cellStyle name="Currency 3 4 2 2 3 3" xfId="12293"/>
    <cellStyle name="Currency 3 4 2 2 3 3 2" xfId="26005"/>
    <cellStyle name="Currency 3 4 2 2 3 4" xfId="21709"/>
    <cellStyle name="Currency 3 4 2 2 4" xfId="6060"/>
    <cellStyle name="Currency 3 4 2 2 4 2" xfId="6061"/>
    <cellStyle name="Currency 3 4 2 2 4 2 2" xfId="15639"/>
    <cellStyle name="Currency 3 4 2 2 4 2 3" xfId="21706"/>
    <cellStyle name="Currency 3 4 2 2 4 3" xfId="13857"/>
    <cellStyle name="Currency 3 4 2 2 4 3 2" xfId="27406"/>
    <cellStyle name="Currency 3 4 2 2 4 4" xfId="21707"/>
    <cellStyle name="Currency 3 4 2 2 5" xfId="6062"/>
    <cellStyle name="Currency 3 4 2 2 5 2" xfId="14438"/>
    <cellStyle name="Currency 3 4 2 2 5 2 2" xfId="27987"/>
    <cellStyle name="Currency 3 4 2 2 5 3" xfId="21705"/>
    <cellStyle name="Currency 3 4 2 2 6" xfId="6063"/>
    <cellStyle name="Currency 3 4 2 2 6 2" xfId="16324"/>
    <cellStyle name="Currency 3 4 2 2 6 2 2" xfId="29731"/>
    <cellStyle name="Currency 3 4 2 2 6 3" xfId="21704"/>
    <cellStyle name="Currency 3 4 2 2 7" xfId="9883"/>
    <cellStyle name="Currency 3 4 2 2 8" xfId="21713"/>
    <cellStyle name="Currency 3 4 2 3" xfId="6064"/>
    <cellStyle name="Currency 3 4 2 3 2" xfId="6065"/>
    <cellStyle name="Currency 3 4 2 3 2 2" xfId="11383"/>
    <cellStyle name="Currency 3 4 2 3 2 3" xfId="21702"/>
    <cellStyle name="Currency 3 4 2 3 3" xfId="6066"/>
    <cellStyle name="Currency 3 4 2 3 3 2" xfId="16616"/>
    <cellStyle name="Currency 3 4 2 3 3 2 2" xfId="30023"/>
    <cellStyle name="Currency 3 4 2 3 3 3" xfId="21701"/>
    <cellStyle name="Currency 3 4 2 3 4" xfId="9885"/>
    <cellStyle name="Currency 3 4 2 3 5" xfId="21703"/>
    <cellStyle name="Currency 3 4 2 4" xfId="6067"/>
    <cellStyle name="Currency 3 4 2 4 2" xfId="6068"/>
    <cellStyle name="Currency 3 4 2 4 2 2" xfId="13181"/>
    <cellStyle name="Currency 3 4 2 4 2 3" xfId="21699"/>
    <cellStyle name="Currency 3 4 2 4 3" xfId="11993"/>
    <cellStyle name="Currency 3 4 2 4 3 2" xfId="25708"/>
    <cellStyle name="Currency 3 4 2 4 4" xfId="21700"/>
    <cellStyle name="Currency 3 4 2 5" xfId="6069"/>
    <cellStyle name="Currency 3 4 2 5 2" xfId="6070"/>
    <cellStyle name="Currency 3 4 2 5 2 2" xfId="15640"/>
    <cellStyle name="Currency 3 4 2 5 2 3" xfId="21697"/>
    <cellStyle name="Currency 3 4 2 5 3" xfId="13568"/>
    <cellStyle name="Currency 3 4 2 5 3 2" xfId="27117"/>
    <cellStyle name="Currency 3 4 2 5 4" xfId="21698"/>
    <cellStyle name="Currency 3 4 2 6" xfId="6071"/>
    <cellStyle name="Currency 3 4 2 6 2" xfId="14149"/>
    <cellStyle name="Currency 3 4 2 6 2 2" xfId="27698"/>
    <cellStyle name="Currency 3 4 2 6 3" xfId="21696"/>
    <cellStyle name="Currency 3 4 2 7" xfId="6072"/>
    <cellStyle name="Currency 3 4 2 7 2" xfId="16035"/>
    <cellStyle name="Currency 3 4 2 7 2 2" xfId="29442"/>
    <cellStyle name="Currency 3 4 2 7 3" xfId="21695"/>
    <cellStyle name="Currency 3 4 2 8" xfId="9882"/>
    <cellStyle name="Currency 3 4 2 9" xfId="21714"/>
    <cellStyle name="Currency 3 4 3" xfId="6073"/>
    <cellStyle name="Currency 3 4 3 2" xfId="6074"/>
    <cellStyle name="Currency 3 4 3 2 2" xfId="6075"/>
    <cellStyle name="Currency 3 4 3 2 2 2" xfId="11384"/>
    <cellStyle name="Currency 3 4 3 2 2 3" xfId="21692"/>
    <cellStyle name="Currency 3 4 3 2 3" xfId="6076"/>
    <cellStyle name="Currency 3 4 3 2 3 2" xfId="16765"/>
    <cellStyle name="Currency 3 4 3 2 3 2 2" xfId="30172"/>
    <cellStyle name="Currency 3 4 3 2 3 3" xfId="21691"/>
    <cellStyle name="Currency 3 4 3 2 4" xfId="9887"/>
    <cellStyle name="Currency 3 4 3 2 5" xfId="21693"/>
    <cellStyle name="Currency 3 4 3 3" xfId="6077"/>
    <cellStyle name="Currency 3 4 3 3 2" xfId="6078"/>
    <cellStyle name="Currency 3 4 3 3 2 2" xfId="13182"/>
    <cellStyle name="Currency 3 4 3 3 2 3" xfId="21689"/>
    <cellStyle name="Currency 3 4 3 3 3" xfId="12153"/>
    <cellStyle name="Currency 3 4 3 3 3 2" xfId="25865"/>
    <cellStyle name="Currency 3 4 3 3 4" xfId="21690"/>
    <cellStyle name="Currency 3 4 3 4" xfId="6079"/>
    <cellStyle name="Currency 3 4 3 4 2" xfId="6080"/>
    <cellStyle name="Currency 3 4 3 4 2 2" xfId="15641"/>
    <cellStyle name="Currency 3 4 3 4 2 3" xfId="21687"/>
    <cellStyle name="Currency 3 4 3 4 3" xfId="13717"/>
    <cellStyle name="Currency 3 4 3 4 3 2" xfId="27266"/>
    <cellStyle name="Currency 3 4 3 4 4" xfId="21688"/>
    <cellStyle name="Currency 3 4 3 5" xfId="6081"/>
    <cellStyle name="Currency 3 4 3 5 2" xfId="14298"/>
    <cellStyle name="Currency 3 4 3 5 2 2" xfId="27847"/>
    <cellStyle name="Currency 3 4 3 5 3" xfId="21686"/>
    <cellStyle name="Currency 3 4 3 6" xfId="6082"/>
    <cellStyle name="Currency 3 4 3 6 2" xfId="16184"/>
    <cellStyle name="Currency 3 4 3 6 2 2" xfId="29591"/>
    <cellStyle name="Currency 3 4 3 6 3" xfId="21685"/>
    <cellStyle name="Currency 3 4 3 7" xfId="9886"/>
    <cellStyle name="Currency 3 4 3 8" xfId="21694"/>
    <cellStyle name="Currency 3 4 4" xfId="6083"/>
    <cellStyle name="Currency 3 4 4 2" xfId="6084"/>
    <cellStyle name="Currency 3 4 4 2 2" xfId="16473"/>
    <cellStyle name="Currency 3 4 4 2 2 2" xfId="29880"/>
    <cellStyle name="Currency 3 4 4 2 3" xfId="21683"/>
    <cellStyle name="Currency 3 4 4 3" xfId="9888"/>
    <cellStyle name="Currency 3 4 4 4" xfId="21684"/>
    <cellStyle name="Currency 3 4 5" xfId="6085"/>
    <cellStyle name="Currency 3 4 5 2" xfId="6086"/>
    <cellStyle name="Currency 3 4 5 2 2" xfId="11385"/>
    <cellStyle name="Currency 3 4 5 2 3" xfId="21681"/>
    <cellStyle name="Currency 3 4 5 3" xfId="9889"/>
    <cellStyle name="Currency 3 4 5 4" xfId="21682"/>
    <cellStyle name="Currency 3 4 6" xfId="6087"/>
    <cellStyle name="Currency 3 4 6 2" xfId="6088"/>
    <cellStyle name="Currency 3 4 6 2 2" xfId="13183"/>
    <cellStyle name="Currency 3 4 6 2 3" xfId="21679"/>
    <cellStyle name="Currency 3 4 6 3" xfId="11824"/>
    <cellStyle name="Currency 3 4 6 3 2" xfId="25539"/>
    <cellStyle name="Currency 3 4 6 4" xfId="21680"/>
    <cellStyle name="Currency 3 4 7" xfId="6089"/>
    <cellStyle name="Currency 3 4 7 2" xfId="6090"/>
    <cellStyle name="Currency 3 4 7 2 2" xfId="15642"/>
    <cellStyle name="Currency 3 4 7 2 3" xfId="21677"/>
    <cellStyle name="Currency 3 4 7 3" xfId="13425"/>
    <cellStyle name="Currency 3 4 7 3 2" xfId="26974"/>
    <cellStyle name="Currency 3 4 7 4" xfId="21678"/>
    <cellStyle name="Currency 3 4 8" xfId="6091"/>
    <cellStyle name="Currency 3 4 8 2" xfId="14006"/>
    <cellStyle name="Currency 3 4 8 2 2" xfId="27555"/>
    <cellStyle name="Currency 3 4 8 3" xfId="21676"/>
    <cellStyle name="Currency 3 4 9" xfId="6092"/>
    <cellStyle name="Currency 3 4 9 2" xfId="15892"/>
    <cellStyle name="Currency 3 4 9 2 2" xfId="29299"/>
    <cellStyle name="Currency 3 4 9 3" xfId="21675"/>
    <cellStyle name="Currency 3 5" xfId="6093"/>
    <cellStyle name="Currency 3 5 10" xfId="9890"/>
    <cellStyle name="Currency 3 5 11" xfId="21674"/>
    <cellStyle name="Currency 3 5 2" xfId="6094"/>
    <cellStyle name="Currency 3 5 2 2" xfId="6095"/>
    <cellStyle name="Currency 3 5 2 2 2" xfId="6096"/>
    <cellStyle name="Currency 3 5 2 2 2 2" xfId="6097"/>
    <cellStyle name="Currency 3 5 2 2 2 2 2" xfId="11386"/>
    <cellStyle name="Currency 3 5 2 2 2 2 3" xfId="21670"/>
    <cellStyle name="Currency 3 5 2 2 2 3" xfId="6098"/>
    <cellStyle name="Currency 3 5 2 2 2 3 2" xfId="16888"/>
    <cellStyle name="Currency 3 5 2 2 2 3 2 2" xfId="30295"/>
    <cellStyle name="Currency 3 5 2 2 2 3 3" xfId="21669"/>
    <cellStyle name="Currency 3 5 2 2 2 4" xfId="9893"/>
    <cellStyle name="Currency 3 5 2 2 2 5" xfId="21671"/>
    <cellStyle name="Currency 3 5 2 2 3" xfId="6099"/>
    <cellStyle name="Currency 3 5 2 2 3 2" xfId="6100"/>
    <cellStyle name="Currency 3 5 2 2 3 2 2" xfId="13184"/>
    <cellStyle name="Currency 3 5 2 2 3 2 3" xfId="21667"/>
    <cellStyle name="Currency 3 5 2 2 3 3" xfId="12276"/>
    <cellStyle name="Currency 3 5 2 2 3 3 2" xfId="25988"/>
    <cellStyle name="Currency 3 5 2 2 3 4" xfId="21668"/>
    <cellStyle name="Currency 3 5 2 2 4" xfId="6101"/>
    <cellStyle name="Currency 3 5 2 2 4 2" xfId="6102"/>
    <cellStyle name="Currency 3 5 2 2 4 2 2" xfId="15643"/>
    <cellStyle name="Currency 3 5 2 2 4 2 3" xfId="21665"/>
    <cellStyle name="Currency 3 5 2 2 4 3" xfId="13840"/>
    <cellStyle name="Currency 3 5 2 2 4 3 2" xfId="27389"/>
    <cellStyle name="Currency 3 5 2 2 4 4" xfId="21666"/>
    <cellStyle name="Currency 3 5 2 2 5" xfId="6103"/>
    <cellStyle name="Currency 3 5 2 2 5 2" xfId="14421"/>
    <cellStyle name="Currency 3 5 2 2 5 2 2" xfId="27970"/>
    <cellStyle name="Currency 3 5 2 2 5 3" xfId="21664"/>
    <cellStyle name="Currency 3 5 2 2 6" xfId="6104"/>
    <cellStyle name="Currency 3 5 2 2 6 2" xfId="16307"/>
    <cellStyle name="Currency 3 5 2 2 6 2 2" xfId="29714"/>
    <cellStyle name="Currency 3 5 2 2 6 3" xfId="21663"/>
    <cellStyle name="Currency 3 5 2 2 7" xfId="9892"/>
    <cellStyle name="Currency 3 5 2 2 8" xfId="21672"/>
    <cellStyle name="Currency 3 5 2 3" xfId="6105"/>
    <cellStyle name="Currency 3 5 2 3 2" xfId="6106"/>
    <cellStyle name="Currency 3 5 2 3 2 2" xfId="11387"/>
    <cellStyle name="Currency 3 5 2 3 2 3" xfId="21661"/>
    <cellStyle name="Currency 3 5 2 3 3" xfId="6107"/>
    <cellStyle name="Currency 3 5 2 3 3 2" xfId="16599"/>
    <cellStyle name="Currency 3 5 2 3 3 2 2" xfId="30006"/>
    <cellStyle name="Currency 3 5 2 3 3 3" xfId="21660"/>
    <cellStyle name="Currency 3 5 2 3 4" xfId="9894"/>
    <cellStyle name="Currency 3 5 2 3 5" xfId="21662"/>
    <cellStyle name="Currency 3 5 2 4" xfId="6108"/>
    <cellStyle name="Currency 3 5 2 4 2" xfId="6109"/>
    <cellStyle name="Currency 3 5 2 4 2 2" xfId="13185"/>
    <cellStyle name="Currency 3 5 2 4 2 3" xfId="21658"/>
    <cellStyle name="Currency 3 5 2 4 3" xfId="11976"/>
    <cellStyle name="Currency 3 5 2 4 3 2" xfId="25691"/>
    <cellStyle name="Currency 3 5 2 4 4" xfId="21659"/>
    <cellStyle name="Currency 3 5 2 5" xfId="6110"/>
    <cellStyle name="Currency 3 5 2 5 2" xfId="6111"/>
    <cellStyle name="Currency 3 5 2 5 2 2" xfId="15644"/>
    <cellStyle name="Currency 3 5 2 5 2 3" xfId="21656"/>
    <cellStyle name="Currency 3 5 2 5 3" xfId="13551"/>
    <cellStyle name="Currency 3 5 2 5 3 2" xfId="27100"/>
    <cellStyle name="Currency 3 5 2 5 4" xfId="21657"/>
    <cellStyle name="Currency 3 5 2 6" xfId="6112"/>
    <cellStyle name="Currency 3 5 2 6 2" xfId="14132"/>
    <cellStyle name="Currency 3 5 2 6 2 2" xfId="27681"/>
    <cellStyle name="Currency 3 5 2 6 3" xfId="21655"/>
    <cellStyle name="Currency 3 5 2 7" xfId="6113"/>
    <cellStyle name="Currency 3 5 2 7 2" xfId="16018"/>
    <cellStyle name="Currency 3 5 2 7 2 2" xfId="29425"/>
    <cellStyle name="Currency 3 5 2 7 3" xfId="21654"/>
    <cellStyle name="Currency 3 5 2 8" xfId="9891"/>
    <cellStyle name="Currency 3 5 2 9" xfId="21673"/>
    <cellStyle name="Currency 3 5 3" xfId="6114"/>
    <cellStyle name="Currency 3 5 3 2" xfId="6115"/>
    <cellStyle name="Currency 3 5 3 2 2" xfId="6116"/>
    <cellStyle name="Currency 3 5 3 2 2 2" xfId="11388"/>
    <cellStyle name="Currency 3 5 3 2 2 3" xfId="21651"/>
    <cellStyle name="Currency 3 5 3 2 3" xfId="6117"/>
    <cellStyle name="Currency 3 5 3 2 3 2" xfId="16748"/>
    <cellStyle name="Currency 3 5 3 2 3 2 2" xfId="30155"/>
    <cellStyle name="Currency 3 5 3 2 3 3" xfId="21650"/>
    <cellStyle name="Currency 3 5 3 2 4" xfId="9896"/>
    <cellStyle name="Currency 3 5 3 2 5" xfId="21652"/>
    <cellStyle name="Currency 3 5 3 3" xfId="6118"/>
    <cellStyle name="Currency 3 5 3 3 2" xfId="6119"/>
    <cellStyle name="Currency 3 5 3 3 2 2" xfId="13186"/>
    <cellStyle name="Currency 3 5 3 3 2 3" xfId="21648"/>
    <cellStyle name="Currency 3 5 3 3 3" xfId="12136"/>
    <cellStyle name="Currency 3 5 3 3 3 2" xfId="25848"/>
    <cellStyle name="Currency 3 5 3 3 4" xfId="21649"/>
    <cellStyle name="Currency 3 5 3 4" xfId="6120"/>
    <cellStyle name="Currency 3 5 3 4 2" xfId="6121"/>
    <cellStyle name="Currency 3 5 3 4 2 2" xfId="15645"/>
    <cellStyle name="Currency 3 5 3 4 2 3" xfId="21646"/>
    <cellStyle name="Currency 3 5 3 4 3" xfId="13700"/>
    <cellStyle name="Currency 3 5 3 4 3 2" xfId="27249"/>
    <cellStyle name="Currency 3 5 3 4 4" xfId="21647"/>
    <cellStyle name="Currency 3 5 3 5" xfId="6122"/>
    <cellStyle name="Currency 3 5 3 5 2" xfId="14281"/>
    <cellStyle name="Currency 3 5 3 5 2 2" xfId="27830"/>
    <cellStyle name="Currency 3 5 3 5 3" xfId="21645"/>
    <cellStyle name="Currency 3 5 3 6" xfId="6123"/>
    <cellStyle name="Currency 3 5 3 6 2" xfId="16167"/>
    <cellStyle name="Currency 3 5 3 6 2 2" xfId="29574"/>
    <cellStyle name="Currency 3 5 3 6 3" xfId="21644"/>
    <cellStyle name="Currency 3 5 3 7" xfId="9895"/>
    <cellStyle name="Currency 3 5 3 8" xfId="21653"/>
    <cellStyle name="Currency 3 5 4" xfId="6124"/>
    <cellStyle name="Currency 3 5 4 2" xfId="6125"/>
    <cellStyle name="Currency 3 5 4 2 2" xfId="16456"/>
    <cellStyle name="Currency 3 5 4 2 2 2" xfId="29863"/>
    <cellStyle name="Currency 3 5 4 2 3" xfId="21642"/>
    <cellStyle name="Currency 3 5 4 3" xfId="9897"/>
    <cellStyle name="Currency 3 5 4 4" xfId="21643"/>
    <cellStyle name="Currency 3 5 5" xfId="6126"/>
    <cellStyle name="Currency 3 5 5 2" xfId="6127"/>
    <cellStyle name="Currency 3 5 5 2 2" xfId="11389"/>
    <cellStyle name="Currency 3 5 5 2 3" xfId="21640"/>
    <cellStyle name="Currency 3 5 5 3" xfId="9898"/>
    <cellStyle name="Currency 3 5 5 4" xfId="21641"/>
    <cellStyle name="Currency 3 5 6" xfId="6128"/>
    <cellStyle name="Currency 3 5 6 2" xfId="6129"/>
    <cellStyle name="Currency 3 5 6 2 2" xfId="13187"/>
    <cellStyle name="Currency 3 5 6 2 3" xfId="21638"/>
    <cellStyle name="Currency 3 5 6 3" xfId="11807"/>
    <cellStyle name="Currency 3 5 6 3 2" xfId="25522"/>
    <cellStyle name="Currency 3 5 6 4" xfId="21639"/>
    <cellStyle name="Currency 3 5 7" xfId="6130"/>
    <cellStyle name="Currency 3 5 7 2" xfId="6131"/>
    <cellStyle name="Currency 3 5 7 2 2" xfId="15646"/>
    <cellStyle name="Currency 3 5 7 2 3" xfId="21636"/>
    <cellStyle name="Currency 3 5 7 3" xfId="13408"/>
    <cellStyle name="Currency 3 5 7 3 2" xfId="26957"/>
    <cellStyle name="Currency 3 5 7 4" xfId="21637"/>
    <cellStyle name="Currency 3 5 8" xfId="6132"/>
    <cellStyle name="Currency 3 5 8 2" xfId="13989"/>
    <cellStyle name="Currency 3 5 8 2 2" xfId="27538"/>
    <cellStyle name="Currency 3 5 8 3" xfId="21635"/>
    <cellStyle name="Currency 3 5 9" xfId="6133"/>
    <cellStyle name="Currency 3 5 9 2" xfId="15875"/>
    <cellStyle name="Currency 3 5 9 2 2" xfId="29282"/>
    <cellStyle name="Currency 3 5 9 3" xfId="21634"/>
    <cellStyle name="Currency 3 6" xfId="6134"/>
    <cellStyle name="Currency 3 6 10" xfId="9899"/>
    <cellStyle name="Currency 3 6 11" xfId="21633"/>
    <cellStyle name="Currency 3 6 2" xfId="6135"/>
    <cellStyle name="Currency 3 6 2 2" xfId="6136"/>
    <cellStyle name="Currency 3 6 2 2 2" xfId="6137"/>
    <cellStyle name="Currency 3 6 2 2 2 2" xfId="6138"/>
    <cellStyle name="Currency 3 6 2 2 2 2 2" xfId="11390"/>
    <cellStyle name="Currency 3 6 2 2 2 2 3" xfId="21629"/>
    <cellStyle name="Currency 3 6 2 2 2 3" xfId="6139"/>
    <cellStyle name="Currency 3 6 2 2 2 3 2" xfId="16994"/>
    <cellStyle name="Currency 3 6 2 2 2 3 2 2" xfId="30401"/>
    <cellStyle name="Currency 3 6 2 2 2 3 3" xfId="21628"/>
    <cellStyle name="Currency 3 6 2 2 2 4" xfId="9902"/>
    <cellStyle name="Currency 3 6 2 2 2 5" xfId="21630"/>
    <cellStyle name="Currency 3 6 2 2 3" xfId="6140"/>
    <cellStyle name="Currency 3 6 2 2 3 2" xfId="6141"/>
    <cellStyle name="Currency 3 6 2 2 3 2 2" xfId="13188"/>
    <cellStyle name="Currency 3 6 2 2 3 2 3" xfId="21626"/>
    <cellStyle name="Currency 3 6 2 2 3 3" xfId="12382"/>
    <cellStyle name="Currency 3 6 2 2 3 3 2" xfId="26094"/>
    <cellStyle name="Currency 3 6 2 2 3 4" xfId="21627"/>
    <cellStyle name="Currency 3 6 2 2 4" xfId="6142"/>
    <cellStyle name="Currency 3 6 2 2 4 2" xfId="6143"/>
    <cellStyle name="Currency 3 6 2 2 4 2 2" xfId="15647"/>
    <cellStyle name="Currency 3 6 2 2 4 2 3" xfId="21624"/>
    <cellStyle name="Currency 3 6 2 2 4 3" xfId="13946"/>
    <cellStyle name="Currency 3 6 2 2 4 3 2" xfId="27495"/>
    <cellStyle name="Currency 3 6 2 2 4 4" xfId="21625"/>
    <cellStyle name="Currency 3 6 2 2 5" xfId="6144"/>
    <cellStyle name="Currency 3 6 2 2 5 2" xfId="14527"/>
    <cellStyle name="Currency 3 6 2 2 5 2 2" xfId="28076"/>
    <cellStyle name="Currency 3 6 2 2 5 3" xfId="21623"/>
    <cellStyle name="Currency 3 6 2 2 6" xfId="6145"/>
    <cellStyle name="Currency 3 6 2 2 6 2" xfId="16413"/>
    <cellStyle name="Currency 3 6 2 2 6 2 2" xfId="29820"/>
    <cellStyle name="Currency 3 6 2 2 6 3" xfId="21622"/>
    <cellStyle name="Currency 3 6 2 2 7" xfId="9901"/>
    <cellStyle name="Currency 3 6 2 2 8" xfId="21631"/>
    <cellStyle name="Currency 3 6 2 3" xfId="6146"/>
    <cellStyle name="Currency 3 6 2 3 2" xfId="6147"/>
    <cellStyle name="Currency 3 6 2 3 2 2" xfId="11391"/>
    <cellStyle name="Currency 3 6 2 3 2 3" xfId="21620"/>
    <cellStyle name="Currency 3 6 2 3 3" xfId="6148"/>
    <cellStyle name="Currency 3 6 2 3 3 2" xfId="16705"/>
    <cellStyle name="Currency 3 6 2 3 3 2 2" xfId="30112"/>
    <cellStyle name="Currency 3 6 2 3 3 3" xfId="21619"/>
    <cellStyle name="Currency 3 6 2 3 4" xfId="9903"/>
    <cellStyle name="Currency 3 6 2 3 5" xfId="21621"/>
    <cellStyle name="Currency 3 6 2 4" xfId="6149"/>
    <cellStyle name="Currency 3 6 2 4 2" xfId="6150"/>
    <cellStyle name="Currency 3 6 2 4 2 2" xfId="13189"/>
    <cellStyle name="Currency 3 6 2 4 2 3" xfId="21617"/>
    <cellStyle name="Currency 3 6 2 4 3" xfId="12082"/>
    <cellStyle name="Currency 3 6 2 4 3 2" xfId="25797"/>
    <cellStyle name="Currency 3 6 2 4 4" xfId="21618"/>
    <cellStyle name="Currency 3 6 2 5" xfId="6151"/>
    <cellStyle name="Currency 3 6 2 5 2" xfId="6152"/>
    <cellStyle name="Currency 3 6 2 5 2 2" xfId="15648"/>
    <cellStyle name="Currency 3 6 2 5 2 3" xfId="21615"/>
    <cellStyle name="Currency 3 6 2 5 3" xfId="13657"/>
    <cellStyle name="Currency 3 6 2 5 3 2" xfId="27206"/>
    <cellStyle name="Currency 3 6 2 5 4" xfId="21616"/>
    <cellStyle name="Currency 3 6 2 6" xfId="6153"/>
    <cellStyle name="Currency 3 6 2 6 2" xfId="14238"/>
    <cellStyle name="Currency 3 6 2 6 2 2" xfId="27787"/>
    <cellStyle name="Currency 3 6 2 6 3" xfId="21614"/>
    <cellStyle name="Currency 3 6 2 7" xfId="6154"/>
    <cellStyle name="Currency 3 6 2 7 2" xfId="16124"/>
    <cellStyle name="Currency 3 6 2 7 2 2" xfId="29531"/>
    <cellStyle name="Currency 3 6 2 7 3" xfId="21613"/>
    <cellStyle name="Currency 3 6 2 8" xfId="9900"/>
    <cellStyle name="Currency 3 6 2 9" xfId="21632"/>
    <cellStyle name="Currency 3 6 3" xfId="6155"/>
    <cellStyle name="Currency 3 6 3 2" xfId="6156"/>
    <cellStyle name="Currency 3 6 3 2 2" xfId="6157"/>
    <cellStyle name="Currency 3 6 3 2 2 2" xfId="11392"/>
    <cellStyle name="Currency 3 6 3 2 2 3" xfId="21610"/>
    <cellStyle name="Currency 3 6 3 2 3" xfId="6158"/>
    <cellStyle name="Currency 3 6 3 2 3 2" xfId="16851"/>
    <cellStyle name="Currency 3 6 3 2 3 2 2" xfId="30258"/>
    <cellStyle name="Currency 3 6 3 2 3 3" xfId="21609"/>
    <cellStyle name="Currency 3 6 3 2 4" xfId="9905"/>
    <cellStyle name="Currency 3 6 3 2 5" xfId="21611"/>
    <cellStyle name="Currency 3 6 3 3" xfId="6159"/>
    <cellStyle name="Currency 3 6 3 3 2" xfId="6160"/>
    <cellStyle name="Currency 3 6 3 3 2 2" xfId="13190"/>
    <cellStyle name="Currency 3 6 3 3 2 3" xfId="21607"/>
    <cellStyle name="Currency 3 6 3 3 3" xfId="12239"/>
    <cellStyle name="Currency 3 6 3 3 3 2" xfId="25951"/>
    <cellStyle name="Currency 3 6 3 3 4" xfId="21608"/>
    <cellStyle name="Currency 3 6 3 4" xfId="6161"/>
    <cellStyle name="Currency 3 6 3 4 2" xfId="6162"/>
    <cellStyle name="Currency 3 6 3 4 2 2" xfId="15649"/>
    <cellStyle name="Currency 3 6 3 4 2 3" xfId="21605"/>
    <cellStyle name="Currency 3 6 3 4 3" xfId="13803"/>
    <cellStyle name="Currency 3 6 3 4 3 2" xfId="27352"/>
    <cellStyle name="Currency 3 6 3 4 4" xfId="21606"/>
    <cellStyle name="Currency 3 6 3 5" xfId="6163"/>
    <cellStyle name="Currency 3 6 3 5 2" xfId="14384"/>
    <cellStyle name="Currency 3 6 3 5 2 2" xfId="27933"/>
    <cellStyle name="Currency 3 6 3 5 3" xfId="21604"/>
    <cellStyle name="Currency 3 6 3 6" xfId="6164"/>
    <cellStyle name="Currency 3 6 3 6 2" xfId="16270"/>
    <cellStyle name="Currency 3 6 3 6 2 2" xfId="29677"/>
    <cellStyle name="Currency 3 6 3 6 3" xfId="21603"/>
    <cellStyle name="Currency 3 6 3 7" xfId="9904"/>
    <cellStyle name="Currency 3 6 3 8" xfId="21612"/>
    <cellStyle name="Currency 3 6 4" xfId="6165"/>
    <cellStyle name="Currency 3 6 4 2" xfId="6166"/>
    <cellStyle name="Currency 3 6 4 2 2" xfId="16562"/>
    <cellStyle name="Currency 3 6 4 2 2 2" xfId="29969"/>
    <cellStyle name="Currency 3 6 4 2 3" xfId="21601"/>
    <cellStyle name="Currency 3 6 4 3" xfId="9906"/>
    <cellStyle name="Currency 3 6 4 4" xfId="21602"/>
    <cellStyle name="Currency 3 6 5" xfId="6167"/>
    <cellStyle name="Currency 3 6 5 2" xfId="6168"/>
    <cellStyle name="Currency 3 6 5 2 2" xfId="11393"/>
    <cellStyle name="Currency 3 6 5 2 3" xfId="21599"/>
    <cellStyle name="Currency 3 6 5 3" xfId="9907"/>
    <cellStyle name="Currency 3 6 5 4" xfId="21600"/>
    <cellStyle name="Currency 3 6 6" xfId="6169"/>
    <cellStyle name="Currency 3 6 6 2" xfId="6170"/>
    <cellStyle name="Currency 3 6 6 2 2" xfId="13191"/>
    <cellStyle name="Currency 3 6 6 2 3" xfId="21597"/>
    <cellStyle name="Currency 3 6 6 3" xfId="11937"/>
    <cellStyle name="Currency 3 6 6 3 2" xfId="25652"/>
    <cellStyle name="Currency 3 6 6 4" xfId="21598"/>
    <cellStyle name="Currency 3 6 7" xfId="6171"/>
    <cellStyle name="Currency 3 6 7 2" xfId="6172"/>
    <cellStyle name="Currency 3 6 7 2 2" xfId="15650"/>
    <cellStyle name="Currency 3 6 7 2 3" xfId="21595"/>
    <cellStyle name="Currency 3 6 7 3" xfId="13514"/>
    <cellStyle name="Currency 3 6 7 3 2" xfId="27063"/>
    <cellStyle name="Currency 3 6 7 4" xfId="21596"/>
    <cellStyle name="Currency 3 6 8" xfId="6173"/>
    <cellStyle name="Currency 3 6 8 2" xfId="14095"/>
    <cellStyle name="Currency 3 6 8 2 2" xfId="27644"/>
    <cellStyle name="Currency 3 6 8 3" xfId="21594"/>
    <cellStyle name="Currency 3 6 9" xfId="6174"/>
    <cellStyle name="Currency 3 6 9 2" xfId="15981"/>
    <cellStyle name="Currency 3 6 9 2 2" xfId="29388"/>
    <cellStyle name="Currency 3 6 9 3" xfId="21593"/>
    <cellStyle name="Currency 3 7" xfId="6175"/>
    <cellStyle name="Currency 3 7 2" xfId="6176"/>
    <cellStyle name="Currency 3 7 2 2" xfId="6177"/>
    <cellStyle name="Currency 3 7 2 2 2" xfId="6178"/>
    <cellStyle name="Currency 3 7 2 2 2 2" xfId="11394"/>
    <cellStyle name="Currency 3 7 2 2 2 3" xfId="21589"/>
    <cellStyle name="Currency 3 7 2 2 3" xfId="6179"/>
    <cellStyle name="Currency 3 7 2 2 3 2" xfId="16871"/>
    <cellStyle name="Currency 3 7 2 2 3 2 2" xfId="30278"/>
    <cellStyle name="Currency 3 7 2 2 3 3" xfId="21588"/>
    <cellStyle name="Currency 3 7 2 2 4" xfId="9910"/>
    <cellStyle name="Currency 3 7 2 2 5" xfId="21590"/>
    <cellStyle name="Currency 3 7 2 3" xfId="6180"/>
    <cellStyle name="Currency 3 7 2 3 2" xfId="6181"/>
    <cellStyle name="Currency 3 7 2 3 2 2" xfId="13192"/>
    <cellStyle name="Currency 3 7 2 3 2 3" xfId="21586"/>
    <cellStyle name="Currency 3 7 2 3 3" xfId="12259"/>
    <cellStyle name="Currency 3 7 2 3 3 2" xfId="25971"/>
    <cellStyle name="Currency 3 7 2 3 4" xfId="21587"/>
    <cellStyle name="Currency 3 7 2 4" xfId="6182"/>
    <cellStyle name="Currency 3 7 2 4 2" xfId="6183"/>
    <cellStyle name="Currency 3 7 2 4 2 2" xfId="15651"/>
    <cellStyle name="Currency 3 7 2 4 2 3" xfId="21584"/>
    <cellStyle name="Currency 3 7 2 4 3" xfId="13823"/>
    <cellStyle name="Currency 3 7 2 4 3 2" xfId="27372"/>
    <cellStyle name="Currency 3 7 2 4 4" xfId="21585"/>
    <cellStyle name="Currency 3 7 2 5" xfId="6184"/>
    <cellStyle name="Currency 3 7 2 5 2" xfId="14404"/>
    <cellStyle name="Currency 3 7 2 5 2 2" xfId="27953"/>
    <cellStyle name="Currency 3 7 2 5 3" xfId="21583"/>
    <cellStyle name="Currency 3 7 2 6" xfId="6185"/>
    <cellStyle name="Currency 3 7 2 6 2" xfId="16290"/>
    <cellStyle name="Currency 3 7 2 6 2 2" xfId="29697"/>
    <cellStyle name="Currency 3 7 2 6 3" xfId="21582"/>
    <cellStyle name="Currency 3 7 2 7" xfId="9909"/>
    <cellStyle name="Currency 3 7 2 8" xfId="21591"/>
    <cellStyle name="Currency 3 7 3" xfId="6186"/>
    <cellStyle name="Currency 3 7 3 2" xfId="6187"/>
    <cellStyle name="Currency 3 7 3 2 2" xfId="11395"/>
    <cellStyle name="Currency 3 7 3 2 3" xfId="21580"/>
    <cellStyle name="Currency 3 7 3 3" xfId="6188"/>
    <cellStyle name="Currency 3 7 3 3 2" xfId="16582"/>
    <cellStyle name="Currency 3 7 3 3 2 2" xfId="29989"/>
    <cellStyle name="Currency 3 7 3 3 3" xfId="21579"/>
    <cellStyle name="Currency 3 7 3 4" xfId="9911"/>
    <cellStyle name="Currency 3 7 3 5" xfId="21581"/>
    <cellStyle name="Currency 3 7 4" xfId="6189"/>
    <cellStyle name="Currency 3 7 4 2" xfId="6190"/>
    <cellStyle name="Currency 3 7 4 2 2" xfId="13193"/>
    <cellStyle name="Currency 3 7 4 2 3" xfId="21577"/>
    <cellStyle name="Currency 3 7 4 3" xfId="11958"/>
    <cellStyle name="Currency 3 7 4 3 2" xfId="25673"/>
    <cellStyle name="Currency 3 7 4 4" xfId="21578"/>
    <cellStyle name="Currency 3 7 5" xfId="6191"/>
    <cellStyle name="Currency 3 7 5 2" xfId="6192"/>
    <cellStyle name="Currency 3 7 5 2 2" xfId="15652"/>
    <cellStyle name="Currency 3 7 5 2 3" xfId="21575"/>
    <cellStyle name="Currency 3 7 5 3" xfId="13534"/>
    <cellStyle name="Currency 3 7 5 3 2" xfId="27083"/>
    <cellStyle name="Currency 3 7 5 4" xfId="21576"/>
    <cellStyle name="Currency 3 7 6" xfId="6193"/>
    <cellStyle name="Currency 3 7 6 2" xfId="14115"/>
    <cellStyle name="Currency 3 7 6 2 2" xfId="27664"/>
    <cellStyle name="Currency 3 7 6 3" xfId="21574"/>
    <cellStyle name="Currency 3 7 7" xfId="6194"/>
    <cellStyle name="Currency 3 7 7 2" xfId="16001"/>
    <cellStyle name="Currency 3 7 7 2 2" xfId="29408"/>
    <cellStyle name="Currency 3 7 7 3" xfId="21573"/>
    <cellStyle name="Currency 3 7 8" xfId="9908"/>
    <cellStyle name="Currency 3 7 9" xfId="21592"/>
    <cellStyle name="Currency 3 8" xfId="6195"/>
    <cellStyle name="Currency 3 8 2" xfId="6196"/>
    <cellStyle name="Currency 3 8 2 2" xfId="6197"/>
    <cellStyle name="Currency 3 8 2 2 2" xfId="11396"/>
    <cellStyle name="Currency 3 8 2 2 3" xfId="21570"/>
    <cellStyle name="Currency 3 8 2 3" xfId="6198"/>
    <cellStyle name="Currency 3 8 2 3 2" xfId="16727"/>
    <cellStyle name="Currency 3 8 2 3 2 2" xfId="30134"/>
    <cellStyle name="Currency 3 8 2 3 3" xfId="21569"/>
    <cellStyle name="Currency 3 8 2 4" xfId="9913"/>
    <cellStyle name="Currency 3 8 2 5" xfId="21571"/>
    <cellStyle name="Currency 3 8 3" xfId="6199"/>
    <cellStyle name="Currency 3 8 3 2" xfId="6200"/>
    <cellStyle name="Currency 3 8 3 2 2" xfId="13194"/>
    <cellStyle name="Currency 3 8 3 2 3" xfId="21567"/>
    <cellStyle name="Currency 3 8 3 3" xfId="12110"/>
    <cellStyle name="Currency 3 8 3 3 2" xfId="25822"/>
    <cellStyle name="Currency 3 8 3 4" xfId="21568"/>
    <cellStyle name="Currency 3 8 4" xfId="6201"/>
    <cellStyle name="Currency 3 8 4 2" xfId="6202"/>
    <cellStyle name="Currency 3 8 4 2 2" xfId="15653"/>
    <cellStyle name="Currency 3 8 4 2 3" xfId="21565"/>
    <cellStyle name="Currency 3 8 4 3" xfId="13679"/>
    <cellStyle name="Currency 3 8 4 3 2" xfId="27228"/>
    <cellStyle name="Currency 3 8 4 4" xfId="21566"/>
    <cellStyle name="Currency 3 8 5" xfId="6203"/>
    <cellStyle name="Currency 3 8 5 2" xfId="14260"/>
    <cellStyle name="Currency 3 8 5 2 2" xfId="27809"/>
    <cellStyle name="Currency 3 8 5 3" xfId="21564"/>
    <cellStyle name="Currency 3 8 6" xfId="6204"/>
    <cellStyle name="Currency 3 8 6 2" xfId="16146"/>
    <cellStyle name="Currency 3 8 6 2 2" xfId="29553"/>
    <cellStyle name="Currency 3 8 6 3" xfId="21563"/>
    <cellStyle name="Currency 3 8 7" xfId="9912"/>
    <cellStyle name="Currency 3 8 8" xfId="21572"/>
    <cellStyle name="Currency 3 9" xfId="6205"/>
    <cellStyle name="Currency 3 9 2" xfId="6206"/>
    <cellStyle name="Currency 3 9 2 2" xfId="6207"/>
    <cellStyle name="Currency 3 9 2 2 2" xfId="11397"/>
    <cellStyle name="Currency 3 9 2 2 3" xfId="21560"/>
    <cellStyle name="Currency 3 9 2 3" xfId="6208"/>
    <cellStyle name="Currency 3 9 2 3 2" xfId="16735"/>
    <cellStyle name="Currency 3 9 2 3 2 2" xfId="30142"/>
    <cellStyle name="Currency 3 9 2 3 3" xfId="21559"/>
    <cellStyle name="Currency 3 9 2 4" xfId="9915"/>
    <cellStyle name="Currency 3 9 2 5" xfId="21561"/>
    <cellStyle name="Currency 3 9 3" xfId="6209"/>
    <cellStyle name="Currency 3 9 3 2" xfId="6210"/>
    <cellStyle name="Currency 3 9 3 2 2" xfId="13195"/>
    <cellStyle name="Currency 3 9 3 2 3" xfId="21557"/>
    <cellStyle name="Currency 3 9 3 3" xfId="12123"/>
    <cellStyle name="Currency 3 9 3 3 2" xfId="25835"/>
    <cellStyle name="Currency 3 9 3 4" xfId="21558"/>
    <cellStyle name="Currency 3 9 4" xfId="6211"/>
    <cellStyle name="Currency 3 9 4 2" xfId="6212"/>
    <cellStyle name="Currency 3 9 4 2 2" xfId="15654"/>
    <cellStyle name="Currency 3 9 4 2 3" xfId="21555"/>
    <cellStyle name="Currency 3 9 4 3" xfId="13687"/>
    <cellStyle name="Currency 3 9 4 3 2" xfId="27236"/>
    <cellStyle name="Currency 3 9 4 4" xfId="21556"/>
    <cellStyle name="Currency 3 9 5" xfId="6213"/>
    <cellStyle name="Currency 3 9 5 2" xfId="14268"/>
    <cellStyle name="Currency 3 9 5 2 2" xfId="27817"/>
    <cellStyle name="Currency 3 9 5 3" xfId="21554"/>
    <cellStyle name="Currency 3 9 6" xfId="6214"/>
    <cellStyle name="Currency 3 9 6 2" xfId="16154"/>
    <cellStyle name="Currency 3 9 6 2 2" xfId="29561"/>
    <cellStyle name="Currency 3 9 6 3" xfId="21553"/>
    <cellStyle name="Currency 3 9 7" xfId="9914"/>
    <cellStyle name="Currency 3 9 8" xfId="21562"/>
    <cellStyle name="Currency 4" xfId="6215"/>
    <cellStyle name="Currency 4 2" xfId="6216"/>
    <cellStyle name="Currency 4 2 2" xfId="6217"/>
    <cellStyle name="Currency 4 2 2 2" xfId="9918"/>
    <cellStyle name="Currency 4 2 2 3" xfId="21550"/>
    <cellStyle name="Currency 4 2 3" xfId="6218"/>
    <cellStyle name="Currency 4 2 3 2" xfId="13196"/>
    <cellStyle name="Currency 4 2 3 3" xfId="21549"/>
    <cellStyle name="Currency 4 2 4" xfId="6219"/>
    <cellStyle name="Currency 4 2 4 2" xfId="17030"/>
    <cellStyle name="Currency 4 2 4 2 2" xfId="30436"/>
    <cellStyle name="Currency 4 2 4 3" xfId="21548"/>
    <cellStyle name="Currency 4 2 5" xfId="9917"/>
    <cellStyle name="Currency 4 2 6" xfId="21551"/>
    <cellStyle name="Currency 4 3" xfId="6220"/>
    <cellStyle name="Currency 4 3 2" xfId="9919"/>
    <cellStyle name="Currency 4 3 3" xfId="21547"/>
    <cellStyle name="Currency 4 4" xfId="6221"/>
    <cellStyle name="Currency 4 4 2" xfId="9920"/>
    <cellStyle name="Currency 4 4 3" xfId="21546"/>
    <cellStyle name="Currency 4 5" xfId="6222"/>
    <cellStyle name="Currency 4 5 2" xfId="13197"/>
    <cellStyle name="Currency 4 5 3" xfId="21545"/>
    <cellStyle name="Currency 4 6" xfId="6223"/>
    <cellStyle name="Currency 4 6 2" xfId="9916"/>
    <cellStyle name="Currency 4 6 3" xfId="21544"/>
    <cellStyle name="Currency 4 7" xfId="8678"/>
    <cellStyle name="Currency 4 8" xfId="21552"/>
    <cellStyle name="Currency 4 9" xfId="33089"/>
    <cellStyle name="Currency 5" xfId="6224"/>
    <cellStyle name="Currency 5 10" xfId="6225"/>
    <cellStyle name="Currency 5 10 2" xfId="15900"/>
    <cellStyle name="Currency 5 10 2 2" xfId="29307"/>
    <cellStyle name="Currency 5 10 3" xfId="21542"/>
    <cellStyle name="Currency 5 11" xfId="6226"/>
    <cellStyle name="Currency 5 11 2" xfId="17335"/>
    <cellStyle name="Currency 5 11 3" xfId="21541"/>
    <cellStyle name="Currency 5 12" xfId="8736"/>
    <cellStyle name="Currency 5 13" xfId="9921"/>
    <cellStyle name="Currency 5 14" xfId="21543"/>
    <cellStyle name="Currency 5 15" xfId="33095"/>
    <cellStyle name="Currency 5 2" xfId="6227"/>
    <cellStyle name="Currency 5 2 10" xfId="21540"/>
    <cellStyle name="Currency 5 2 2" xfId="6228"/>
    <cellStyle name="Currency 5 2 2 2" xfId="6229"/>
    <cellStyle name="Currency 5 2 2 2 2" xfId="6230"/>
    <cellStyle name="Currency 5 2 2 2 2 2" xfId="6231"/>
    <cellStyle name="Currency 5 2 2 2 2 2 2" xfId="11398"/>
    <cellStyle name="Currency 5 2 2 2 2 2 3" xfId="21536"/>
    <cellStyle name="Currency 5 2 2 2 2 3" xfId="6232"/>
    <cellStyle name="Currency 5 2 2 2 2 3 2" xfId="16959"/>
    <cellStyle name="Currency 5 2 2 2 2 3 2 2" xfId="30366"/>
    <cellStyle name="Currency 5 2 2 2 2 3 3" xfId="21535"/>
    <cellStyle name="Currency 5 2 2 2 2 4" xfId="9925"/>
    <cellStyle name="Currency 5 2 2 2 2 5" xfId="21537"/>
    <cellStyle name="Currency 5 2 2 2 3" xfId="6233"/>
    <cellStyle name="Currency 5 2 2 2 3 2" xfId="6234"/>
    <cellStyle name="Currency 5 2 2 2 3 2 2" xfId="13198"/>
    <cellStyle name="Currency 5 2 2 2 3 2 3" xfId="21533"/>
    <cellStyle name="Currency 5 2 2 2 3 3" xfId="12347"/>
    <cellStyle name="Currency 5 2 2 2 3 3 2" xfId="26059"/>
    <cellStyle name="Currency 5 2 2 2 3 4" xfId="21534"/>
    <cellStyle name="Currency 5 2 2 2 4" xfId="6235"/>
    <cellStyle name="Currency 5 2 2 2 4 2" xfId="6236"/>
    <cellStyle name="Currency 5 2 2 2 4 2 2" xfId="15655"/>
    <cellStyle name="Currency 5 2 2 2 4 2 3" xfId="21531"/>
    <cellStyle name="Currency 5 2 2 2 4 3" xfId="13911"/>
    <cellStyle name="Currency 5 2 2 2 4 3 2" xfId="27460"/>
    <cellStyle name="Currency 5 2 2 2 4 4" xfId="21532"/>
    <cellStyle name="Currency 5 2 2 2 5" xfId="6237"/>
    <cellStyle name="Currency 5 2 2 2 5 2" xfId="14492"/>
    <cellStyle name="Currency 5 2 2 2 5 2 2" xfId="28041"/>
    <cellStyle name="Currency 5 2 2 2 5 3" xfId="21530"/>
    <cellStyle name="Currency 5 2 2 2 6" xfId="6238"/>
    <cellStyle name="Currency 5 2 2 2 6 2" xfId="16378"/>
    <cellStyle name="Currency 5 2 2 2 6 2 2" xfId="29785"/>
    <cellStyle name="Currency 5 2 2 2 6 3" xfId="21529"/>
    <cellStyle name="Currency 5 2 2 2 7" xfId="9924"/>
    <cellStyle name="Currency 5 2 2 2 8" xfId="21538"/>
    <cellStyle name="Currency 5 2 2 3" xfId="6239"/>
    <cellStyle name="Currency 5 2 2 3 2" xfId="6240"/>
    <cellStyle name="Currency 5 2 2 3 2 2" xfId="11399"/>
    <cellStyle name="Currency 5 2 2 3 2 3" xfId="21527"/>
    <cellStyle name="Currency 5 2 2 3 3" xfId="6241"/>
    <cellStyle name="Currency 5 2 2 3 3 2" xfId="16670"/>
    <cellStyle name="Currency 5 2 2 3 3 2 2" xfId="30077"/>
    <cellStyle name="Currency 5 2 2 3 3 3" xfId="21526"/>
    <cellStyle name="Currency 5 2 2 3 4" xfId="9926"/>
    <cellStyle name="Currency 5 2 2 3 5" xfId="21528"/>
    <cellStyle name="Currency 5 2 2 4" xfId="6242"/>
    <cellStyle name="Currency 5 2 2 4 2" xfId="6243"/>
    <cellStyle name="Currency 5 2 2 4 2 2" xfId="13199"/>
    <cellStyle name="Currency 5 2 2 4 2 3" xfId="21524"/>
    <cellStyle name="Currency 5 2 2 4 3" xfId="12047"/>
    <cellStyle name="Currency 5 2 2 4 3 2" xfId="25762"/>
    <cellStyle name="Currency 5 2 2 4 4" xfId="21525"/>
    <cellStyle name="Currency 5 2 2 5" xfId="6244"/>
    <cellStyle name="Currency 5 2 2 5 2" xfId="6245"/>
    <cellStyle name="Currency 5 2 2 5 2 2" xfId="15656"/>
    <cellStyle name="Currency 5 2 2 5 2 3" xfId="21522"/>
    <cellStyle name="Currency 5 2 2 5 3" xfId="13622"/>
    <cellStyle name="Currency 5 2 2 5 3 2" xfId="27171"/>
    <cellStyle name="Currency 5 2 2 5 4" xfId="21523"/>
    <cellStyle name="Currency 5 2 2 6" xfId="6246"/>
    <cellStyle name="Currency 5 2 2 6 2" xfId="14203"/>
    <cellStyle name="Currency 5 2 2 6 2 2" xfId="27752"/>
    <cellStyle name="Currency 5 2 2 6 3" xfId="21521"/>
    <cellStyle name="Currency 5 2 2 7" xfId="6247"/>
    <cellStyle name="Currency 5 2 2 7 2" xfId="16089"/>
    <cellStyle name="Currency 5 2 2 7 2 2" xfId="29496"/>
    <cellStyle name="Currency 5 2 2 7 3" xfId="21520"/>
    <cellStyle name="Currency 5 2 2 8" xfId="9923"/>
    <cellStyle name="Currency 5 2 2 9" xfId="21539"/>
    <cellStyle name="Currency 5 2 3" xfId="6248"/>
    <cellStyle name="Currency 5 2 3 2" xfId="6249"/>
    <cellStyle name="Currency 5 2 3 2 2" xfId="6250"/>
    <cellStyle name="Currency 5 2 3 2 2 2" xfId="11400"/>
    <cellStyle name="Currency 5 2 3 2 2 3" xfId="21517"/>
    <cellStyle name="Currency 5 2 3 2 3" xfId="6251"/>
    <cellStyle name="Currency 5 2 3 2 3 2" xfId="16816"/>
    <cellStyle name="Currency 5 2 3 2 3 2 2" xfId="30223"/>
    <cellStyle name="Currency 5 2 3 2 3 3" xfId="21516"/>
    <cellStyle name="Currency 5 2 3 2 4" xfId="9928"/>
    <cellStyle name="Currency 5 2 3 2 5" xfId="21518"/>
    <cellStyle name="Currency 5 2 3 3" xfId="6252"/>
    <cellStyle name="Currency 5 2 3 3 2" xfId="6253"/>
    <cellStyle name="Currency 5 2 3 3 2 2" xfId="13200"/>
    <cellStyle name="Currency 5 2 3 3 2 3" xfId="21514"/>
    <cellStyle name="Currency 5 2 3 3 3" xfId="12204"/>
    <cellStyle name="Currency 5 2 3 3 3 2" xfId="25916"/>
    <cellStyle name="Currency 5 2 3 3 4" xfId="21515"/>
    <cellStyle name="Currency 5 2 3 4" xfId="6254"/>
    <cellStyle name="Currency 5 2 3 4 2" xfId="6255"/>
    <cellStyle name="Currency 5 2 3 4 2 2" xfId="15657"/>
    <cellStyle name="Currency 5 2 3 4 2 3" xfId="21512"/>
    <cellStyle name="Currency 5 2 3 4 3" xfId="13768"/>
    <cellStyle name="Currency 5 2 3 4 3 2" xfId="27317"/>
    <cellStyle name="Currency 5 2 3 4 4" xfId="21513"/>
    <cellStyle name="Currency 5 2 3 5" xfId="6256"/>
    <cellStyle name="Currency 5 2 3 5 2" xfId="14349"/>
    <cellStyle name="Currency 5 2 3 5 2 2" xfId="27898"/>
    <cellStyle name="Currency 5 2 3 5 3" xfId="21511"/>
    <cellStyle name="Currency 5 2 3 6" xfId="6257"/>
    <cellStyle name="Currency 5 2 3 6 2" xfId="16235"/>
    <cellStyle name="Currency 5 2 3 6 2 2" xfId="29642"/>
    <cellStyle name="Currency 5 2 3 6 3" xfId="21510"/>
    <cellStyle name="Currency 5 2 3 7" xfId="9927"/>
    <cellStyle name="Currency 5 2 3 8" xfId="21519"/>
    <cellStyle name="Currency 5 2 4" xfId="6258"/>
    <cellStyle name="Currency 5 2 4 2" xfId="6259"/>
    <cellStyle name="Currency 5 2 4 2 2" xfId="11401"/>
    <cellStyle name="Currency 5 2 4 2 3" xfId="21508"/>
    <cellStyle name="Currency 5 2 4 3" xfId="6260"/>
    <cellStyle name="Currency 5 2 4 3 2" xfId="17163"/>
    <cellStyle name="Currency 5 2 4 3 2 2" xfId="30522"/>
    <cellStyle name="Currency 5 2 4 3 3" xfId="21507"/>
    <cellStyle name="Currency 5 2 4 4" xfId="9929"/>
    <cellStyle name="Currency 5 2 4 5" xfId="21509"/>
    <cellStyle name="Currency 5 2 5" xfId="6261"/>
    <cellStyle name="Currency 5 2 5 2" xfId="6262"/>
    <cellStyle name="Currency 5 2 5 2 2" xfId="13201"/>
    <cellStyle name="Currency 5 2 5 2 3" xfId="21505"/>
    <cellStyle name="Currency 5 2 5 3" xfId="6263"/>
    <cellStyle name="Currency 5 2 5 3 2" xfId="17252"/>
    <cellStyle name="Currency 5 2 5 3 2 2" xfId="30611"/>
    <cellStyle name="Currency 5 2 5 3 3" xfId="21504"/>
    <cellStyle name="Currency 5 2 5 4" xfId="11902"/>
    <cellStyle name="Currency 5 2 5 4 2" xfId="25617"/>
    <cellStyle name="Currency 5 2 5 5" xfId="21506"/>
    <cellStyle name="Currency 5 2 6" xfId="6264"/>
    <cellStyle name="Currency 5 2 6 2" xfId="6265"/>
    <cellStyle name="Currency 5 2 6 2 2" xfId="15658"/>
    <cellStyle name="Currency 5 2 6 2 3" xfId="21502"/>
    <cellStyle name="Currency 5 2 6 3" xfId="6266"/>
    <cellStyle name="Currency 5 2 6 3 2" xfId="16527"/>
    <cellStyle name="Currency 5 2 6 3 2 2" xfId="29934"/>
    <cellStyle name="Currency 5 2 6 3 3" xfId="21501"/>
    <cellStyle name="Currency 5 2 6 4" xfId="13479"/>
    <cellStyle name="Currency 5 2 6 4 2" xfId="27028"/>
    <cellStyle name="Currency 5 2 6 5" xfId="21503"/>
    <cellStyle name="Currency 5 2 7" xfId="6267"/>
    <cellStyle name="Currency 5 2 7 2" xfId="14060"/>
    <cellStyle name="Currency 5 2 7 2 2" xfId="27609"/>
    <cellStyle name="Currency 5 2 7 3" xfId="21500"/>
    <cellStyle name="Currency 5 2 8" xfId="6268"/>
    <cellStyle name="Currency 5 2 8 2" xfId="15946"/>
    <cellStyle name="Currency 5 2 8 2 2" xfId="29353"/>
    <cellStyle name="Currency 5 2 8 3" xfId="21499"/>
    <cellStyle name="Currency 5 2 9" xfId="9922"/>
    <cellStyle name="Currency 5 3" xfId="6269"/>
    <cellStyle name="Currency 5 3 2" xfId="6270"/>
    <cellStyle name="Currency 5 3 2 2" xfId="6271"/>
    <cellStyle name="Currency 5 3 2 2 2" xfId="6272"/>
    <cellStyle name="Currency 5 3 2 2 2 2" xfId="11402"/>
    <cellStyle name="Currency 5 3 2 2 2 3" xfId="21495"/>
    <cellStyle name="Currency 5 3 2 2 3" xfId="6273"/>
    <cellStyle name="Currency 5 3 2 2 3 2" xfId="16913"/>
    <cellStyle name="Currency 5 3 2 2 3 2 2" xfId="30320"/>
    <cellStyle name="Currency 5 3 2 2 3 3" xfId="21494"/>
    <cellStyle name="Currency 5 3 2 2 4" xfId="9932"/>
    <cellStyle name="Currency 5 3 2 2 5" xfId="21496"/>
    <cellStyle name="Currency 5 3 2 3" xfId="6274"/>
    <cellStyle name="Currency 5 3 2 3 2" xfId="6275"/>
    <cellStyle name="Currency 5 3 2 3 2 2" xfId="13202"/>
    <cellStyle name="Currency 5 3 2 3 2 3" xfId="21492"/>
    <cellStyle name="Currency 5 3 2 3 3" xfId="12301"/>
    <cellStyle name="Currency 5 3 2 3 3 2" xfId="26013"/>
    <cellStyle name="Currency 5 3 2 3 4" xfId="21493"/>
    <cellStyle name="Currency 5 3 2 4" xfId="6276"/>
    <cellStyle name="Currency 5 3 2 4 2" xfId="6277"/>
    <cellStyle name="Currency 5 3 2 4 2 2" xfId="15659"/>
    <cellStyle name="Currency 5 3 2 4 2 3" xfId="21490"/>
    <cellStyle name="Currency 5 3 2 4 3" xfId="13865"/>
    <cellStyle name="Currency 5 3 2 4 3 2" xfId="27414"/>
    <cellStyle name="Currency 5 3 2 4 4" xfId="21491"/>
    <cellStyle name="Currency 5 3 2 5" xfId="6278"/>
    <cellStyle name="Currency 5 3 2 5 2" xfId="14446"/>
    <cellStyle name="Currency 5 3 2 5 2 2" xfId="27995"/>
    <cellStyle name="Currency 5 3 2 5 3" xfId="21489"/>
    <cellStyle name="Currency 5 3 2 6" xfId="6279"/>
    <cellStyle name="Currency 5 3 2 6 2" xfId="16332"/>
    <cellStyle name="Currency 5 3 2 6 2 2" xfId="29739"/>
    <cellStyle name="Currency 5 3 2 6 3" xfId="21488"/>
    <cellStyle name="Currency 5 3 2 7" xfId="9931"/>
    <cellStyle name="Currency 5 3 2 8" xfId="21497"/>
    <cellStyle name="Currency 5 3 3" xfId="6280"/>
    <cellStyle name="Currency 5 3 3 2" xfId="6281"/>
    <cellStyle name="Currency 5 3 3 2 2" xfId="11403"/>
    <cellStyle name="Currency 5 3 3 2 3" xfId="21486"/>
    <cellStyle name="Currency 5 3 3 3" xfId="6282"/>
    <cellStyle name="Currency 5 3 3 3 2" xfId="16624"/>
    <cellStyle name="Currency 5 3 3 3 2 2" xfId="30031"/>
    <cellStyle name="Currency 5 3 3 3 3" xfId="21485"/>
    <cellStyle name="Currency 5 3 3 4" xfId="9933"/>
    <cellStyle name="Currency 5 3 3 5" xfId="21487"/>
    <cellStyle name="Currency 5 3 4" xfId="6283"/>
    <cellStyle name="Currency 5 3 4 2" xfId="6284"/>
    <cellStyle name="Currency 5 3 4 2 2" xfId="13203"/>
    <cellStyle name="Currency 5 3 4 2 3" xfId="21483"/>
    <cellStyle name="Currency 5 3 4 3" xfId="12001"/>
    <cellStyle name="Currency 5 3 4 3 2" xfId="25716"/>
    <cellStyle name="Currency 5 3 4 4" xfId="21484"/>
    <cellStyle name="Currency 5 3 5" xfId="6285"/>
    <cellStyle name="Currency 5 3 5 2" xfId="6286"/>
    <cellStyle name="Currency 5 3 5 2 2" xfId="15660"/>
    <cellStyle name="Currency 5 3 5 2 3" xfId="21481"/>
    <cellStyle name="Currency 5 3 5 3" xfId="13576"/>
    <cellStyle name="Currency 5 3 5 3 2" xfId="27125"/>
    <cellStyle name="Currency 5 3 5 4" xfId="21482"/>
    <cellStyle name="Currency 5 3 6" xfId="6287"/>
    <cellStyle name="Currency 5 3 6 2" xfId="14157"/>
    <cellStyle name="Currency 5 3 6 2 2" xfId="27706"/>
    <cellStyle name="Currency 5 3 6 3" xfId="21480"/>
    <cellStyle name="Currency 5 3 7" xfId="6288"/>
    <cellStyle name="Currency 5 3 7 2" xfId="16043"/>
    <cellStyle name="Currency 5 3 7 2 2" xfId="29450"/>
    <cellStyle name="Currency 5 3 7 3" xfId="21479"/>
    <cellStyle name="Currency 5 3 8" xfId="9930"/>
    <cellStyle name="Currency 5 3 9" xfId="21498"/>
    <cellStyle name="Currency 5 4" xfId="6289"/>
    <cellStyle name="Currency 5 4 2" xfId="6290"/>
    <cellStyle name="Currency 5 4 2 2" xfId="6291"/>
    <cellStyle name="Currency 5 4 2 2 2" xfId="11404"/>
    <cellStyle name="Currency 5 4 2 2 3" xfId="21476"/>
    <cellStyle name="Currency 5 4 2 3" xfId="6292"/>
    <cellStyle name="Currency 5 4 2 3 2" xfId="16770"/>
    <cellStyle name="Currency 5 4 2 3 2 2" xfId="30177"/>
    <cellStyle name="Currency 5 4 2 3 3" xfId="21475"/>
    <cellStyle name="Currency 5 4 2 4" xfId="9935"/>
    <cellStyle name="Currency 5 4 2 5" xfId="21477"/>
    <cellStyle name="Currency 5 4 3" xfId="6293"/>
    <cellStyle name="Currency 5 4 3 2" xfId="6294"/>
    <cellStyle name="Currency 5 4 3 2 2" xfId="13204"/>
    <cellStyle name="Currency 5 4 3 2 3" xfId="21473"/>
    <cellStyle name="Currency 5 4 3 3" xfId="12158"/>
    <cellStyle name="Currency 5 4 3 3 2" xfId="25870"/>
    <cellStyle name="Currency 5 4 3 4" xfId="21474"/>
    <cellStyle name="Currency 5 4 4" xfId="6295"/>
    <cellStyle name="Currency 5 4 4 2" xfId="6296"/>
    <cellStyle name="Currency 5 4 4 2 2" xfId="15661"/>
    <cellStyle name="Currency 5 4 4 2 3" xfId="21471"/>
    <cellStyle name="Currency 5 4 4 3" xfId="13722"/>
    <cellStyle name="Currency 5 4 4 3 2" xfId="27271"/>
    <cellStyle name="Currency 5 4 4 4" xfId="21472"/>
    <cellStyle name="Currency 5 4 5" xfId="6297"/>
    <cellStyle name="Currency 5 4 5 2" xfId="14303"/>
    <cellStyle name="Currency 5 4 5 2 2" xfId="27852"/>
    <cellStyle name="Currency 5 4 5 3" xfId="21470"/>
    <cellStyle name="Currency 5 4 6" xfId="6298"/>
    <cellStyle name="Currency 5 4 6 2" xfId="16189"/>
    <cellStyle name="Currency 5 4 6 2 2" xfId="29596"/>
    <cellStyle name="Currency 5 4 6 3" xfId="21469"/>
    <cellStyle name="Currency 5 4 7" xfId="9934"/>
    <cellStyle name="Currency 5 4 8" xfId="21478"/>
    <cellStyle name="Currency 5 5" xfId="6299"/>
    <cellStyle name="Currency 5 5 2" xfId="6300"/>
    <cellStyle name="Currency 5 5 2 2" xfId="17031"/>
    <cellStyle name="Currency 5 5 2 2 2" xfId="30437"/>
    <cellStyle name="Currency 5 5 2 3" xfId="21467"/>
    <cellStyle name="Currency 5 5 3" xfId="9936"/>
    <cellStyle name="Currency 5 5 4" xfId="21468"/>
    <cellStyle name="Currency 5 6" xfId="6301"/>
    <cellStyle name="Currency 5 6 2" xfId="6302"/>
    <cellStyle name="Currency 5 6 2 2" xfId="11405"/>
    <cellStyle name="Currency 5 6 2 3" xfId="21465"/>
    <cellStyle name="Currency 5 6 3" xfId="6303"/>
    <cellStyle name="Currency 5 6 3 2" xfId="17117"/>
    <cellStyle name="Currency 5 6 3 2 2" xfId="30476"/>
    <cellStyle name="Currency 5 6 3 3" xfId="21464"/>
    <cellStyle name="Currency 5 6 4" xfId="9937"/>
    <cellStyle name="Currency 5 6 5" xfId="21466"/>
    <cellStyle name="Currency 5 7" xfId="6304"/>
    <cellStyle name="Currency 5 7 2" xfId="6305"/>
    <cellStyle name="Currency 5 7 2 2" xfId="13205"/>
    <cellStyle name="Currency 5 7 2 3" xfId="21462"/>
    <cellStyle name="Currency 5 7 3" xfId="6306"/>
    <cellStyle name="Currency 5 7 3 2" xfId="17206"/>
    <cellStyle name="Currency 5 7 3 2 2" xfId="30565"/>
    <cellStyle name="Currency 5 7 3 3" xfId="21461"/>
    <cellStyle name="Currency 5 7 4" xfId="11832"/>
    <cellStyle name="Currency 5 7 4 2" xfId="25547"/>
    <cellStyle name="Currency 5 7 5" xfId="21463"/>
    <cellStyle name="Currency 5 8" xfId="6307"/>
    <cellStyle name="Currency 5 8 2" xfId="6308"/>
    <cellStyle name="Currency 5 8 2 2" xfId="15662"/>
    <cellStyle name="Currency 5 8 2 3" xfId="21459"/>
    <cellStyle name="Currency 5 8 3" xfId="6309"/>
    <cellStyle name="Currency 5 8 3 2" xfId="16481"/>
    <cellStyle name="Currency 5 8 3 2 2" xfId="29888"/>
    <cellStyle name="Currency 5 8 3 3" xfId="21458"/>
    <cellStyle name="Currency 5 8 4" xfId="13433"/>
    <cellStyle name="Currency 5 8 4 2" xfId="26982"/>
    <cellStyle name="Currency 5 8 5" xfId="21460"/>
    <cellStyle name="Currency 5 9" xfId="6310"/>
    <cellStyle name="Currency 5 9 2" xfId="14014"/>
    <cellStyle name="Currency 5 9 2 2" xfId="27563"/>
    <cellStyle name="Currency 5 9 3" xfId="21457"/>
    <cellStyle name="Currency 6" xfId="6311"/>
    <cellStyle name="Currency 6 2" xfId="6312"/>
    <cellStyle name="Currency 6 2 2" xfId="17032"/>
    <cellStyle name="Currency 6 2 2 2" xfId="30438"/>
    <cellStyle name="Currency 6 2 3" xfId="21455"/>
    <cellStyle name="Currency 6 3" xfId="6313"/>
    <cellStyle name="Currency 6 3 2" xfId="17336"/>
    <cellStyle name="Currency 6 3 3" xfId="21454"/>
    <cellStyle name="Currency 6 4" xfId="8733"/>
    <cellStyle name="Currency 6 5" xfId="21456"/>
    <cellStyle name="Currency 6 6" xfId="33085"/>
    <cellStyle name="Currency 7" xfId="6314"/>
    <cellStyle name="Currency 7 2" xfId="9938"/>
    <cellStyle name="Currency 7 3" xfId="21453"/>
    <cellStyle name="Currency 8" xfId="6315"/>
    <cellStyle name="Currency 8 10" xfId="21452"/>
    <cellStyle name="Currency 8 2" xfId="6316"/>
    <cellStyle name="Currency 8 2 2" xfId="6317"/>
    <cellStyle name="Currency 8 2 2 2" xfId="6318"/>
    <cellStyle name="Currency 8 2 2 2 2" xfId="6319"/>
    <cellStyle name="Currency 8 2 2 2 2 2" xfId="11406"/>
    <cellStyle name="Currency 8 2 2 2 2 3" xfId="21448"/>
    <cellStyle name="Currency 8 2 2 2 3" xfId="6320"/>
    <cellStyle name="Currency 8 2 2 2 3 2" xfId="16936"/>
    <cellStyle name="Currency 8 2 2 2 3 2 2" xfId="30343"/>
    <cellStyle name="Currency 8 2 2 2 3 3" xfId="21447"/>
    <cellStyle name="Currency 8 2 2 2 4" xfId="9942"/>
    <cellStyle name="Currency 8 2 2 2 5" xfId="21449"/>
    <cellStyle name="Currency 8 2 2 3" xfId="6321"/>
    <cellStyle name="Currency 8 2 2 3 2" xfId="6322"/>
    <cellStyle name="Currency 8 2 2 3 2 2" xfId="13206"/>
    <cellStyle name="Currency 8 2 2 3 2 3" xfId="21445"/>
    <cellStyle name="Currency 8 2 2 3 3" xfId="12324"/>
    <cellStyle name="Currency 8 2 2 3 3 2" xfId="26036"/>
    <cellStyle name="Currency 8 2 2 3 4" xfId="21446"/>
    <cellStyle name="Currency 8 2 2 4" xfId="6323"/>
    <cellStyle name="Currency 8 2 2 4 2" xfId="6324"/>
    <cellStyle name="Currency 8 2 2 4 2 2" xfId="15663"/>
    <cellStyle name="Currency 8 2 2 4 2 3" xfId="21443"/>
    <cellStyle name="Currency 8 2 2 4 3" xfId="13888"/>
    <cellStyle name="Currency 8 2 2 4 3 2" xfId="27437"/>
    <cellStyle name="Currency 8 2 2 4 4" xfId="21444"/>
    <cellStyle name="Currency 8 2 2 5" xfId="6325"/>
    <cellStyle name="Currency 8 2 2 5 2" xfId="14469"/>
    <cellStyle name="Currency 8 2 2 5 2 2" xfId="28018"/>
    <cellStyle name="Currency 8 2 2 5 3" xfId="21442"/>
    <cellStyle name="Currency 8 2 2 6" xfId="6326"/>
    <cellStyle name="Currency 8 2 2 6 2" xfId="16355"/>
    <cellStyle name="Currency 8 2 2 6 2 2" xfId="29762"/>
    <cellStyle name="Currency 8 2 2 6 3" xfId="21441"/>
    <cellStyle name="Currency 8 2 2 7" xfId="9941"/>
    <cellStyle name="Currency 8 2 2 8" xfId="21450"/>
    <cellStyle name="Currency 8 2 3" xfId="6327"/>
    <cellStyle name="Currency 8 2 3 2" xfId="6328"/>
    <cellStyle name="Currency 8 2 3 2 2" xfId="11407"/>
    <cellStyle name="Currency 8 2 3 2 3" xfId="21439"/>
    <cellStyle name="Currency 8 2 3 3" xfId="6329"/>
    <cellStyle name="Currency 8 2 3 3 2" xfId="16647"/>
    <cellStyle name="Currency 8 2 3 3 2 2" xfId="30054"/>
    <cellStyle name="Currency 8 2 3 3 3" xfId="21438"/>
    <cellStyle name="Currency 8 2 3 4" xfId="9943"/>
    <cellStyle name="Currency 8 2 3 5" xfId="21440"/>
    <cellStyle name="Currency 8 2 4" xfId="6330"/>
    <cellStyle name="Currency 8 2 4 2" xfId="6331"/>
    <cellStyle name="Currency 8 2 4 2 2" xfId="13207"/>
    <cellStyle name="Currency 8 2 4 2 3" xfId="21436"/>
    <cellStyle name="Currency 8 2 4 3" xfId="12024"/>
    <cellStyle name="Currency 8 2 4 3 2" xfId="25739"/>
    <cellStyle name="Currency 8 2 4 4" xfId="21437"/>
    <cellStyle name="Currency 8 2 5" xfId="6332"/>
    <cellStyle name="Currency 8 2 5 2" xfId="6333"/>
    <cellStyle name="Currency 8 2 5 2 2" xfId="15664"/>
    <cellStyle name="Currency 8 2 5 2 3" xfId="21434"/>
    <cellStyle name="Currency 8 2 5 3" xfId="13599"/>
    <cellStyle name="Currency 8 2 5 3 2" xfId="27148"/>
    <cellStyle name="Currency 8 2 5 4" xfId="21435"/>
    <cellStyle name="Currency 8 2 6" xfId="6334"/>
    <cellStyle name="Currency 8 2 6 2" xfId="14180"/>
    <cellStyle name="Currency 8 2 6 2 2" xfId="27729"/>
    <cellStyle name="Currency 8 2 6 3" xfId="21433"/>
    <cellStyle name="Currency 8 2 7" xfId="6335"/>
    <cellStyle name="Currency 8 2 7 2" xfId="16066"/>
    <cellStyle name="Currency 8 2 7 2 2" xfId="29473"/>
    <cellStyle name="Currency 8 2 7 3" xfId="21432"/>
    <cellStyle name="Currency 8 2 8" xfId="9940"/>
    <cellStyle name="Currency 8 2 9" xfId="21451"/>
    <cellStyle name="Currency 8 3" xfId="6336"/>
    <cellStyle name="Currency 8 3 2" xfId="6337"/>
    <cellStyle name="Currency 8 3 2 2" xfId="6338"/>
    <cellStyle name="Currency 8 3 2 2 2" xfId="11408"/>
    <cellStyle name="Currency 8 3 2 2 3" xfId="21429"/>
    <cellStyle name="Currency 8 3 2 3" xfId="6339"/>
    <cellStyle name="Currency 8 3 2 3 2" xfId="16793"/>
    <cellStyle name="Currency 8 3 2 3 2 2" xfId="30200"/>
    <cellStyle name="Currency 8 3 2 3 3" xfId="21428"/>
    <cellStyle name="Currency 8 3 2 4" xfId="9945"/>
    <cellStyle name="Currency 8 3 2 5" xfId="21430"/>
    <cellStyle name="Currency 8 3 3" xfId="6340"/>
    <cellStyle name="Currency 8 3 3 2" xfId="6341"/>
    <cellStyle name="Currency 8 3 3 2 2" xfId="13208"/>
    <cellStyle name="Currency 8 3 3 2 3" xfId="21426"/>
    <cellStyle name="Currency 8 3 3 3" xfId="12181"/>
    <cellStyle name="Currency 8 3 3 3 2" xfId="25893"/>
    <cellStyle name="Currency 8 3 3 4" xfId="21427"/>
    <cellStyle name="Currency 8 3 4" xfId="6342"/>
    <cellStyle name="Currency 8 3 4 2" xfId="6343"/>
    <cellStyle name="Currency 8 3 4 2 2" xfId="15665"/>
    <cellStyle name="Currency 8 3 4 2 3" xfId="21424"/>
    <cellStyle name="Currency 8 3 4 3" xfId="13745"/>
    <cellStyle name="Currency 8 3 4 3 2" xfId="27294"/>
    <cellStyle name="Currency 8 3 4 4" xfId="21425"/>
    <cellStyle name="Currency 8 3 5" xfId="6344"/>
    <cellStyle name="Currency 8 3 5 2" xfId="14326"/>
    <cellStyle name="Currency 8 3 5 2 2" xfId="27875"/>
    <cellStyle name="Currency 8 3 5 3" xfId="21423"/>
    <cellStyle name="Currency 8 3 6" xfId="6345"/>
    <cellStyle name="Currency 8 3 6 2" xfId="16212"/>
    <cellStyle name="Currency 8 3 6 2 2" xfId="29619"/>
    <cellStyle name="Currency 8 3 6 3" xfId="21422"/>
    <cellStyle name="Currency 8 3 7" xfId="9944"/>
    <cellStyle name="Currency 8 3 8" xfId="21431"/>
    <cellStyle name="Currency 8 4" xfId="6346"/>
    <cellStyle name="Currency 8 4 2" xfId="6347"/>
    <cellStyle name="Currency 8 4 2 2" xfId="11409"/>
    <cellStyle name="Currency 8 4 2 3" xfId="21420"/>
    <cellStyle name="Currency 8 4 3" xfId="6348"/>
    <cellStyle name="Currency 8 4 3 2" xfId="17140"/>
    <cellStyle name="Currency 8 4 3 2 2" xfId="30499"/>
    <cellStyle name="Currency 8 4 3 3" xfId="21419"/>
    <cellStyle name="Currency 8 4 4" xfId="9946"/>
    <cellStyle name="Currency 8 4 5" xfId="21421"/>
    <cellStyle name="Currency 8 5" xfId="6349"/>
    <cellStyle name="Currency 8 5 2" xfId="6350"/>
    <cellStyle name="Currency 8 5 2 2" xfId="13209"/>
    <cellStyle name="Currency 8 5 2 3" xfId="21417"/>
    <cellStyle name="Currency 8 5 3" xfId="6351"/>
    <cellStyle name="Currency 8 5 3 2" xfId="17229"/>
    <cellStyle name="Currency 8 5 3 2 2" xfId="30588"/>
    <cellStyle name="Currency 8 5 3 3" xfId="21416"/>
    <cellStyle name="Currency 8 5 4" xfId="11876"/>
    <cellStyle name="Currency 8 5 4 2" xfId="25591"/>
    <cellStyle name="Currency 8 5 5" xfId="21418"/>
    <cellStyle name="Currency 8 6" xfId="6352"/>
    <cellStyle name="Currency 8 6 2" xfId="6353"/>
    <cellStyle name="Currency 8 6 2 2" xfId="15666"/>
    <cellStyle name="Currency 8 6 2 3" xfId="21414"/>
    <cellStyle name="Currency 8 6 3" xfId="6354"/>
    <cellStyle name="Currency 8 6 3 2" xfId="16504"/>
    <cellStyle name="Currency 8 6 3 2 2" xfId="29911"/>
    <cellStyle name="Currency 8 6 3 3" xfId="21413"/>
    <cellStyle name="Currency 8 6 4" xfId="13456"/>
    <cellStyle name="Currency 8 6 4 2" xfId="27005"/>
    <cellStyle name="Currency 8 6 5" xfId="21415"/>
    <cellStyle name="Currency 8 7" xfId="6355"/>
    <cellStyle name="Currency 8 7 2" xfId="14037"/>
    <cellStyle name="Currency 8 7 2 2" xfId="27586"/>
    <cellStyle name="Currency 8 7 3" xfId="21412"/>
    <cellStyle name="Currency 8 8" xfId="6356"/>
    <cellStyle name="Currency 8 8 2" xfId="15923"/>
    <cellStyle name="Currency 8 8 2 2" xfId="29330"/>
    <cellStyle name="Currency 8 8 3" xfId="21411"/>
    <cellStyle name="Currency 8 9" xfId="9939"/>
    <cellStyle name="Currency 9" xfId="6357"/>
    <cellStyle name="Currency 9 2" xfId="9947"/>
    <cellStyle name="Currency 9 3" xfId="21410"/>
    <cellStyle name="Currency0" xfId="6358"/>
    <cellStyle name="Currency0 2" xfId="6359"/>
    <cellStyle name="Currency0 2 2" xfId="6360"/>
    <cellStyle name="Currency0 2 2 2" xfId="17033"/>
    <cellStyle name="Currency0 2 2 3" xfId="21407"/>
    <cellStyle name="Currency0 2 3" xfId="8669"/>
    <cellStyle name="Currency0 2 4" xfId="21408"/>
    <cellStyle name="Currency0 3" xfId="6361"/>
    <cellStyle name="Currency0 3 2" xfId="8727"/>
    <cellStyle name="Currency0 3 2 2" xfId="17337"/>
    <cellStyle name="Currency0 3 3" xfId="17296"/>
    <cellStyle name="Currency0 3 4" xfId="9948"/>
    <cellStyle name="Currency0 3 5" xfId="21406"/>
    <cellStyle name="Currency0 4" xfId="8662"/>
    <cellStyle name="Currency0 5" xfId="21409"/>
    <cellStyle name="Date" xfId="6362"/>
    <cellStyle name="Date 2" xfId="6363"/>
    <cellStyle name="Date 2 2" xfId="6364"/>
    <cellStyle name="Date 2 2 2" xfId="17034"/>
    <cellStyle name="Date 2 2 3" xfId="21403"/>
    <cellStyle name="Date 2 3" xfId="8697"/>
    <cellStyle name="Date 2 4" xfId="21404"/>
    <cellStyle name="Date 3" xfId="6365"/>
    <cellStyle name="Date 3 2" xfId="8670"/>
    <cellStyle name="Date 3 3" xfId="21402"/>
    <cellStyle name="Date 4" xfId="6366"/>
    <cellStyle name="Date 4 2" xfId="8741"/>
    <cellStyle name="Date 4 2 2" xfId="17338"/>
    <cellStyle name="Date 4 3" xfId="17297"/>
    <cellStyle name="Date 4 4" xfId="9949"/>
    <cellStyle name="Date 4 5" xfId="30691"/>
    <cellStyle name="Date 5" xfId="8661"/>
    <cellStyle name="Date 6" xfId="21405"/>
    <cellStyle name="Explanatory Text" xfId="33036" builtinId="53" customBuiltin="1"/>
    <cellStyle name="Explanatory Text 2" xfId="6368"/>
    <cellStyle name="Explanatory Text 2 2" xfId="8740"/>
    <cellStyle name="Explanatory Text 2 3" xfId="30693"/>
    <cellStyle name="Explanatory Text 2 4" xfId="33059"/>
    <cellStyle name="Explanatory Text 3" xfId="8815"/>
    <cellStyle name="Explanatory Text 4" xfId="30692"/>
    <cellStyle name="Explanatory Text 5" xfId="6367"/>
    <cellStyle name="Fixed" xfId="6369"/>
    <cellStyle name="Fixed 2" xfId="6370"/>
    <cellStyle name="Fixed 2 2" xfId="6371"/>
    <cellStyle name="Fixed 2 2 2" xfId="17035"/>
    <cellStyle name="Fixed 2 2 3" xfId="30696"/>
    <cellStyle name="Fixed 2 3" xfId="8671"/>
    <cellStyle name="Fixed 2 4" xfId="30695"/>
    <cellStyle name="Fixed 3" xfId="6372"/>
    <cellStyle name="Fixed 3 2" xfId="8731"/>
    <cellStyle name="Fixed 3 2 2" xfId="17339"/>
    <cellStyle name="Fixed 3 3" xfId="17298"/>
    <cellStyle name="Fixed 3 4" xfId="9950"/>
    <cellStyle name="Fixed 3 5" xfId="30697"/>
    <cellStyle name="Fixed 4" xfId="8663"/>
    <cellStyle name="Fixed 5" xfId="30694"/>
    <cellStyle name="Good" xfId="19" builtinId="26" customBuiltin="1"/>
    <cellStyle name="Good 10" xfId="6373"/>
    <cellStyle name="Good 10 2" xfId="9952"/>
    <cellStyle name="Good 10 3" xfId="30698"/>
    <cellStyle name="Good 11" xfId="6374"/>
    <cellStyle name="Good 11 2" xfId="9953"/>
    <cellStyle name="Good 11 3" xfId="30699"/>
    <cellStyle name="Good 12" xfId="6375"/>
    <cellStyle name="Good 12 2" xfId="6376"/>
    <cellStyle name="Good 12 2 2" xfId="15667"/>
    <cellStyle name="Good 12 2 3" xfId="30701"/>
    <cellStyle name="Good 12 3" xfId="10489"/>
    <cellStyle name="Good 12 4" xfId="30700"/>
    <cellStyle name="Good 13" xfId="6377"/>
    <cellStyle name="Good 13 2" xfId="11410"/>
    <cellStyle name="Good 13 3" xfId="30702"/>
    <cellStyle name="Good 14" xfId="6378"/>
    <cellStyle name="Good 14 2" xfId="9951"/>
    <cellStyle name="Good 14 3" xfId="30703"/>
    <cellStyle name="Good 2" xfId="6379"/>
    <cellStyle name="Good 2 2" xfId="9954"/>
    <cellStyle name="Good 2 3" xfId="30704"/>
    <cellStyle name="Good 2 4" xfId="33049"/>
    <cellStyle name="Good 3" xfId="6380"/>
    <cellStyle name="Good 3 2" xfId="6381"/>
    <cellStyle name="Good 3 2 2" xfId="9956"/>
    <cellStyle name="Good 3 2 3" xfId="30706"/>
    <cellStyle name="Good 3 3" xfId="9955"/>
    <cellStyle name="Good 3 4" xfId="30705"/>
    <cellStyle name="Good 4" xfId="6382"/>
    <cellStyle name="Good 4 2" xfId="6383"/>
    <cellStyle name="Good 4 2 2" xfId="13211"/>
    <cellStyle name="Good 4 2 3" xfId="30708"/>
    <cellStyle name="Good 4 3" xfId="6384"/>
    <cellStyle name="Good 4 3 2" xfId="13210"/>
    <cellStyle name="Good 4 3 3" xfId="30709"/>
    <cellStyle name="Good 4 4" xfId="9957"/>
    <cellStyle name="Good 4 5" xfId="30707"/>
    <cellStyle name="Good 5" xfId="6385"/>
    <cellStyle name="Good 5 2" xfId="6386"/>
    <cellStyle name="Good 5 2 2" xfId="9959"/>
    <cellStyle name="Good 5 2 3" xfId="30711"/>
    <cellStyle name="Good 5 3" xfId="9958"/>
    <cellStyle name="Good 5 4" xfId="30710"/>
    <cellStyle name="Good 6" xfId="6387"/>
    <cellStyle name="Good 6 2" xfId="9960"/>
    <cellStyle name="Good 6 3" xfId="30712"/>
    <cellStyle name="Good 7" xfId="6388"/>
    <cellStyle name="Good 7 2" xfId="9961"/>
    <cellStyle name="Good 7 3" xfId="30713"/>
    <cellStyle name="Good 8" xfId="6389"/>
    <cellStyle name="Good 8 2" xfId="9962"/>
    <cellStyle name="Good 8 3" xfId="30714"/>
    <cellStyle name="Good 9" xfId="6390"/>
    <cellStyle name="Good 9 2" xfId="9963"/>
    <cellStyle name="Good 9 3" xfId="30715"/>
    <cellStyle name="Heading 1" xfId="15" builtinId="16" customBuiltin="1"/>
    <cellStyle name="Heading 1 2" xfId="6391"/>
    <cellStyle name="Heading 1 2 10" xfId="6392"/>
    <cellStyle name="Heading 1 2 10 2" xfId="6393"/>
    <cellStyle name="Heading 1 2 10 2 2" xfId="11412"/>
    <cellStyle name="Heading 1 2 10 2 3" xfId="30718"/>
    <cellStyle name="Heading 1 2 10 3" xfId="9966"/>
    <cellStyle name="Heading 1 2 10 4" xfId="30717"/>
    <cellStyle name="Heading 1 2 11" xfId="6394"/>
    <cellStyle name="Heading 1 2 11 2" xfId="6395"/>
    <cellStyle name="Heading 1 2 11 2 2" xfId="11413"/>
    <cellStyle name="Heading 1 2 11 2 3" xfId="30720"/>
    <cellStyle name="Heading 1 2 11 3" xfId="9967"/>
    <cellStyle name="Heading 1 2 11 4" xfId="30719"/>
    <cellStyle name="Heading 1 2 12" xfId="6396"/>
    <cellStyle name="Heading 1 2 12 2" xfId="6397"/>
    <cellStyle name="Heading 1 2 12 2 2" xfId="11414"/>
    <cellStyle name="Heading 1 2 12 2 3" xfId="30722"/>
    <cellStyle name="Heading 1 2 12 3" xfId="9968"/>
    <cellStyle name="Heading 1 2 12 4" xfId="30721"/>
    <cellStyle name="Heading 1 2 13" xfId="6398"/>
    <cellStyle name="Heading 1 2 13 2" xfId="6399"/>
    <cellStyle name="Heading 1 2 13 2 2" xfId="15668"/>
    <cellStyle name="Heading 1 2 13 2 3" xfId="30724"/>
    <cellStyle name="Heading 1 2 13 3" xfId="9969"/>
    <cellStyle name="Heading 1 2 13 4" xfId="30723"/>
    <cellStyle name="Heading 1 2 14" xfId="6400"/>
    <cellStyle name="Heading 1 2 14 2" xfId="6401"/>
    <cellStyle name="Heading 1 2 14 2 2" xfId="15669"/>
    <cellStyle name="Heading 1 2 14 2 3" xfId="30726"/>
    <cellStyle name="Heading 1 2 14 3" xfId="10490"/>
    <cellStyle name="Heading 1 2 14 4" xfId="30725"/>
    <cellStyle name="Heading 1 2 15" xfId="6402"/>
    <cellStyle name="Heading 1 2 15 2" xfId="11411"/>
    <cellStyle name="Heading 1 2 15 3" xfId="30727"/>
    <cellStyle name="Heading 1 2 16" xfId="8664"/>
    <cellStyle name="Heading 1 2 16 2" xfId="9965"/>
    <cellStyle name="Heading 1 2 17" xfId="17303"/>
    <cellStyle name="Heading 1 2 18" xfId="30716"/>
    <cellStyle name="Heading 1 2 19" xfId="33045"/>
    <cellStyle name="Heading 1 2 2" xfId="6403"/>
    <cellStyle name="Heading 1 2 2 2" xfId="6404"/>
    <cellStyle name="Heading 1 2 2 2 2" xfId="6405"/>
    <cellStyle name="Heading 1 2 2 2 2 2" xfId="11415"/>
    <cellStyle name="Heading 1 2 2 2 2 3" xfId="30730"/>
    <cellStyle name="Heading 1 2 2 2 3" xfId="9971"/>
    <cellStyle name="Heading 1 2 2 2 4" xfId="30729"/>
    <cellStyle name="Heading 1 2 2 3" xfId="6406"/>
    <cellStyle name="Heading 1 2 2 3 2" xfId="6407"/>
    <cellStyle name="Heading 1 2 2 3 2 2" xfId="15670"/>
    <cellStyle name="Heading 1 2 2 3 2 3" xfId="30732"/>
    <cellStyle name="Heading 1 2 2 3 3" xfId="11664"/>
    <cellStyle name="Heading 1 2 2 3 4" xfId="30731"/>
    <cellStyle name="Heading 1 2 2 4" xfId="6408"/>
    <cellStyle name="Heading 1 2 2 4 2" xfId="12089"/>
    <cellStyle name="Heading 1 2 2 4 3" xfId="30733"/>
    <cellStyle name="Heading 1 2 2 5" xfId="6409"/>
    <cellStyle name="Heading 1 2 2 5 2" xfId="9970"/>
    <cellStyle name="Heading 1 2 2 5 3" xfId="30734"/>
    <cellStyle name="Heading 1 2 2 6" xfId="8693"/>
    <cellStyle name="Heading 1 2 2 7" xfId="30728"/>
    <cellStyle name="Heading 1 2 3" xfId="6410"/>
    <cellStyle name="Heading 1 2 3 2" xfId="6411"/>
    <cellStyle name="Heading 1 2 3 2 2" xfId="9973"/>
    <cellStyle name="Heading 1 2 3 2 3" xfId="30736"/>
    <cellStyle name="Heading 1 2 3 3" xfId="6412"/>
    <cellStyle name="Heading 1 2 3 3 2" xfId="11416"/>
    <cellStyle name="Heading 1 2 3 3 3" xfId="30737"/>
    <cellStyle name="Heading 1 2 3 4" xfId="6413"/>
    <cellStyle name="Heading 1 2 3 4 2" xfId="17340"/>
    <cellStyle name="Heading 1 2 3 4 3" xfId="30738"/>
    <cellStyle name="Heading 1 2 3 5" xfId="8725"/>
    <cellStyle name="Heading 1 2 3 6" xfId="9972"/>
    <cellStyle name="Heading 1 2 3 7" xfId="30735"/>
    <cellStyle name="Heading 1 2 4" xfId="6414"/>
    <cellStyle name="Heading 1 2 4 2" xfId="6415"/>
    <cellStyle name="Heading 1 2 4 2 2" xfId="9975"/>
    <cellStyle name="Heading 1 2 4 2 3" xfId="30740"/>
    <cellStyle name="Heading 1 2 4 3" xfId="6416"/>
    <cellStyle name="Heading 1 2 4 3 2" xfId="13213"/>
    <cellStyle name="Heading 1 2 4 3 3" xfId="30741"/>
    <cellStyle name="Heading 1 2 4 4" xfId="6417"/>
    <cellStyle name="Heading 1 2 4 4 2" xfId="13212"/>
    <cellStyle name="Heading 1 2 4 4 3" xfId="30742"/>
    <cellStyle name="Heading 1 2 4 5" xfId="9974"/>
    <cellStyle name="Heading 1 2 4 6" xfId="30739"/>
    <cellStyle name="Heading 1 2 5" xfId="6418"/>
    <cellStyle name="Heading 1 2 5 2" xfId="6419"/>
    <cellStyle name="Heading 1 2 5 2 2" xfId="13215"/>
    <cellStyle name="Heading 1 2 5 2 3" xfId="30744"/>
    <cellStyle name="Heading 1 2 5 3" xfId="6420"/>
    <cellStyle name="Heading 1 2 5 3 2" xfId="13214"/>
    <cellStyle name="Heading 1 2 5 3 3" xfId="30745"/>
    <cellStyle name="Heading 1 2 5 4" xfId="6421"/>
    <cellStyle name="Heading 1 2 5 4 2" xfId="15671"/>
    <cellStyle name="Heading 1 2 5 4 3" xfId="30746"/>
    <cellStyle name="Heading 1 2 5 5" xfId="9976"/>
    <cellStyle name="Heading 1 2 5 6" xfId="30743"/>
    <cellStyle name="Heading 1 2 6" xfId="6422"/>
    <cellStyle name="Heading 1 2 6 2" xfId="6423"/>
    <cellStyle name="Heading 1 2 6 2 2" xfId="6424"/>
    <cellStyle name="Heading 1 2 6 2 2 2" xfId="11418"/>
    <cellStyle name="Heading 1 2 6 2 2 3" xfId="30749"/>
    <cellStyle name="Heading 1 2 6 2 3" xfId="9978"/>
    <cellStyle name="Heading 1 2 6 2 4" xfId="30748"/>
    <cellStyle name="Heading 1 2 6 3" xfId="6425"/>
    <cellStyle name="Heading 1 2 6 3 2" xfId="11417"/>
    <cellStyle name="Heading 1 2 6 3 3" xfId="30750"/>
    <cellStyle name="Heading 1 2 6 4" xfId="9977"/>
    <cellStyle name="Heading 1 2 6 5" xfId="30747"/>
    <cellStyle name="Heading 1 2 7" xfId="6426"/>
    <cellStyle name="Heading 1 2 7 2" xfId="6427"/>
    <cellStyle name="Heading 1 2 7 2 2" xfId="6428"/>
    <cellStyle name="Heading 1 2 7 2 2 2" xfId="11420"/>
    <cellStyle name="Heading 1 2 7 2 2 3" xfId="30753"/>
    <cellStyle name="Heading 1 2 7 2 3" xfId="9980"/>
    <cellStyle name="Heading 1 2 7 2 4" xfId="30752"/>
    <cellStyle name="Heading 1 2 7 3" xfId="6429"/>
    <cellStyle name="Heading 1 2 7 3 2" xfId="11419"/>
    <cellStyle name="Heading 1 2 7 3 3" xfId="30754"/>
    <cellStyle name="Heading 1 2 7 4" xfId="9979"/>
    <cellStyle name="Heading 1 2 7 5" xfId="30751"/>
    <cellStyle name="Heading 1 2 8" xfId="6430"/>
    <cellStyle name="Heading 1 2 8 2" xfId="6431"/>
    <cellStyle name="Heading 1 2 8 2 2" xfId="11421"/>
    <cellStyle name="Heading 1 2 8 2 3" xfId="30756"/>
    <cellStyle name="Heading 1 2 8 3" xfId="9981"/>
    <cellStyle name="Heading 1 2 8 4" xfId="30755"/>
    <cellStyle name="Heading 1 2 9" xfId="6432"/>
    <cellStyle name="Heading 1 2 9 2" xfId="6433"/>
    <cellStyle name="Heading 1 2 9 2 2" xfId="11422"/>
    <cellStyle name="Heading 1 2 9 2 3" xfId="30758"/>
    <cellStyle name="Heading 1 2 9 3" xfId="9982"/>
    <cellStyle name="Heading 1 2 9 4" xfId="30757"/>
    <cellStyle name="Heading 1 3" xfId="6434"/>
    <cellStyle name="Heading 1 3 2" xfId="8672"/>
    <cellStyle name="Heading 1 3 3" xfId="30759"/>
    <cellStyle name="Heading 1 3 4" xfId="33090"/>
    <cellStyle name="Heading 1 4" xfId="6435"/>
    <cellStyle name="Heading 1 4 2" xfId="9983"/>
    <cellStyle name="Heading 1 4 3" xfId="30760"/>
    <cellStyle name="Heading 1 5" xfId="6436"/>
    <cellStyle name="Heading 1 5 2" xfId="9984"/>
    <cellStyle name="Heading 1 5 3" xfId="30761"/>
    <cellStyle name="Heading 1 6" xfId="6437"/>
    <cellStyle name="Heading 1 6 2" xfId="9985"/>
    <cellStyle name="Heading 1 6 3" xfId="30762"/>
    <cellStyle name="Heading 1 7" xfId="6438"/>
    <cellStyle name="Heading 1 7 2" xfId="9986"/>
    <cellStyle name="Heading 1 7 3" xfId="30763"/>
    <cellStyle name="Heading 1 8" xfId="9964"/>
    <cellStyle name="Heading 2" xfId="16" builtinId="17" customBuiltin="1"/>
    <cellStyle name="Heading 2 2" xfId="6439"/>
    <cellStyle name="Heading 2 2 10" xfId="6440"/>
    <cellStyle name="Heading 2 2 10 2" xfId="6441"/>
    <cellStyle name="Heading 2 2 10 2 2" xfId="11424"/>
    <cellStyle name="Heading 2 2 10 2 3" xfId="30766"/>
    <cellStyle name="Heading 2 2 10 3" xfId="9989"/>
    <cellStyle name="Heading 2 2 10 4" xfId="30765"/>
    <cellStyle name="Heading 2 2 11" xfId="6442"/>
    <cellStyle name="Heading 2 2 11 2" xfId="6443"/>
    <cellStyle name="Heading 2 2 11 2 2" xfId="11425"/>
    <cellStyle name="Heading 2 2 11 2 3" xfId="30768"/>
    <cellStyle name="Heading 2 2 11 3" xfId="9990"/>
    <cellStyle name="Heading 2 2 11 4" xfId="30767"/>
    <cellStyle name="Heading 2 2 12" xfId="6444"/>
    <cellStyle name="Heading 2 2 12 2" xfId="6445"/>
    <cellStyle name="Heading 2 2 12 2 2" xfId="11426"/>
    <cellStyle name="Heading 2 2 12 2 3" xfId="30770"/>
    <cellStyle name="Heading 2 2 12 3" xfId="9991"/>
    <cellStyle name="Heading 2 2 12 4" xfId="30769"/>
    <cellStyle name="Heading 2 2 13" xfId="6446"/>
    <cellStyle name="Heading 2 2 13 2" xfId="6447"/>
    <cellStyle name="Heading 2 2 13 2 2" xfId="15672"/>
    <cellStyle name="Heading 2 2 13 2 3" xfId="30772"/>
    <cellStyle name="Heading 2 2 13 3" xfId="9992"/>
    <cellStyle name="Heading 2 2 13 4" xfId="30771"/>
    <cellStyle name="Heading 2 2 14" xfId="6448"/>
    <cellStyle name="Heading 2 2 14 2" xfId="6449"/>
    <cellStyle name="Heading 2 2 14 2 2" xfId="15673"/>
    <cellStyle name="Heading 2 2 14 2 3" xfId="30774"/>
    <cellStyle name="Heading 2 2 14 3" xfId="10491"/>
    <cellStyle name="Heading 2 2 14 4" xfId="30773"/>
    <cellStyle name="Heading 2 2 15" xfId="6450"/>
    <cellStyle name="Heading 2 2 15 2" xfId="11423"/>
    <cellStyle name="Heading 2 2 15 3" xfId="30775"/>
    <cellStyle name="Heading 2 2 16" xfId="8665"/>
    <cellStyle name="Heading 2 2 16 2" xfId="9988"/>
    <cellStyle name="Heading 2 2 17" xfId="17304"/>
    <cellStyle name="Heading 2 2 18" xfId="30764"/>
    <cellStyle name="Heading 2 2 19" xfId="33046"/>
    <cellStyle name="Heading 2 2 2" xfId="6451"/>
    <cellStyle name="Heading 2 2 2 2" xfId="6452"/>
    <cellStyle name="Heading 2 2 2 2 2" xfId="6453"/>
    <cellStyle name="Heading 2 2 2 2 2 2" xfId="11427"/>
    <cellStyle name="Heading 2 2 2 2 2 3" xfId="30778"/>
    <cellStyle name="Heading 2 2 2 2 3" xfId="9994"/>
    <cellStyle name="Heading 2 2 2 2 4" xfId="30777"/>
    <cellStyle name="Heading 2 2 2 3" xfId="6454"/>
    <cellStyle name="Heading 2 2 2 3 2" xfId="6455"/>
    <cellStyle name="Heading 2 2 2 3 2 2" xfId="15674"/>
    <cellStyle name="Heading 2 2 2 3 2 3" xfId="30780"/>
    <cellStyle name="Heading 2 2 2 3 3" xfId="11727"/>
    <cellStyle name="Heading 2 2 2 3 4" xfId="30779"/>
    <cellStyle name="Heading 2 2 2 4" xfId="6456"/>
    <cellStyle name="Heading 2 2 2 4 2" xfId="12103"/>
    <cellStyle name="Heading 2 2 2 4 3" xfId="30781"/>
    <cellStyle name="Heading 2 2 2 5" xfId="6457"/>
    <cellStyle name="Heading 2 2 2 5 2" xfId="9993"/>
    <cellStyle name="Heading 2 2 2 5 3" xfId="30782"/>
    <cellStyle name="Heading 2 2 2 6" xfId="8694"/>
    <cellStyle name="Heading 2 2 2 7" xfId="30776"/>
    <cellStyle name="Heading 2 2 3" xfId="6458"/>
    <cellStyle name="Heading 2 2 3 2" xfId="6459"/>
    <cellStyle name="Heading 2 2 3 2 2" xfId="9996"/>
    <cellStyle name="Heading 2 2 3 2 3" xfId="30784"/>
    <cellStyle name="Heading 2 2 3 3" xfId="6460"/>
    <cellStyle name="Heading 2 2 3 3 2" xfId="11428"/>
    <cellStyle name="Heading 2 2 3 3 3" xfId="30785"/>
    <cellStyle name="Heading 2 2 3 4" xfId="6461"/>
    <cellStyle name="Heading 2 2 3 4 2" xfId="17341"/>
    <cellStyle name="Heading 2 2 3 4 3" xfId="30786"/>
    <cellStyle name="Heading 2 2 3 5" xfId="8729"/>
    <cellStyle name="Heading 2 2 3 6" xfId="9995"/>
    <cellStyle name="Heading 2 2 3 7" xfId="30783"/>
    <cellStyle name="Heading 2 2 4" xfId="6462"/>
    <cellStyle name="Heading 2 2 4 2" xfId="6463"/>
    <cellStyle name="Heading 2 2 4 2 2" xfId="9998"/>
    <cellStyle name="Heading 2 2 4 2 3" xfId="30788"/>
    <cellStyle name="Heading 2 2 4 3" xfId="6464"/>
    <cellStyle name="Heading 2 2 4 3 2" xfId="13217"/>
    <cellStyle name="Heading 2 2 4 3 3" xfId="30789"/>
    <cellStyle name="Heading 2 2 4 4" xfId="6465"/>
    <cellStyle name="Heading 2 2 4 4 2" xfId="13216"/>
    <cellStyle name="Heading 2 2 4 4 3" xfId="30790"/>
    <cellStyle name="Heading 2 2 4 5" xfId="9997"/>
    <cellStyle name="Heading 2 2 4 6" xfId="30787"/>
    <cellStyle name="Heading 2 2 5" xfId="6466"/>
    <cellStyle name="Heading 2 2 5 2" xfId="6467"/>
    <cellStyle name="Heading 2 2 5 2 2" xfId="13219"/>
    <cellStyle name="Heading 2 2 5 2 3" xfId="30792"/>
    <cellStyle name="Heading 2 2 5 3" xfId="6468"/>
    <cellStyle name="Heading 2 2 5 3 2" xfId="13218"/>
    <cellStyle name="Heading 2 2 5 3 3" xfId="30793"/>
    <cellStyle name="Heading 2 2 5 4" xfId="6469"/>
    <cellStyle name="Heading 2 2 5 4 2" xfId="15675"/>
    <cellStyle name="Heading 2 2 5 4 3" xfId="30794"/>
    <cellStyle name="Heading 2 2 5 5" xfId="9999"/>
    <cellStyle name="Heading 2 2 5 6" xfId="30791"/>
    <cellStyle name="Heading 2 2 6" xfId="6470"/>
    <cellStyle name="Heading 2 2 6 2" xfId="6471"/>
    <cellStyle name="Heading 2 2 6 2 2" xfId="6472"/>
    <cellStyle name="Heading 2 2 6 2 2 2" xfId="11430"/>
    <cellStyle name="Heading 2 2 6 2 2 3" xfId="30797"/>
    <cellStyle name="Heading 2 2 6 2 3" xfId="10001"/>
    <cellStyle name="Heading 2 2 6 2 4" xfId="30796"/>
    <cellStyle name="Heading 2 2 6 3" xfId="6473"/>
    <cellStyle name="Heading 2 2 6 3 2" xfId="11429"/>
    <cellStyle name="Heading 2 2 6 3 3" xfId="30798"/>
    <cellStyle name="Heading 2 2 6 4" xfId="10000"/>
    <cellStyle name="Heading 2 2 6 5" xfId="30795"/>
    <cellStyle name="Heading 2 2 7" xfId="6474"/>
    <cellStyle name="Heading 2 2 7 2" xfId="6475"/>
    <cellStyle name="Heading 2 2 7 2 2" xfId="6476"/>
    <cellStyle name="Heading 2 2 7 2 2 2" xfId="11432"/>
    <cellStyle name="Heading 2 2 7 2 2 3" xfId="30801"/>
    <cellStyle name="Heading 2 2 7 2 3" xfId="10003"/>
    <cellStyle name="Heading 2 2 7 2 4" xfId="30800"/>
    <cellStyle name="Heading 2 2 7 3" xfId="6477"/>
    <cellStyle name="Heading 2 2 7 3 2" xfId="11431"/>
    <cellStyle name="Heading 2 2 7 3 3" xfId="30802"/>
    <cellStyle name="Heading 2 2 7 4" xfId="10002"/>
    <cellStyle name="Heading 2 2 7 5" xfId="30799"/>
    <cellStyle name="Heading 2 2 8" xfId="6478"/>
    <cellStyle name="Heading 2 2 8 2" xfId="6479"/>
    <cellStyle name="Heading 2 2 8 2 2" xfId="11433"/>
    <cellStyle name="Heading 2 2 8 2 3" xfId="30804"/>
    <cellStyle name="Heading 2 2 8 3" xfId="10004"/>
    <cellStyle name="Heading 2 2 8 4" xfId="30803"/>
    <cellStyle name="Heading 2 2 9" xfId="6480"/>
    <cellStyle name="Heading 2 2 9 2" xfId="6481"/>
    <cellStyle name="Heading 2 2 9 2 2" xfId="11434"/>
    <cellStyle name="Heading 2 2 9 2 3" xfId="30806"/>
    <cellStyle name="Heading 2 2 9 3" xfId="10005"/>
    <cellStyle name="Heading 2 2 9 4" xfId="30805"/>
    <cellStyle name="Heading 2 3" xfId="6482"/>
    <cellStyle name="Heading 2 3 2" xfId="8673"/>
    <cellStyle name="Heading 2 3 3" xfId="30807"/>
    <cellStyle name="Heading 2 3 4" xfId="33091"/>
    <cellStyle name="Heading 2 4" xfId="6483"/>
    <cellStyle name="Heading 2 4 2" xfId="10006"/>
    <cellStyle name="Heading 2 4 3" xfId="30808"/>
    <cellStyle name="Heading 2 5" xfId="6484"/>
    <cellStyle name="Heading 2 5 2" xfId="10007"/>
    <cellStyle name="Heading 2 5 3" xfId="30809"/>
    <cellStyle name="Heading 2 6" xfId="6485"/>
    <cellStyle name="Heading 2 6 2" xfId="10008"/>
    <cellStyle name="Heading 2 6 3" xfId="30810"/>
    <cellStyle name="Heading 2 7" xfId="6486"/>
    <cellStyle name="Heading 2 7 2" xfId="10009"/>
    <cellStyle name="Heading 2 7 3" xfId="30811"/>
    <cellStyle name="Heading 2 8" xfId="9987"/>
    <cellStyle name="Heading 3" xfId="17" builtinId="18" customBuiltin="1"/>
    <cellStyle name="Heading 3 10" xfId="6487"/>
    <cellStyle name="Heading 3 10 2" xfId="6488"/>
    <cellStyle name="Heading 3 10 2 2" xfId="11436"/>
    <cellStyle name="Heading 3 10 2 3" xfId="30813"/>
    <cellStyle name="Heading 3 10 3" xfId="10011"/>
    <cellStyle name="Heading 3 10 4" xfId="30812"/>
    <cellStyle name="Heading 3 11" xfId="6489"/>
    <cellStyle name="Heading 3 11 2" xfId="6490"/>
    <cellStyle name="Heading 3 11 2 2" xfId="11437"/>
    <cellStyle name="Heading 3 11 2 3" xfId="30815"/>
    <cellStyle name="Heading 3 11 3" xfId="10012"/>
    <cellStyle name="Heading 3 11 4" xfId="30814"/>
    <cellStyle name="Heading 3 12" xfId="6491"/>
    <cellStyle name="Heading 3 12 2" xfId="6492"/>
    <cellStyle name="Heading 3 12 2 2" xfId="15676"/>
    <cellStyle name="Heading 3 12 2 3" xfId="30817"/>
    <cellStyle name="Heading 3 12 3" xfId="10013"/>
    <cellStyle name="Heading 3 12 4" xfId="30816"/>
    <cellStyle name="Heading 3 13" xfId="6493"/>
    <cellStyle name="Heading 3 13 2" xfId="6494"/>
    <cellStyle name="Heading 3 13 2 2" xfId="15677"/>
    <cellStyle name="Heading 3 13 2 3" xfId="30819"/>
    <cellStyle name="Heading 3 13 3" xfId="10492"/>
    <cellStyle name="Heading 3 13 4" xfId="30818"/>
    <cellStyle name="Heading 3 14" xfId="6495"/>
    <cellStyle name="Heading 3 14 2" xfId="11435"/>
    <cellStyle name="Heading 3 14 3" xfId="30820"/>
    <cellStyle name="Heading 3 15" xfId="6496"/>
    <cellStyle name="Heading 3 15 2" xfId="10010"/>
    <cellStyle name="Heading 3 15 3" xfId="30821"/>
    <cellStyle name="Heading 3 2" xfId="6497"/>
    <cellStyle name="Heading 3 2 2" xfId="6498"/>
    <cellStyle name="Heading 3 2 2 2" xfId="11694"/>
    <cellStyle name="Heading 3 2 2 3" xfId="30823"/>
    <cellStyle name="Heading 3 2 3" xfId="6499"/>
    <cellStyle name="Heading 3 2 3 2" xfId="17342"/>
    <cellStyle name="Heading 3 2 3 3" xfId="30824"/>
    <cellStyle name="Heading 3 2 4" xfId="8734"/>
    <cellStyle name="Heading 3 2 5" xfId="10014"/>
    <cellStyle name="Heading 3 2 6" xfId="30822"/>
    <cellStyle name="Heading 3 2 7" xfId="33047"/>
    <cellStyle name="Heading 3 3" xfId="6500"/>
    <cellStyle name="Heading 3 3 2" xfId="6501"/>
    <cellStyle name="Heading 3 3 2 2" xfId="10016"/>
    <cellStyle name="Heading 3 3 2 3" xfId="30826"/>
    <cellStyle name="Heading 3 3 3" xfId="6502"/>
    <cellStyle name="Heading 3 3 3 2" xfId="13220"/>
    <cellStyle name="Heading 3 3 3 3" xfId="30827"/>
    <cellStyle name="Heading 3 3 4" xfId="10015"/>
    <cellStyle name="Heading 3 3 5" xfId="30825"/>
    <cellStyle name="Heading 3 4" xfId="6503"/>
    <cellStyle name="Heading 3 4 2" xfId="6504"/>
    <cellStyle name="Heading 3 4 2 2" xfId="10018"/>
    <cellStyle name="Heading 3 4 2 3" xfId="30829"/>
    <cellStyle name="Heading 3 4 3" xfId="6505"/>
    <cellStyle name="Heading 3 4 3 2" xfId="13222"/>
    <cellStyle name="Heading 3 4 3 3" xfId="30830"/>
    <cellStyle name="Heading 3 4 4" xfId="6506"/>
    <cellStyle name="Heading 3 4 4 2" xfId="13221"/>
    <cellStyle name="Heading 3 4 4 3" xfId="30831"/>
    <cellStyle name="Heading 3 4 5" xfId="10017"/>
    <cellStyle name="Heading 3 4 6" xfId="30828"/>
    <cellStyle name="Heading 3 5" xfId="6507"/>
    <cellStyle name="Heading 3 5 2" xfId="6508"/>
    <cellStyle name="Heading 3 5 2 2" xfId="6509"/>
    <cellStyle name="Heading 3 5 2 2 2" xfId="11439"/>
    <cellStyle name="Heading 3 5 2 2 3" xfId="30834"/>
    <cellStyle name="Heading 3 5 2 3" xfId="10020"/>
    <cellStyle name="Heading 3 5 2 4" xfId="30833"/>
    <cellStyle name="Heading 3 5 3" xfId="6510"/>
    <cellStyle name="Heading 3 5 3 2" xfId="11438"/>
    <cellStyle name="Heading 3 5 3 3" xfId="30835"/>
    <cellStyle name="Heading 3 5 4" xfId="6511"/>
    <cellStyle name="Heading 3 5 4 2" xfId="13223"/>
    <cellStyle name="Heading 3 5 4 3" xfId="30836"/>
    <cellStyle name="Heading 3 5 5" xfId="6512"/>
    <cellStyle name="Heading 3 5 5 2" xfId="15678"/>
    <cellStyle name="Heading 3 5 5 3" xfId="30837"/>
    <cellStyle name="Heading 3 5 6" xfId="10019"/>
    <cellStyle name="Heading 3 5 7" xfId="30832"/>
    <cellStyle name="Heading 3 6" xfId="6513"/>
    <cellStyle name="Heading 3 6 2" xfId="6514"/>
    <cellStyle name="Heading 3 6 2 2" xfId="6515"/>
    <cellStyle name="Heading 3 6 2 2 2" xfId="11441"/>
    <cellStyle name="Heading 3 6 2 2 3" xfId="30840"/>
    <cellStyle name="Heading 3 6 2 3" xfId="10022"/>
    <cellStyle name="Heading 3 6 2 4" xfId="30839"/>
    <cellStyle name="Heading 3 6 3" xfId="6516"/>
    <cellStyle name="Heading 3 6 3 2" xfId="11440"/>
    <cellStyle name="Heading 3 6 3 3" xfId="30841"/>
    <cellStyle name="Heading 3 6 4" xfId="10021"/>
    <cellStyle name="Heading 3 6 5" xfId="30838"/>
    <cellStyle name="Heading 3 7" xfId="6517"/>
    <cellStyle name="Heading 3 7 2" xfId="6518"/>
    <cellStyle name="Heading 3 7 2 2" xfId="11442"/>
    <cellStyle name="Heading 3 7 2 3" xfId="30843"/>
    <cellStyle name="Heading 3 7 3" xfId="10023"/>
    <cellStyle name="Heading 3 7 4" xfId="30842"/>
    <cellStyle name="Heading 3 8" xfId="6519"/>
    <cellStyle name="Heading 3 8 2" xfId="6520"/>
    <cellStyle name="Heading 3 8 2 2" xfId="11443"/>
    <cellStyle name="Heading 3 8 2 3" xfId="30845"/>
    <cellStyle name="Heading 3 8 3" xfId="10024"/>
    <cellStyle name="Heading 3 8 4" xfId="30844"/>
    <cellStyle name="Heading 3 9" xfId="6521"/>
    <cellStyle name="Heading 3 9 2" xfId="6522"/>
    <cellStyle name="Heading 3 9 2 2" xfId="11444"/>
    <cellStyle name="Heading 3 9 2 3" xfId="30847"/>
    <cellStyle name="Heading 3 9 3" xfId="10025"/>
    <cellStyle name="Heading 3 9 4" xfId="30846"/>
    <cellStyle name="Heading 4" xfId="18" builtinId="19" customBuiltin="1"/>
    <cellStyle name="Heading 4 10" xfId="6523"/>
    <cellStyle name="Heading 4 10 2" xfId="6524"/>
    <cellStyle name="Heading 4 10 2 2" xfId="11446"/>
    <cellStyle name="Heading 4 10 2 3" xfId="30849"/>
    <cellStyle name="Heading 4 10 3" xfId="10027"/>
    <cellStyle name="Heading 4 10 4" xfId="30848"/>
    <cellStyle name="Heading 4 11" xfId="6525"/>
    <cellStyle name="Heading 4 11 2" xfId="6526"/>
    <cellStyle name="Heading 4 11 2 2" xfId="15679"/>
    <cellStyle name="Heading 4 11 2 3" xfId="30851"/>
    <cellStyle name="Heading 4 11 3" xfId="10028"/>
    <cellStyle name="Heading 4 11 4" xfId="30850"/>
    <cellStyle name="Heading 4 12" xfId="6527"/>
    <cellStyle name="Heading 4 12 2" xfId="6528"/>
    <cellStyle name="Heading 4 12 2 2" xfId="15680"/>
    <cellStyle name="Heading 4 12 2 3" xfId="30853"/>
    <cellStyle name="Heading 4 12 3" xfId="10493"/>
    <cellStyle name="Heading 4 12 4" xfId="30852"/>
    <cellStyle name="Heading 4 13" xfId="6529"/>
    <cellStyle name="Heading 4 13 2" xfId="11445"/>
    <cellStyle name="Heading 4 13 3" xfId="30854"/>
    <cellStyle name="Heading 4 14" xfId="6530"/>
    <cellStyle name="Heading 4 14 2" xfId="10026"/>
    <cellStyle name="Heading 4 14 3" xfId="30855"/>
    <cellStyle name="Heading 4 2" xfId="6531"/>
    <cellStyle name="Heading 4 2 2" xfId="6532"/>
    <cellStyle name="Heading 4 2 2 2" xfId="10030"/>
    <cellStyle name="Heading 4 2 2 3" xfId="30857"/>
    <cellStyle name="Heading 4 2 3" xfId="6533"/>
    <cellStyle name="Heading 4 2 3 2" xfId="13224"/>
    <cellStyle name="Heading 4 2 3 3" xfId="30858"/>
    <cellStyle name="Heading 4 2 4" xfId="10029"/>
    <cellStyle name="Heading 4 2 5" xfId="30856"/>
    <cellStyle name="Heading 4 2 6" xfId="33048"/>
    <cellStyle name="Heading 4 3" xfId="6534"/>
    <cellStyle name="Heading 4 3 2" xfId="6535"/>
    <cellStyle name="Heading 4 3 2 2" xfId="10032"/>
    <cellStyle name="Heading 4 3 2 3" xfId="30860"/>
    <cellStyle name="Heading 4 3 3" xfId="6536"/>
    <cellStyle name="Heading 4 3 3 2" xfId="13226"/>
    <cellStyle name="Heading 4 3 3 3" xfId="30861"/>
    <cellStyle name="Heading 4 3 4" xfId="6537"/>
    <cellStyle name="Heading 4 3 4 2" xfId="13225"/>
    <cellStyle name="Heading 4 3 4 3" xfId="30862"/>
    <cellStyle name="Heading 4 3 5" xfId="10031"/>
    <cellStyle name="Heading 4 3 6" xfId="30859"/>
    <cellStyle name="Heading 4 4" xfId="6538"/>
    <cellStyle name="Heading 4 4 2" xfId="6539"/>
    <cellStyle name="Heading 4 4 2 2" xfId="6540"/>
    <cellStyle name="Heading 4 4 2 2 2" xfId="11448"/>
    <cellStyle name="Heading 4 4 2 2 3" xfId="30865"/>
    <cellStyle name="Heading 4 4 2 3" xfId="10034"/>
    <cellStyle name="Heading 4 4 2 4" xfId="30864"/>
    <cellStyle name="Heading 4 4 3" xfId="6541"/>
    <cellStyle name="Heading 4 4 3 2" xfId="11447"/>
    <cellStyle name="Heading 4 4 3 3" xfId="30866"/>
    <cellStyle name="Heading 4 4 4" xfId="6542"/>
    <cellStyle name="Heading 4 4 4 2" xfId="13227"/>
    <cellStyle name="Heading 4 4 4 3" xfId="30867"/>
    <cellStyle name="Heading 4 4 5" xfId="6543"/>
    <cellStyle name="Heading 4 4 5 2" xfId="15681"/>
    <cellStyle name="Heading 4 4 5 3" xfId="30868"/>
    <cellStyle name="Heading 4 4 6" xfId="10033"/>
    <cellStyle name="Heading 4 4 7" xfId="30863"/>
    <cellStyle name="Heading 4 5" xfId="6544"/>
    <cellStyle name="Heading 4 5 2" xfId="6545"/>
    <cellStyle name="Heading 4 5 2 2" xfId="6546"/>
    <cellStyle name="Heading 4 5 2 2 2" xfId="11450"/>
    <cellStyle name="Heading 4 5 2 2 3" xfId="30871"/>
    <cellStyle name="Heading 4 5 2 3" xfId="10036"/>
    <cellStyle name="Heading 4 5 2 4" xfId="30870"/>
    <cellStyle name="Heading 4 5 3" xfId="6547"/>
    <cellStyle name="Heading 4 5 3 2" xfId="11449"/>
    <cellStyle name="Heading 4 5 3 3" xfId="30872"/>
    <cellStyle name="Heading 4 5 4" xfId="10035"/>
    <cellStyle name="Heading 4 5 5" xfId="30869"/>
    <cellStyle name="Heading 4 6" xfId="6548"/>
    <cellStyle name="Heading 4 6 2" xfId="6549"/>
    <cellStyle name="Heading 4 6 2 2" xfId="11451"/>
    <cellStyle name="Heading 4 6 2 3" xfId="30874"/>
    <cellStyle name="Heading 4 6 3" xfId="10037"/>
    <cellStyle name="Heading 4 6 4" xfId="30873"/>
    <cellStyle name="Heading 4 7" xfId="6550"/>
    <cellStyle name="Heading 4 7 2" xfId="6551"/>
    <cellStyle name="Heading 4 7 2 2" xfId="11452"/>
    <cellStyle name="Heading 4 7 2 3" xfId="30876"/>
    <cellStyle name="Heading 4 7 3" xfId="10038"/>
    <cellStyle name="Heading 4 7 4" xfId="30875"/>
    <cellStyle name="Heading 4 8" xfId="6552"/>
    <cellStyle name="Heading 4 8 2" xfId="6553"/>
    <cellStyle name="Heading 4 8 2 2" xfId="11453"/>
    <cellStyle name="Heading 4 8 2 3" xfId="30878"/>
    <cellStyle name="Heading 4 8 3" xfId="10039"/>
    <cellStyle name="Heading 4 8 4" xfId="30877"/>
    <cellStyle name="Heading 4 9" xfId="6554"/>
    <cellStyle name="Heading 4 9 2" xfId="6555"/>
    <cellStyle name="Heading 4 9 2 2" xfId="11454"/>
    <cellStyle name="Heading 4 9 2 3" xfId="30880"/>
    <cellStyle name="Heading 4 9 3" xfId="10040"/>
    <cellStyle name="Heading 4 9 4" xfId="30879"/>
    <cellStyle name="Hyperlink" xfId="7" builtinId="8"/>
    <cellStyle name="Hyperlink 2" xfId="6556"/>
    <cellStyle name="Hyperlink 2 2" xfId="8699"/>
    <cellStyle name="Hyperlink 2 3" xfId="30881"/>
    <cellStyle name="Hyperlink 2 4" xfId="33097"/>
    <cellStyle name="Hyperlink 3" xfId="6557"/>
    <cellStyle name="Hyperlink 3 2" xfId="10041"/>
    <cellStyle name="Hyperlink 3 3" xfId="30882"/>
    <cellStyle name="Input" xfId="22" builtinId="20" customBuiltin="1"/>
    <cellStyle name="Input 10" xfId="6558"/>
    <cellStyle name="Input 10 2" xfId="10043"/>
    <cellStyle name="Input 10 3" xfId="30883"/>
    <cellStyle name="Input 11" xfId="6559"/>
    <cellStyle name="Input 11 2" xfId="10044"/>
    <cellStyle name="Input 11 3" xfId="30884"/>
    <cellStyle name="Input 12" xfId="6560"/>
    <cellStyle name="Input 12 2" xfId="6561"/>
    <cellStyle name="Input 12 2 2" xfId="15682"/>
    <cellStyle name="Input 12 2 3" xfId="30886"/>
    <cellStyle name="Input 12 3" xfId="10494"/>
    <cellStyle name="Input 12 4" xfId="30885"/>
    <cellStyle name="Input 13" xfId="6562"/>
    <cellStyle name="Input 13 2" xfId="11455"/>
    <cellStyle name="Input 13 3" xfId="30887"/>
    <cellStyle name="Input 14" xfId="6563"/>
    <cellStyle name="Input 14 2" xfId="10042"/>
    <cellStyle name="Input 14 3" xfId="30888"/>
    <cellStyle name="Input 2" xfId="6564"/>
    <cellStyle name="Input 2 2" xfId="10045"/>
    <cellStyle name="Input 2 3" xfId="30889"/>
    <cellStyle name="Input 2 4" xfId="33052"/>
    <cellStyle name="Input 3" xfId="6565"/>
    <cellStyle name="Input 3 2" xfId="6566"/>
    <cellStyle name="Input 3 2 2" xfId="10047"/>
    <cellStyle name="Input 3 2 3" xfId="30891"/>
    <cellStyle name="Input 3 3" xfId="10046"/>
    <cellStyle name="Input 3 4" xfId="30890"/>
    <cellStyle name="Input 4" xfId="6567"/>
    <cellStyle name="Input 4 2" xfId="6568"/>
    <cellStyle name="Input 4 2 2" xfId="13229"/>
    <cellStyle name="Input 4 2 3" xfId="30893"/>
    <cellStyle name="Input 4 3" xfId="6569"/>
    <cellStyle name="Input 4 3 2" xfId="13228"/>
    <cellStyle name="Input 4 3 3" xfId="30894"/>
    <cellStyle name="Input 4 4" xfId="10048"/>
    <cellStyle name="Input 4 5" xfId="30892"/>
    <cellStyle name="Input 5" xfId="6570"/>
    <cellStyle name="Input 5 2" xfId="6571"/>
    <cellStyle name="Input 5 2 2" xfId="10050"/>
    <cellStyle name="Input 5 2 3" xfId="30896"/>
    <cellStyle name="Input 5 3" xfId="10049"/>
    <cellStyle name="Input 5 4" xfId="30895"/>
    <cellStyle name="Input 6" xfId="6572"/>
    <cellStyle name="Input 6 2" xfId="10051"/>
    <cellStyle name="Input 6 3" xfId="30897"/>
    <cellStyle name="Input 7" xfId="6573"/>
    <cellStyle name="Input 7 2" xfId="10052"/>
    <cellStyle name="Input 7 3" xfId="30898"/>
    <cellStyle name="Input 8" xfId="6574"/>
    <cellStyle name="Input 8 2" xfId="10053"/>
    <cellStyle name="Input 8 3" xfId="30899"/>
    <cellStyle name="Input 9" xfId="6575"/>
    <cellStyle name="Input 9 2" xfId="10054"/>
    <cellStyle name="Input 9 3" xfId="30900"/>
    <cellStyle name="Linked Cell" xfId="25" builtinId="24" customBuiltin="1"/>
    <cellStyle name="Linked Cell 10" xfId="6576"/>
    <cellStyle name="Linked Cell 10 2" xfId="6577"/>
    <cellStyle name="Linked Cell 10 2 2" xfId="11457"/>
    <cellStyle name="Linked Cell 10 2 3" xfId="30902"/>
    <cellStyle name="Linked Cell 10 3" xfId="10056"/>
    <cellStyle name="Linked Cell 10 4" xfId="30901"/>
    <cellStyle name="Linked Cell 11" xfId="6578"/>
    <cellStyle name="Linked Cell 11 2" xfId="6579"/>
    <cellStyle name="Linked Cell 11 2 2" xfId="11458"/>
    <cellStyle name="Linked Cell 11 2 3" xfId="30904"/>
    <cellStyle name="Linked Cell 11 3" xfId="10057"/>
    <cellStyle name="Linked Cell 11 4" xfId="30903"/>
    <cellStyle name="Linked Cell 12" xfId="6580"/>
    <cellStyle name="Linked Cell 12 2" xfId="6581"/>
    <cellStyle name="Linked Cell 12 2 2" xfId="15683"/>
    <cellStyle name="Linked Cell 12 2 3" xfId="30906"/>
    <cellStyle name="Linked Cell 12 3" xfId="10058"/>
    <cellStyle name="Linked Cell 12 4" xfId="30905"/>
    <cellStyle name="Linked Cell 13" xfId="6582"/>
    <cellStyle name="Linked Cell 13 2" xfId="6583"/>
    <cellStyle name="Linked Cell 13 2 2" xfId="15684"/>
    <cellStyle name="Linked Cell 13 2 3" xfId="30908"/>
    <cellStyle name="Linked Cell 13 3" xfId="10495"/>
    <cellStyle name="Linked Cell 13 4" xfId="30907"/>
    <cellStyle name="Linked Cell 14" xfId="6584"/>
    <cellStyle name="Linked Cell 14 2" xfId="11456"/>
    <cellStyle name="Linked Cell 14 3" xfId="30909"/>
    <cellStyle name="Linked Cell 15" xfId="6585"/>
    <cellStyle name="Linked Cell 15 2" xfId="10055"/>
    <cellStyle name="Linked Cell 15 3" xfId="30910"/>
    <cellStyle name="Linked Cell 2" xfId="6586"/>
    <cellStyle name="Linked Cell 2 2" xfId="6587"/>
    <cellStyle name="Linked Cell 2 2 2" xfId="10060"/>
    <cellStyle name="Linked Cell 2 2 3" xfId="30912"/>
    <cellStyle name="Linked Cell 2 3" xfId="6588"/>
    <cellStyle name="Linked Cell 2 3 2" xfId="13230"/>
    <cellStyle name="Linked Cell 2 3 3" xfId="30913"/>
    <cellStyle name="Linked Cell 2 4" xfId="10059"/>
    <cellStyle name="Linked Cell 2 5" xfId="30911"/>
    <cellStyle name="Linked Cell 2 6" xfId="33055"/>
    <cellStyle name="Linked Cell 3" xfId="6589"/>
    <cellStyle name="Linked Cell 3 2" xfId="6590"/>
    <cellStyle name="Linked Cell 3 2 2" xfId="10062"/>
    <cellStyle name="Linked Cell 3 2 3" xfId="30915"/>
    <cellStyle name="Linked Cell 3 3" xfId="6591"/>
    <cellStyle name="Linked Cell 3 3 2" xfId="13232"/>
    <cellStyle name="Linked Cell 3 3 3" xfId="30916"/>
    <cellStyle name="Linked Cell 3 4" xfId="6592"/>
    <cellStyle name="Linked Cell 3 4 2" xfId="13231"/>
    <cellStyle name="Linked Cell 3 4 3" xfId="30917"/>
    <cellStyle name="Linked Cell 3 5" xfId="10061"/>
    <cellStyle name="Linked Cell 3 6" xfId="30914"/>
    <cellStyle name="Linked Cell 4" xfId="6593"/>
    <cellStyle name="Linked Cell 4 2" xfId="6594"/>
    <cellStyle name="Linked Cell 4 2 2" xfId="6595"/>
    <cellStyle name="Linked Cell 4 2 2 2" xfId="11460"/>
    <cellStyle name="Linked Cell 4 2 2 3" xfId="30920"/>
    <cellStyle name="Linked Cell 4 2 3" xfId="10064"/>
    <cellStyle name="Linked Cell 4 2 4" xfId="30919"/>
    <cellStyle name="Linked Cell 4 3" xfId="6596"/>
    <cellStyle name="Linked Cell 4 3 2" xfId="11459"/>
    <cellStyle name="Linked Cell 4 3 3" xfId="30921"/>
    <cellStyle name="Linked Cell 4 4" xfId="6597"/>
    <cellStyle name="Linked Cell 4 4 2" xfId="13233"/>
    <cellStyle name="Linked Cell 4 4 3" xfId="30922"/>
    <cellStyle name="Linked Cell 4 5" xfId="6598"/>
    <cellStyle name="Linked Cell 4 5 2" xfId="15685"/>
    <cellStyle name="Linked Cell 4 5 3" xfId="30923"/>
    <cellStyle name="Linked Cell 4 6" xfId="10063"/>
    <cellStyle name="Linked Cell 4 7" xfId="30918"/>
    <cellStyle name="Linked Cell 5" xfId="6599"/>
    <cellStyle name="Linked Cell 5 2" xfId="6600"/>
    <cellStyle name="Linked Cell 5 2 2" xfId="6601"/>
    <cellStyle name="Linked Cell 5 2 2 2" xfId="11462"/>
    <cellStyle name="Linked Cell 5 2 2 3" xfId="30926"/>
    <cellStyle name="Linked Cell 5 2 3" xfId="10066"/>
    <cellStyle name="Linked Cell 5 2 4" xfId="30925"/>
    <cellStyle name="Linked Cell 5 3" xfId="6602"/>
    <cellStyle name="Linked Cell 5 3 2" xfId="11461"/>
    <cellStyle name="Linked Cell 5 3 3" xfId="30927"/>
    <cellStyle name="Linked Cell 5 4" xfId="10065"/>
    <cellStyle name="Linked Cell 5 5" xfId="30924"/>
    <cellStyle name="Linked Cell 6" xfId="6603"/>
    <cellStyle name="Linked Cell 6 2" xfId="10067"/>
    <cellStyle name="Linked Cell 6 3" xfId="30928"/>
    <cellStyle name="Linked Cell 7" xfId="6604"/>
    <cellStyle name="Linked Cell 7 2" xfId="6605"/>
    <cellStyle name="Linked Cell 7 2 2" xfId="11463"/>
    <cellStyle name="Linked Cell 7 2 3" xfId="30930"/>
    <cellStyle name="Linked Cell 7 3" xfId="10068"/>
    <cellStyle name="Linked Cell 7 4" xfId="30929"/>
    <cellStyle name="Linked Cell 8" xfId="6606"/>
    <cellStyle name="Linked Cell 8 2" xfId="6607"/>
    <cellStyle name="Linked Cell 8 2 2" xfId="11464"/>
    <cellStyle name="Linked Cell 8 2 3" xfId="30932"/>
    <cellStyle name="Linked Cell 8 3" xfId="10069"/>
    <cellStyle name="Linked Cell 8 4" xfId="30931"/>
    <cellStyle name="Linked Cell 9" xfId="6608"/>
    <cellStyle name="Linked Cell 9 2" xfId="6609"/>
    <cellStyle name="Linked Cell 9 2 2" xfId="11465"/>
    <cellStyle name="Linked Cell 9 2 3" xfId="30934"/>
    <cellStyle name="Linked Cell 9 3" xfId="10070"/>
    <cellStyle name="Linked Cell 9 4" xfId="30933"/>
    <cellStyle name="Neutral" xfId="21" builtinId="28" customBuiltin="1"/>
    <cellStyle name="Neutral 10" xfId="6610"/>
    <cellStyle name="Neutral 10 2" xfId="10072"/>
    <cellStyle name="Neutral 10 3" xfId="30935"/>
    <cellStyle name="Neutral 11" xfId="6611"/>
    <cellStyle name="Neutral 11 2" xfId="10073"/>
    <cellStyle name="Neutral 11 3" xfId="30936"/>
    <cellStyle name="Neutral 12" xfId="6612"/>
    <cellStyle name="Neutral 12 2" xfId="6613"/>
    <cellStyle name="Neutral 12 2 2" xfId="15686"/>
    <cellStyle name="Neutral 12 2 3" xfId="30938"/>
    <cellStyle name="Neutral 12 3" xfId="10496"/>
    <cellStyle name="Neutral 12 4" xfId="30937"/>
    <cellStyle name="Neutral 13" xfId="6614"/>
    <cellStyle name="Neutral 13 2" xfId="11466"/>
    <cellStyle name="Neutral 13 3" xfId="30939"/>
    <cellStyle name="Neutral 14" xfId="6615"/>
    <cellStyle name="Neutral 14 2" xfId="10071"/>
    <cellStyle name="Neutral 14 3" xfId="30940"/>
    <cellStyle name="Neutral 2" xfId="6616"/>
    <cellStyle name="Neutral 2 2" xfId="10074"/>
    <cellStyle name="Neutral 2 3" xfId="30941"/>
    <cellStyle name="Neutral 2 4" xfId="33051"/>
    <cellStyle name="Neutral 3" xfId="6617"/>
    <cellStyle name="Neutral 3 2" xfId="6618"/>
    <cellStyle name="Neutral 3 2 2" xfId="10076"/>
    <cellStyle name="Neutral 3 2 3" xfId="30943"/>
    <cellStyle name="Neutral 3 3" xfId="10075"/>
    <cellStyle name="Neutral 3 4" xfId="30942"/>
    <cellStyle name="Neutral 3 5" xfId="33103"/>
    <cellStyle name="Neutral 4" xfId="6619"/>
    <cellStyle name="Neutral 4 2" xfId="6620"/>
    <cellStyle name="Neutral 4 2 2" xfId="13235"/>
    <cellStyle name="Neutral 4 2 3" xfId="30945"/>
    <cellStyle name="Neutral 4 3" xfId="6621"/>
    <cellStyle name="Neutral 4 3 2" xfId="13234"/>
    <cellStyle name="Neutral 4 3 3" xfId="30946"/>
    <cellStyle name="Neutral 4 4" xfId="10077"/>
    <cellStyle name="Neutral 4 5" xfId="30944"/>
    <cellStyle name="Neutral 5" xfId="6622"/>
    <cellStyle name="Neutral 5 2" xfId="6623"/>
    <cellStyle name="Neutral 5 2 2" xfId="10079"/>
    <cellStyle name="Neutral 5 2 3" xfId="30948"/>
    <cellStyle name="Neutral 5 3" xfId="10078"/>
    <cellStyle name="Neutral 5 4" xfId="30947"/>
    <cellStyle name="Neutral 6" xfId="6624"/>
    <cellStyle name="Neutral 6 2" xfId="10080"/>
    <cellStyle name="Neutral 6 3" xfId="30949"/>
    <cellStyle name="Neutral 7" xfId="6625"/>
    <cellStyle name="Neutral 7 2" xfId="10081"/>
    <cellStyle name="Neutral 7 3" xfId="30950"/>
    <cellStyle name="Neutral 8" xfId="6626"/>
    <cellStyle name="Neutral 8 2" xfId="10082"/>
    <cellStyle name="Neutral 8 3" xfId="30951"/>
    <cellStyle name="Neutral 9" xfId="6627"/>
    <cellStyle name="Neutral 9 2" xfId="10083"/>
    <cellStyle name="Neutral 9 3" xfId="30952"/>
    <cellStyle name="Normal" xfId="0" builtinId="0"/>
    <cellStyle name="Normal 10" xfId="6628"/>
    <cellStyle name="Normal 10 2" xfId="6629"/>
    <cellStyle name="Normal 10 2 2" xfId="6630"/>
    <cellStyle name="Normal 10 2 2 2" xfId="11693"/>
    <cellStyle name="Normal 10 2 2 2 2" xfId="25429"/>
    <cellStyle name="Normal 10 2 2 3" xfId="30953"/>
    <cellStyle name="Normal 10 2 3" xfId="6631"/>
    <cellStyle name="Normal 10 2 3 2" xfId="17343"/>
    <cellStyle name="Normal 10 2 3 3" xfId="30954"/>
    <cellStyle name="Normal 10 2 4" xfId="8730"/>
    <cellStyle name="Normal 10 2 5" xfId="10085"/>
    <cellStyle name="Normal 10 3" xfId="6632"/>
    <cellStyle name="Normal 10 3 2" xfId="6633"/>
    <cellStyle name="Normal 10 3 2 2" xfId="13237"/>
    <cellStyle name="Normal 10 3 2 2 2" xfId="26882"/>
    <cellStyle name="Normal 10 3 2 3" xfId="30956"/>
    <cellStyle name="Normal 10 3 3" xfId="6634"/>
    <cellStyle name="Normal 10 3 3 2" xfId="15688"/>
    <cellStyle name="Normal 10 3 3 2 2" xfId="29174"/>
    <cellStyle name="Normal 10 3 3 3" xfId="30957"/>
    <cellStyle name="Normal 10 3 4" xfId="11467"/>
    <cellStyle name="Normal 10 3 4 2" xfId="25299"/>
    <cellStyle name="Normal 10 3 5" xfId="30955"/>
    <cellStyle name="Normal 10 3 6" xfId="32946"/>
    <cellStyle name="Normal 10 3 7" xfId="33004"/>
    <cellStyle name="Normal 10 4" xfId="6635"/>
    <cellStyle name="Normal 10 4 2" xfId="13236"/>
    <cellStyle name="Normal 10 4 2 2" xfId="26881"/>
    <cellStyle name="Normal 10 4 3" xfId="30958"/>
    <cellStyle name="Normal 10 5" xfId="6636"/>
    <cellStyle name="Normal 10 5 2" xfId="15687"/>
    <cellStyle name="Normal 10 5 2 2" xfId="29173"/>
    <cellStyle name="Normal 10 5 3" xfId="30959"/>
    <cellStyle name="Normal 10 6" xfId="6637"/>
    <cellStyle name="Normal 10 6 2" xfId="15803"/>
    <cellStyle name="Normal 10 6 2 2" xfId="29210"/>
    <cellStyle name="Normal 10 6 3" xfId="30960"/>
    <cellStyle name="Normal 10 7" xfId="8720"/>
    <cellStyle name="Normal 10 7 2" xfId="10084"/>
    <cellStyle name="Normal 10 7 2 2" xfId="24316"/>
    <cellStyle name="Normal 10 8" xfId="8721"/>
    <cellStyle name="Normal 10 8 2" xfId="17329"/>
    <cellStyle name="Normal 10 8 3" xfId="23236"/>
    <cellStyle name="Normal 11" xfId="6638"/>
    <cellStyle name="Normal 11 2" xfId="10086"/>
    <cellStyle name="Normal 11 3" xfId="30961"/>
    <cellStyle name="Normal 11 4" xfId="32917"/>
    <cellStyle name="Normal 11 5" xfId="32977"/>
    <cellStyle name="Normal 12" xfId="6639"/>
    <cellStyle name="Normal 12 2" xfId="10087"/>
    <cellStyle name="Normal 12 3" xfId="30962"/>
    <cellStyle name="Normal 12 4" xfId="32943"/>
    <cellStyle name="Normal 13" xfId="6640"/>
    <cellStyle name="Normal 13 10" xfId="6641"/>
    <cellStyle name="Normal 13 10 2" xfId="6642"/>
    <cellStyle name="Normal 13 10 2 2" xfId="13238"/>
    <cellStyle name="Normal 13 10 2 2 2" xfId="26883"/>
    <cellStyle name="Normal 13 10 2 3" xfId="30964"/>
    <cellStyle name="Normal 13 10 3" xfId="6643"/>
    <cellStyle name="Normal 13 10 3 2" xfId="15689"/>
    <cellStyle name="Normal 13 10 3 2 2" xfId="29175"/>
    <cellStyle name="Normal 13 10 3 3" xfId="30965"/>
    <cellStyle name="Normal 13 10 4" xfId="6644"/>
    <cellStyle name="Normal 13 10 4 2" xfId="17110"/>
    <cellStyle name="Normal 13 10 4 2 2" xfId="30469"/>
    <cellStyle name="Normal 13 10 4 3" xfId="30966"/>
    <cellStyle name="Normal 13 10 5" xfId="10521"/>
    <cellStyle name="Normal 13 10 5 2" xfId="24467"/>
    <cellStyle name="Normal 13 10 6" xfId="30963"/>
    <cellStyle name="Normal 13 11" xfId="6645"/>
    <cellStyle name="Normal 13 11 2" xfId="6646"/>
    <cellStyle name="Normal 13 11 2 2" xfId="13239"/>
    <cellStyle name="Normal 13 11 2 2 2" xfId="26884"/>
    <cellStyle name="Normal 13 11 2 3" xfId="30968"/>
    <cellStyle name="Normal 13 11 3" xfId="6647"/>
    <cellStyle name="Normal 13 11 3 2" xfId="15690"/>
    <cellStyle name="Normal 13 11 3 2 2" xfId="29176"/>
    <cellStyle name="Normal 13 11 3 3" xfId="30969"/>
    <cellStyle name="Normal 13 11 4" xfId="6648"/>
    <cellStyle name="Normal 13 11 4 2" xfId="17199"/>
    <cellStyle name="Normal 13 11 4 2 2" xfId="30558"/>
    <cellStyle name="Normal 13 11 4 3" xfId="30970"/>
    <cellStyle name="Normal 13 11 5" xfId="11468"/>
    <cellStyle name="Normal 13 11 5 2" xfId="25300"/>
    <cellStyle name="Normal 13 11 6" xfId="30967"/>
    <cellStyle name="Normal 13 12" xfId="6649"/>
    <cellStyle name="Normal 13 12 2" xfId="6650"/>
    <cellStyle name="Normal 13 12 2 2" xfId="17288"/>
    <cellStyle name="Normal 13 12 2 2 2" xfId="30647"/>
    <cellStyle name="Normal 13 12 2 3" xfId="30972"/>
    <cellStyle name="Normal 13 12 3" xfId="11777"/>
    <cellStyle name="Normal 13 12 3 2" xfId="25492"/>
    <cellStyle name="Normal 13 12 4" xfId="30971"/>
    <cellStyle name="Normal 13 13" xfId="6651"/>
    <cellStyle name="Normal 13 13 2" xfId="6652"/>
    <cellStyle name="Normal 13 13 2 2" xfId="16440"/>
    <cellStyle name="Normal 13 13 2 2 2" xfId="29847"/>
    <cellStyle name="Normal 13 13 2 3" xfId="30974"/>
    <cellStyle name="Normal 13 13 3" xfId="13392"/>
    <cellStyle name="Normal 13 13 3 2" xfId="26941"/>
    <cellStyle name="Normal 13 13 4" xfId="30973"/>
    <cellStyle name="Normal 13 14" xfId="6653"/>
    <cellStyle name="Normal 13 14 2" xfId="13973"/>
    <cellStyle name="Normal 13 14 2 2" xfId="27522"/>
    <cellStyle name="Normal 13 14 3" xfId="30975"/>
    <cellStyle name="Normal 13 15" xfId="6654"/>
    <cellStyle name="Normal 13 15 2" xfId="15842"/>
    <cellStyle name="Normal 13 15 2 2" xfId="29249"/>
    <cellStyle name="Normal 13 15 3" xfId="30976"/>
    <cellStyle name="Normal 13 16" xfId="6655"/>
    <cellStyle name="Normal 13 16 2" xfId="15859"/>
    <cellStyle name="Normal 13 16 2 2" xfId="29266"/>
    <cellStyle name="Normal 13 16 3" xfId="30977"/>
    <cellStyle name="Normal 13 17" xfId="17375"/>
    <cellStyle name="Normal 13 18" xfId="10088"/>
    <cellStyle name="Normal 13 18 2" xfId="24317"/>
    <cellStyle name="Normal 13 2" xfId="6656"/>
    <cellStyle name="Normal 13 2 10" xfId="6657"/>
    <cellStyle name="Normal 13 2 10 2" xfId="15916"/>
    <cellStyle name="Normal 13 2 10 2 2" xfId="29323"/>
    <cellStyle name="Normal 13 2 10 3" xfId="30979"/>
    <cellStyle name="Normal 13 2 11" xfId="10089"/>
    <cellStyle name="Normal 13 2 11 2" xfId="24318"/>
    <cellStyle name="Normal 13 2 12" xfId="30978"/>
    <cellStyle name="Normal 13 2 2" xfId="6658"/>
    <cellStyle name="Normal 13 2 2 10" xfId="30980"/>
    <cellStyle name="Normal 13 2 2 2" xfId="6659"/>
    <cellStyle name="Normal 13 2 2 2 2" xfId="6660"/>
    <cellStyle name="Normal 13 2 2 2 2 2" xfId="6661"/>
    <cellStyle name="Normal 13 2 2 2 2 2 2" xfId="6662"/>
    <cellStyle name="Normal 13 2 2 2 2 2 2 2" xfId="16975"/>
    <cellStyle name="Normal 13 2 2 2 2 2 2 2 2" xfId="30382"/>
    <cellStyle name="Normal 13 2 2 2 2 2 2 3" xfId="30984"/>
    <cellStyle name="Normal 13 2 2 2 2 2 3" xfId="11472"/>
    <cellStyle name="Normal 13 2 2 2 2 2 3 2" xfId="25304"/>
    <cellStyle name="Normal 13 2 2 2 2 2 4" xfId="30983"/>
    <cellStyle name="Normal 13 2 2 2 2 3" xfId="6663"/>
    <cellStyle name="Normal 13 2 2 2 2 3 2" xfId="12363"/>
    <cellStyle name="Normal 13 2 2 2 2 3 2 2" xfId="26075"/>
    <cellStyle name="Normal 13 2 2 2 2 3 3" xfId="30985"/>
    <cellStyle name="Normal 13 2 2 2 2 4" xfId="6664"/>
    <cellStyle name="Normal 13 2 2 2 2 4 2" xfId="13927"/>
    <cellStyle name="Normal 13 2 2 2 2 4 2 2" xfId="27476"/>
    <cellStyle name="Normal 13 2 2 2 2 4 3" xfId="30986"/>
    <cellStyle name="Normal 13 2 2 2 2 5" xfId="6665"/>
    <cellStyle name="Normal 13 2 2 2 2 5 2" xfId="14508"/>
    <cellStyle name="Normal 13 2 2 2 2 5 2 2" xfId="28057"/>
    <cellStyle name="Normal 13 2 2 2 2 5 3" xfId="30987"/>
    <cellStyle name="Normal 13 2 2 2 2 6" xfId="6666"/>
    <cellStyle name="Normal 13 2 2 2 2 6 2" xfId="16394"/>
    <cellStyle name="Normal 13 2 2 2 2 6 2 2" xfId="29801"/>
    <cellStyle name="Normal 13 2 2 2 2 6 3" xfId="30988"/>
    <cellStyle name="Normal 13 2 2 2 2 7" xfId="10092"/>
    <cellStyle name="Normal 13 2 2 2 2 7 2" xfId="24321"/>
    <cellStyle name="Normal 13 2 2 2 2 8" xfId="30982"/>
    <cellStyle name="Normal 13 2 2 2 3" xfId="6667"/>
    <cellStyle name="Normal 13 2 2 2 3 2" xfId="6668"/>
    <cellStyle name="Normal 13 2 2 2 3 2 2" xfId="16686"/>
    <cellStyle name="Normal 13 2 2 2 3 2 2 2" xfId="30093"/>
    <cellStyle name="Normal 13 2 2 2 3 2 3" xfId="30990"/>
    <cellStyle name="Normal 13 2 2 2 3 3" xfId="11471"/>
    <cellStyle name="Normal 13 2 2 2 3 3 2" xfId="25303"/>
    <cellStyle name="Normal 13 2 2 2 3 4" xfId="30989"/>
    <cellStyle name="Normal 13 2 2 2 4" xfId="6669"/>
    <cellStyle name="Normal 13 2 2 2 4 2" xfId="12063"/>
    <cellStyle name="Normal 13 2 2 2 4 2 2" xfId="25778"/>
    <cellStyle name="Normal 13 2 2 2 4 3" xfId="30991"/>
    <cellStyle name="Normal 13 2 2 2 5" xfId="6670"/>
    <cellStyle name="Normal 13 2 2 2 5 2" xfId="13638"/>
    <cellStyle name="Normal 13 2 2 2 5 2 2" xfId="27187"/>
    <cellStyle name="Normal 13 2 2 2 5 3" xfId="30992"/>
    <cellStyle name="Normal 13 2 2 2 6" xfId="6671"/>
    <cellStyle name="Normal 13 2 2 2 6 2" xfId="14219"/>
    <cellStyle name="Normal 13 2 2 2 6 2 2" xfId="27768"/>
    <cellStyle name="Normal 13 2 2 2 6 3" xfId="30993"/>
    <cellStyle name="Normal 13 2 2 2 7" xfId="6672"/>
    <cellStyle name="Normal 13 2 2 2 7 2" xfId="16105"/>
    <cellStyle name="Normal 13 2 2 2 7 2 2" xfId="29512"/>
    <cellStyle name="Normal 13 2 2 2 7 3" xfId="30994"/>
    <cellStyle name="Normal 13 2 2 2 8" xfId="10091"/>
    <cellStyle name="Normal 13 2 2 2 8 2" xfId="24320"/>
    <cellStyle name="Normal 13 2 2 2 9" xfId="30981"/>
    <cellStyle name="Normal 13 2 2 3" xfId="6673"/>
    <cellStyle name="Normal 13 2 2 3 2" xfId="6674"/>
    <cellStyle name="Normal 13 2 2 3 2 2" xfId="6675"/>
    <cellStyle name="Normal 13 2 2 3 2 2 2" xfId="16832"/>
    <cellStyle name="Normal 13 2 2 3 2 2 2 2" xfId="30239"/>
    <cellStyle name="Normal 13 2 2 3 2 2 3" xfId="30997"/>
    <cellStyle name="Normal 13 2 2 3 2 3" xfId="11473"/>
    <cellStyle name="Normal 13 2 2 3 2 3 2" xfId="25305"/>
    <cellStyle name="Normal 13 2 2 3 2 4" xfId="30996"/>
    <cellStyle name="Normal 13 2 2 3 3" xfId="6676"/>
    <cellStyle name="Normal 13 2 2 3 3 2" xfId="12220"/>
    <cellStyle name="Normal 13 2 2 3 3 2 2" xfId="25932"/>
    <cellStyle name="Normal 13 2 2 3 3 3" xfId="30998"/>
    <cellStyle name="Normal 13 2 2 3 4" xfId="6677"/>
    <cellStyle name="Normal 13 2 2 3 4 2" xfId="13784"/>
    <cellStyle name="Normal 13 2 2 3 4 2 2" xfId="27333"/>
    <cellStyle name="Normal 13 2 2 3 4 3" xfId="30999"/>
    <cellStyle name="Normal 13 2 2 3 5" xfId="6678"/>
    <cellStyle name="Normal 13 2 2 3 5 2" xfId="14365"/>
    <cellStyle name="Normal 13 2 2 3 5 2 2" xfId="27914"/>
    <cellStyle name="Normal 13 2 2 3 5 3" xfId="31000"/>
    <cellStyle name="Normal 13 2 2 3 6" xfId="6679"/>
    <cellStyle name="Normal 13 2 2 3 6 2" xfId="16251"/>
    <cellStyle name="Normal 13 2 2 3 6 2 2" xfId="29658"/>
    <cellStyle name="Normal 13 2 2 3 6 3" xfId="31001"/>
    <cellStyle name="Normal 13 2 2 3 7" xfId="10093"/>
    <cellStyle name="Normal 13 2 2 3 7 2" xfId="24322"/>
    <cellStyle name="Normal 13 2 2 3 8" xfId="30995"/>
    <cellStyle name="Normal 13 2 2 4" xfId="6680"/>
    <cellStyle name="Normal 13 2 2 4 2" xfId="6681"/>
    <cellStyle name="Normal 13 2 2 4 2 2" xfId="17179"/>
    <cellStyle name="Normal 13 2 2 4 2 2 2" xfId="30538"/>
    <cellStyle name="Normal 13 2 2 4 2 3" xfId="31003"/>
    <cellStyle name="Normal 13 2 2 4 3" xfId="11470"/>
    <cellStyle name="Normal 13 2 2 4 3 2" xfId="25302"/>
    <cellStyle name="Normal 13 2 2 4 4" xfId="31002"/>
    <cellStyle name="Normal 13 2 2 5" xfId="6682"/>
    <cellStyle name="Normal 13 2 2 5 2" xfId="6683"/>
    <cellStyle name="Normal 13 2 2 5 2 2" xfId="17268"/>
    <cellStyle name="Normal 13 2 2 5 2 2 2" xfId="30627"/>
    <cellStyle name="Normal 13 2 2 5 2 3" xfId="31005"/>
    <cellStyle name="Normal 13 2 2 5 3" xfId="11918"/>
    <cellStyle name="Normal 13 2 2 5 3 2" xfId="25633"/>
    <cellStyle name="Normal 13 2 2 5 4" xfId="31004"/>
    <cellStyle name="Normal 13 2 2 6" xfId="6684"/>
    <cellStyle name="Normal 13 2 2 6 2" xfId="6685"/>
    <cellStyle name="Normal 13 2 2 6 2 2" xfId="16543"/>
    <cellStyle name="Normal 13 2 2 6 2 2 2" xfId="29950"/>
    <cellStyle name="Normal 13 2 2 6 2 3" xfId="31007"/>
    <cellStyle name="Normal 13 2 2 6 3" xfId="13495"/>
    <cellStyle name="Normal 13 2 2 6 3 2" xfId="27044"/>
    <cellStyle name="Normal 13 2 2 6 4" xfId="31006"/>
    <cellStyle name="Normal 13 2 2 7" xfId="6686"/>
    <cellStyle name="Normal 13 2 2 7 2" xfId="14076"/>
    <cellStyle name="Normal 13 2 2 7 2 2" xfId="27625"/>
    <cellStyle name="Normal 13 2 2 7 3" xfId="31008"/>
    <cellStyle name="Normal 13 2 2 8" xfId="6687"/>
    <cellStyle name="Normal 13 2 2 8 2" xfId="15962"/>
    <cellStyle name="Normal 13 2 2 8 2 2" xfId="29369"/>
    <cellStyle name="Normal 13 2 2 8 3" xfId="31009"/>
    <cellStyle name="Normal 13 2 2 9" xfId="10090"/>
    <cellStyle name="Normal 13 2 2 9 2" xfId="24319"/>
    <cellStyle name="Normal 13 2 3" xfId="6688"/>
    <cellStyle name="Normal 13 2 3 2" xfId="6689"/>
    <cellStyle name="Normal 13 2 3 2 2" xfId="6690"/>
    <cellStyle name="Normal 13 2 3 2 2 2" xfId="6691"/>
    <cellStyle name="Normal 13 2 3 2 2 2 2" xfId="16929"/>
    <cellStyle name="Normal 13 2 3 2 2 2 2 2" xfId="30336"/>
    <cellStyle name="Normal 13 2 3 2 2 2 3" xfId="31013"/>
    <cellStyle name="Normal 13 2 3 2 2 3" xfId="11475"/>
    <cellStyle name="Normal 13 2 3 2 2 3 2" xfId="25307"/>
    <cellStyle name="Normal 13 2 3 2 2 4" xfId="31012"/>
    <cellStyle name="Normal 13 2 3 2 3" xfId="6692"/>
    <cellStyle name="Normal 13 2 3 2 3 2" xfId="12317"/>
    <cellStyle name="Normal 13 2 3 2 3 2 2" xfId="26029"/>
    <cellStyle name="Normal 13 2 3 2 3 3" xfId="31014"/>
    <cellStyle name="Normal 13 2 3 2 4" xfId="6693"/>
    <cellStyle name="Normal 13 2 3 2 4 2" xfId="13881"/>
    <cellStyle name="Normal 13 2 3 2 4 2 2" xfId="27430"/>
    <cellStyle name="Normal 13 2 3 2 4 3" xfId="31015"/>
    <cellStyle name="Normal 13 2 3 2 5" xfId="6694"/>
    <cellStyle name="Normal 13 2 3 2 5 2" xfId="14462"/>
    <cellStyle name="Normal 13 2 3 2 5 2 2" xfId="28011"/>
    <cellStyle name="Normal 13 2 3 2 5 3" xfId="31016"/>
    <cellStyle name="Normal 13 2 3 2 6" xfId="6695"/>
    <cellStyle name="Normal 13 2 3 2 6 2" xfId="16348"/>
    <cellStyle name="Normal 13 2 3 2 6 2 2" xfId="29755"/>
    <cellStyle name="Normal 13 2 3 2 6 3" xfId="31017"/>
    <cellStyle name="Normal 13 2 3 2 7" xfId="10095"/>
    <cellStyle name="Normal 13 2 3 2 7 2" xfId="24324"/>
    <cellStyle name="Normal 13 2 3 2 8" xfId="31011"/>
    <cellStyle name="Normal 13 2 3 3" xfId="6696"/>
    <cellStyle name="Normal 13 2 3 3 2" xfId="6697"/>
    <cellStyle name="Normal 13 2 3 3 2 2" xfId="16640"/>
    <cellStyle name="Normal 13 2 3 3 2 2 2" xfId="30047"/>
    <cellStyle name="Normal 13 2 3 3 2 3" xfId="31019"/>
    <cellStyle name="Normal 13 2 3 3 3" xfId="11474"/>
    <cellStyle name="Normal 13 2 3 3 3 2" xfId="25306"/>
    <cellStyle name="Normal 13 2 3 3 4" xfId="31018"/>
    <cellStyle name="Normal 13 2 3 4" xfId="6698"/>
    <cellStyle name="Normal 13 2 3 4 2" xfId="12017"/>
    <cellStyle name="Normal 13 2 3 4 2 2" xfId="25732"/>
    <cellStyle name="Normal 13 2 3 4 3" xfId="31020"/>
    <cellStyle name="Normal 13 2 3 5" xfId="6699"/>
    <cellStyle name="Normal 13 2 3 5 2" xfId="13592"/>
    <cellStyle name="Normal 13 2 3 5 2 2" xfId="27141"/>
    <cellStyle name="Normal 13 2 3 5 3" xfId="31021"/>
    <cellStyle name="Normal 13 2 3 6" xfId="6700"/>
    <cellStyle name="Normal 13 2 3 6 2" xfId="14173"/>
    <cellStyle name="Normal 13 2 3 6 2 2" xfId="27722"/>
    <cellStyle name="Normal 13 2 3 6 3" xfId="31022"/>
    <cellStyle name="Normal 13 2 3 7" xfId="6701"/>
    <cellStyle name="Normal 13 2 3 7 2" xfId="16059"/>
    <cellStyle name="Normal 13 2 3 7 2 2" xfId="29466"/>
    <cellStyle name="Normal 13 2 3 7 3" xfId="31023"/>
    <cellStyle name="Normal 13 2 3 8" xfId="10094"/>
    <cellStyle name="Normal 13 2 3 8 2" xfId="24323"/>
    <cellStyle name="Normal 13 2 3 9" xfId="31010"/>
    <cellStyle name="Normal 13 2 4" xfId="6702"/>
    <cellStyle name="Normal 13 2 4 2" xfId="6703"/>
    <cellStyle name="Normal 13 2 4 2 2" xfId="6704"/>
    <cellStyle name="Normal 13 2 4 2 2 2" xfId="16786"/>
    <cellStyle name="Normal 13 2 4 2 2 2 2" xfId="30193"/>
    <cellStyle name="Normal 13 2 4 2 2 3" xfId="31026"/>
    <cellStyle name="Normal 13 2 4 2 3" xfId="11476"/>
    <cellStyle name="Normal 13 2 4 2 3 2" xfId="25308"/>
    <cellStyle name="Normal 13 2 4 2 4" xfId="31025"/>
    <cellStyle name="Normal 13 2 4 3" xfId="6705"/>
    <cellStyle name="Normal 13 2 4 3 2" xfId="12174"/>
    <cellStyle name="Normal 13 2 4 3 2 2" xfId="25886"/>
    <cellStyle name="Normal 13 2 4 3 3" xfId="31027"/>
    <cellStyle name="Normal 13 2 4 4" xfId="6706"/>
    <cellStyle name="Normal 13 2 4 4 2" xfId="13738"/>
    <cellStyle name="Normal 13 2 4 4 2 2" xfId="27287"/>
    <cellStyle name="Normal 13 2 4 4 3" xfId="31028"/>
    <cellStyle name="Normal 13 2 4 5" xfId="6707"/>
    <cellStyle name="Normal 13 2 4 5 2" xfId="14319"/>
    <cellStyle name="Normal 13 2 4 5 2 2" xfId="27868"/>
    <cellStyle name="Normal 13 2 4 5 3" xfId="31029"/>
    <cellStyle name="Normal 13 2 4 6" xfId="6708"/>
    <cellStyle name="Normal 13 2 4 6 2" xfId="16205"/>
    <cellStyle name="Normal 13 2 4 6 2 2" xfId="29612"/>
    <cellStyle name="Normal 13 2 4 6 3" xfId="31030"/>
    <cellStyle name="Normal 13 2 4 7" xfId="10096"/>
    <cellStyle name="Normal 13 2 4 7 2" xfId="24325"/>
    <cellStyle name="Normal 13 2 4 8" xfId="31024"/>
    <cellStyle name="Normal 13 2 5" xfId="6709"/>
    <cellStyle name="Normal 13 2 5 2" xfId="6710"/>
    <cellStyle name="Normal 13 2 5 2 2" xfId="13240"/>
    <cellStyle name="Normal 13 2 5 2 2 2" xfId="26885"/>
    <cellStyle name="Normal 13 2 5 2 3" xfId="31032"/>
    <cellStyle name="Normal 13 2 5 3" xfId="6711"/>
    <cellStyle name="Normal 13 2 5 3 2" xfId="15691"/>
    <cellStyle name="Normal 13 2 5 3 2 2" xfId="29177"/>
    <cellStyle name="Normal 13 2 5 3 3" xfId="31033"/>
    <cellStyle name="Normal 13 2 5 4" xfId="6712"/>
    <cellStyle name="Normal 13 2 5 4 2" xfId="17037"/>
    <cellStyle name="Normal 13 2 5 4 2 2" xfId="30440"/>
    <cellStyle name="Normal 13 2 5 4 3" xfId="31034"/>
    <cellStyle name="Normal 13 2 5 5" xfId="10542"/>
    <cellStyle name="Normal 13 2 5 5 2" xfId="24484"/>
    <cellStyle name="Normal 13 2 5 6" xfId="31031"/>
    <cellStyle name="Normal 13 2 6" xfId="6713"/>
    <cellStyle name="Normal 13 2 6 2" xfId="6714"/>
    <cellStyle name="Normal 13 2 6 2 2" xfId="13241"/>
    <cellStyle name="Normal 13 2 6 2 2 2" xfId="26886"/>
    <cellStyle name="Normal 13 2 6 2 3" xfId="31036"/>
    <cellStyle name="Normal 13 2 6 3" xfId="6715"/>
    <cellStyle name="Normal 13 2 6 3 2" xfId="15692"/>
    <cellStyle name="Normal 13 2 6 3 2 2" xfId="29178"/>
    <cellStyle name="Normal 13 2 6 3 3" xfId="31037"/>
    <cellStyle name="Normal 13 2 6 4" xfId="6716"/>
    <cellStyle name="Normal 13 2 6 4 2" xfId="17133"/>
    <cellStyle name="Normal 13 2 6 4 2 2" xfId="30492"/>
    <cellStyle name="Normal 13 2 6 4 3" xfId="31038"/>
    <cellStyle name="Normal 13 2 6 5" xfId="11469"/>
    <cellStyle name="Normal 13 2 6 5 2" xfId="25301"/>
    <cellStyle name="Normal 13 2 6 6" xfId="31035"/>
    <cellStyle name="Normal 13 2 7" xfId="6717"/>
    <cellStyle name="Normal 13 2 7 2" xfId="6718"/>
    <cellStyle name="Normal 13 2 7 2 2" xfId="17222"/>
    <cellStyle name="Normal 13 2 7 2 2 2" xfId="30581"/>
    <cellStyle name="Normal 13 2 7 2 3" xfId="31040"/>
    <cellStyle name="Normal 13 2 7 3" xfId="11859"/>
    <cellStyle name="Normal 13 2 7 3 2" xfId="25574"/>
    <cellStyle name="Normal 13 2 7 4" xfId="31039"/>
    <cellStyle name="Normal 13 2 8" xfId="6719"/>
    <cellStyle name="Normal 13 2 8 2" xfId="6720"/>
    <cellStyle name="Normal 13 2 8 2 2" xfId="16497"/>
    <cellStyle name="Normal 13 2 8 2 2 2" xfId="29904"/>
    <cellStyle name="Normal 13 2 8 2 3" xfId="31042"/>
    <cellStyle name="Normal 13 2 8 3" xfId="13449"/>
    <cellStyle name="Normal 13 2 8 3 2" xfId="26998"/>
    <cellStyle name="Normal 13 2 8 4" xfId="31041"/>
    <cellStyle name="Normal 13 2 9" xfId="6721"/>
    <cellStyle name="Normal 13 2 9 2" xfId="14030"/>
    <cellStyle name="Normal 13 2 9 2 2" xfId="27579"/>
    <cellStyle name="Normal 13 2 9 3" xfId="31043"/>
    <cellStyle name="Normal 13 3" xfId="6722"/>
    <cellStyle name="Normal 13 3 10" xfId="31044"/>
    <cellStyle name="Normal 13 3 2" xfId="6723"/>
    <cellStyle name="Normal 13 3 2 2" xfId="6724"/>
    <cellStyle name="Normal 13 3 2 2 2" xfId="6725"/>
    <cellStyle name="Normal 13 3 2 2 2 2" xfId="6726"/>
    <cellStyle name="Normal 13 3 2 2 2 2 2" xfId="16952"/>
    <cellStyle name="Normal 13 3 2 2 2 2 2 2" xfId="30359"/>
    <cellStyle name="Normal 13 3 2 2 2 2 3" xfId="31048"/>
    <cellStyle name="Normal 13 3 2 2 2 3" xfId="11479"/>
    <cellStyle name="Normal 13 3 2 2 2 3 2" xfId="25311"/>
    <cellStyle name="Normal 13 3 2 2 2 4" xfId="31047"/>
    <cellStyle name="Normal 13 3 2 2 3" xfId="6727"/>
    <cellStyle name="Normal 13 3 2 2 3 2" xfId="12340"/>
    <cellStyle name="Normal 13 3 2 2 3 2 2" xfId="26052"/>
    <cellStyle name="Normal 13 3 2 2 3 3" xfId="31049"/>
    <cellStyle name="Normal 13 3 2 2 4" xfId="6728"/>
    <cellStyle name="Normal 13 3 2 2 4 2" xfId="13904"/>
    <cellStyle name="Normal 13 3 2 2 4 2 2" xfId="27453"/>
    <cellStyle name="Normal 13 3 2 2 4 3" xfId="31050"/>
    <cellStyle name="Normal 13 3 2 2 5" xfId="6729"/>
    <cellStyle name="Normal 13 3 2 2 5 2" xfId="14485"/>
    <cellStyle name="Normal 13 3 2 2 5 2 2" xfId="28034"/>
    <cellStyle name="Normal 13 3 2 2 5 3" xfId="31051"/>
    <cellStyle name="Normal 13 3 2 2 6" xfId="6730"/>
    <cellStyle name="Normal 13 3 2 2 6 2" xfId="16371"/>
    <cellStyle name="Normal 13 3 2 2 6 2 2" xfId="29778"/>
    <cellStyle name="Normal 13 3 2 2 6 3" xfId="31052"/>
    <cellStyle name="Normal 13 3 2 2 7" xfId="10099"/>
    <cellStyle name="Normal 13 3 2 2 7 2" xfId="24328"/>
    <cellStyle name="Normal 13 3 2 2 8" xfId="31046"/>
    <cellStyle name="Normal 13 3 2 3" xfId="6731"/>
    <cellStyle name="Normal 13 3 2 3 2" xfId="6732"/>
    <cellStyle name="Normal 13 3 2 3 2 2" xfId="16663"/>
    <cellStyle name="Normal 13 3 2 3 2 2 2" xfId="30070"/>
    <cellStyle name="Normal 13 3 2 3 2 3" xfId="31054"/>
    <cellStyle name="Normal 13 3 2 3 3" xfId="11478"/>
    <cellStyle name="Normal 13 3 2 3 3 2" xfId="25310"/>
    <cellStyle name="Normal 13 3 2 3 4" xfId="31053"/>
    <cellStyle name="Normal 13 3 2 4" xfId="6733"/>
    <cellStyle name="Normal 13 3 2 4 2" xfId="12040"/>
    <cellStyle name="Normal 13 3 2 4 2 2" xfId="25755"/>
    <cellStyle name="Normal 13 3 2 4 3" xfId="31055"/>
    <cellStyle name="Normal 13 3 2 5" xfId="6734"/>
    <cellStyle name="Normal 13 3 2 5 2" xfId="13615"/>
    <cellStyle name="Normal 13 3 2 5 2 2" xfId="27164"/>
    <cellStyle name="Normal 13 3 2 5 3" xfId="31056"/>
    <cellStyle name="Normal 13 3 2 6" xfId="6735"/>
    <cellStyle name="Normal 13 3 2 6 2" xfId="14196"/>
    <cellStyle name="Normal 13 3 2 6 2 2" xfId="27745"/>
    <cellStyle name="Normal 13 3 2 6 3" xfId="31057"/>
    <cellStyle name="Normal 13 3 2 7" xfId="6736"/>
    <cellStyle name="Normal 13 3 2 7 2" xfId="16082"/>
    <cellStyle name="Normal 13 3 2 7 2 2" xfId="29489"/>
    <cellStyle name="Normal 13 3 2 7 3" xfId="31058"/>
    <cellStyle name="Normal 13 3 2 8" xfId="10098"/>
    <cellStyle name="Normal 13 3 2 8 2" xfId="24327"/>
    <cellStyle name="Normal 13 3 2 9" xfId="31045"/>
    <cellStyle name="Normal 13 3 3" xfId="6737"/>
    <cellStyle name="Normal 13 3 3 2" xfId="6738"/>
    <cellStyle name="Normal 13 3 3 2 2" xfId="6739"/>
    <cellStyle name="Normal 13 3 3 2 2 2" xfId="16809"/>
    <cellStyle name="Normal 13 3 3 2 2 2 2" xfId="30216"/>
    <cellStyle name="Normal 13 3 3 2 2 3" xfId="31061"/>
    <cellStyle name="Normal 13 3 3 2 3" xfId="11480"/>
    <cellStyle name="Normal 13 3 3 2 3 2" xfId="25312"/>
    <cellStyle name="Normal 13 3 3 2 4" xfId="31060"/>
    <cellStyle name="Normal 13 3 3 3" xfId="6740"/>
    <cellStyle name="Normal 13 3 3 3 2" xfId="12197"/>
    <cellStyle name="Normal 13 3 3 3 2 2" xfId="25909"/>
    <cellStyle name="Normal 13 3 3 3 3" xfId="31062"/>
    <cellStyle name="Normal 13 3 3 4" xfId="6741"/>
    <cellStyle name="Normal 13 3 3 4 2" xfId="13761"/>
    <cellStyle name="Normal 13 3 3 4 2 2" xfId="27310"/>
    <cellStyle name="Normal 13 3 3 4 3" xfId="31063"/>
    <cellStyle name="Normal 13 3 3 5" xfId="6742"/>
    <cellStyle name="Normal 13 3 3 5 2" xfId="14342"/>
    <cellStyle name="Normal 13 3 3 5 2 2" xfId="27891"/>
    <cellStyle name="Normal 13 3 3 5 3" xfId="31064"/>
    <cellStyle name="Normal 13 3 3 6" xfId="6743"/>
    <cellStyle name="Normal 13 3 3 6 2" xfId="16228"/>
    <cellStyle name="Normal 13 3 3 6 2 2" xfId="29635"/>
    <cellStyle name="Normal 13 3 3 6 3" xfId="31065"/>
    <cellStyle name="Normal 13 3 3 7" xfId="10100"/>
    <cellStyle name="Normal 13 3 3 7 2" xfId="24329"/>
    <cellStyle name="Normal 13 3 3 8" xfId="31059"/>
    <cellStyle name="Normal 13 3 4" xfId="6744"/>
    <cellStyle name="Normal 13 3 4 2" xfId="6745"/>
    <cellStyle name="Normal 13 3 4 2 2" xfId="17156"/>
    <cellStyle name="Normal 13 3 4 2 2 2" xfId="30515"/>
    <cellStyle name="Normal 13 3 4 2 3" xfId="31067"/>
    <cellStyle name="Normal 13 3 4 3" xfId="11477"/>
    <cellStyle name="Normal 13 3 4 3 2" xfId="25309"/>
    <cellStyle name="Normal 13 3 4 4" xfId="31066"/>
    <cellStyle name="Normal 13 3 5" xfId="6746"/>
    <cellStyle name="Normal 13 3 5 2" xfId="6747"/>
    <cellStyle name="Normal 13 3 5 2 2" xfId="17245"/>
    <cellStyle name="Normal 13 3 5 2 2 2" xfId="30604"/>
    <cellStyle name="Normal 13 3 5 2 3" xfId="31069"/>
    <cellStyle name="Normal 13 3 5 3" xfId="11895"/>
    <cellStyle name="Normal 13 3 5 3 2" xfId="25610"/>
    <cellStyle name="Normal 13 3 5 4" xfId="31068"/>
    <cellStyle name="Normal 13 3 6" xfId="6748"/>
    <cellStyle name="Normal 13 3 6 2" xfId="6749"/>
    <cellStyle name="Normal 13 3 6 2 2" xfId="16520"/>
    <cellStyle name="Normal 13 3 6 2 2 2" xfId="29927"/>
    <cellStyle name="Normal 13 3 6 2 3" xfId="31071"/>
    <cellStyle name="Normal 13 3 6 3" xfId="13472"/>
    <cellStyle name="Normal 13 3 6 3 2" xfId="27021"/>
    <cellStyle name="Normal 13 3 6 4" xfId="31070"/>
    <cellStyle name="Normal 13 3 7" xfId="6750"/>
    <cellStyle name="Normal 13 3 7 2" xfId="14053"/>
    <cellStyle name="Normal 13 3 7 2 2" xfId="27602"/>
    <cellStyle name="Normal 13 3 7 3" xfId="31072"/>
    <cellStyle name="Normal 13 3 8" xfId="6751"/>
    <cellStyle name="Normal 13 3 8 2" xfId="15939"/>
    <cellStyle name="Normal 13 3 8 2 2" xfId="29346"/>
    <cellStyle name="Normal 13 3 8 3" xfId="31073"/>
    <cellStyle name="Normal 13 3 9" xfId="10097"/>
    <cellStyle name="Normal 13 3 9 2" xfId="24326"/>
    <cellStyle name="Normal 13 4" xfId="6752"/>
    <cellStyle name="Normal 13 4 10" xfId="31074"/>
    <cellStyle name="Normal 13 4 2" xfId="6753"/>
    <cellStyle name="Normal 13 4 2 2" xfId="6754"/>
    <cellStyle name="Normal 13 4 2 2 2" xfId="6755"/>
    <cellStyle name="Normal 13 4 2 2 2 2" xfId="6756"/>
    <cellStyle name="Normal 13 4 2 2 2 2 2" xfId="16906"/>
    <cellStyle name="Normal 13 4 2 2 2 2 2 2" xfId="30313"/>
    <cellStyle name="Normal 13 4 2 2 2 2 3" xfId="31078"/>
    <cellStyle name="Normal 13 4 2 2 2 3" xfId="11483"/>
    <cellStyle name="Normal 13 4 2 2 2 3 2" xfId="25315"/>
    <cellStyle name="Normal 13 4 2 2 2 4" xfId="31077"/>
    <cellStyle name="Normal 13 4 2 2 3" xfId="6757"/>
    <cellStyle name="Normal 13 4 2 2 3 2" xfId="12294"/>
    <cellStyle name="Normal 13 4 2 2 3 2 2" xfId="26006"/>
    <cellStyle name="Normal 13 4 2 2 3 3" xfId="31079"/>
    <cellStyle name="Normal 13 4 2 2 4" xfId="6758"/>
    <cellStyle name="Normal 13 4 2 2 4 2" xfId="13858"/>
    <cellStyle name="Normal 13 4 2 2 4 2 2" xfId="27407"/>
    <cellStyle name="Normal 13 4 2 2 4 3" xfId="31080"/>
    <cellStyle name="Normal 13 4 2 2 5" xfId="6759"/>
    <cellStyle name="Normal 13 4 2 2 5 2" xfId="14439"/>
    <cellStyle name="Normal 13 4 2 2 5 2 2" xfId="27988"/>
    <cellStyle name="Normal 13 4 2 2 5 3" xfId="31081"/>
    <cellStyle name="Normal 13 4 2 2 6" xfId="6760"/>
    <cellStyle name="Normal 13 4 2 2 6 2" xfId="16325"/>
    <cellStyle name="Normal 13 4 2 2 6 2 2" xfId="29732"/>
    <cellStyle name="Normal 13 4 2 2 6 3" xfId="31082"/>
    <cellStyle name="Normal 13 4 2 2 7" xfId="10103"/>
    <cellStyle name="Normal 13 4 2 2 7 2" xfId="24332"/>
    <cellStyle name="Normal 13 4 2 2 8" xfId="31076"/>
    <cellStyle name="Normal 13 4 2 3" xfId="6761"/>
    <cellStyle name="Normal 13 4 2 3 2" xfId="6762"/>
    <cellStyle name="Normal 13 4 2 3 2 2" xfId="16617"/>
    <cellStyle name="Normal 13 4 2 3 2 2 2" xfId="30024"/>
    <cellStyle name="Normal 13 4 2 3 2 3" xfId="31084"/>
    <cellStyle name="Normal 13 4 2 3 3" xfId="11482"/>
    <cellStyle name="Normal 13 4 2 3 3 2" xfId="25314"/>
    <cellStyle name="Normal 13 4 2 3 4" xfId="31083"/>
    <cellStyle name="Normal 13 4 2 4" xfId="6763"/>
    <cellStyle name="Normal 13 4 2 4 2" xfId="11994"/>
    <cellStyle name="Normal 13 4 2 4 2 2" xfId="25709"/>
    <cellStyle name="Normal 13 4 2 4 3" xfId="31085"/>
    <cellStyle name="Normal 13 4 2 5" xfId="6764"/>
    <cellStyle name="Normal 13 4 2 5 2" xfId="13569"/>
    <cellStyle name="Normal 13 4 2 5 2 2" xfId="27118"/>
    <cellStyle name="Normal 13 4 2 5 3" xfId="31086"/>
    <cellStyle name="Normal 13 4 2 6" xfId="6765"/>
    <cellStyle name="Normal 13 4 2 6 2" xfId="14150"/>
    <cellStyle name="Normal 13 4 2 6 2 2" xfId="27699"/>
    <cellStyle name="Normal 13 4 2 6 3" xfId="31087"/>
    <cellStyle name="Normal 13 4 2 7" xfId="6766"/>
    <cellStyle name="Normal 13 4 2 7 2" xfId="16036"/>
    <cellStyle name="Normal 13 4 2 7 2 2" xfId="29443"/>
    <cellStyle name="Normal 13 4 2 7 3" xfId="31088"/>
    <cellStyle name="Normal 13 4 2 8" xfId="10102"/>
    <cellStyle name="Normal 13 4 2 8 2" xfId="24331"/>
    <cellStyle name="Normal 13 4 2 9" xfId="31075"/>
    <cellStyle name="Normal 13 4 3" xfId="6767"/>
    <cellStyle name="Normal 13 4 3 2" xfId="6768"/>
    <cellStyle name="Normal 13 4 3 2 2" xfId="6769"/>
    <cellStyle name="Normal 13 4 3 2 2 2" xfId="16766"/>
    <cellStyle name="Normal 13 4 3 2 2 2 2" xfId="30173"/>
    <cellStyle name="Normal 13 4 3 2 2 3" xfId="31091"/>
    <cellStyle name="Normal 13 4 3 2 3" xfId="11484"/>
    <cellStyle name="Normal 13 4 3 2 3 2" xfId="25316"/>
    <cellStyle name="Normal 13 4 3 2 4" xfId="31090"/>
    <cellStyle name="Normal 13 4 3 3" xfId="6770"/>
    <cellStyle name="Normal 13 4 3 3 2" xfId="12154"/>
    <cellStyle name="Normal 13 4 3 3 2 2" xfId="25866"/>
    <cellStyle name="Normal 13 4 3 3 3" xfId="31092"/>
    <cellStyle name="Normal 13 4 3 4" xfId="6771"/>
    <cellStyle name="Normal 13 4 3 4 2" xfId="13718"/>
    <cellStyle name="Normal 13 4 3 4 2 2" xfId="27267"/>
    <cellStyle name="Normal 13 4 3 4 3" xfId="31093"/>
    <cellStyle name="Normal 13 4 3 5" xfId="6772"/>
    <cellStyle name="Normal 13 4 3 5 2" xfId="14299"/>
    <cellStyle name="Normal 13 4 3 5 2 2" xfId="27848"/>
    <cellStyle name="Normal 13 4 3 5 3" xfId="31094"/>
    <cellStyle name="Normal 13 4 3 6" xfId="6773"/>
    <cellStyle name="Normal 13 4 3 6 2" xfId="16185"/>
    <cellStyle name="Normal 13 4 3 6 2 2" xfId="29592"/>
    <cellStyle name="Normal 13 4 3 6 3" xfId="31095"/>
    <cellStyle name="Normal 13 4 3 7" xfId="10104"/>
    <cellStyle name="Normal 13 4 3 7 2" xfId="24333"/>
    <cellStyle name="Normal 13 4 3 8" xfId="31089"/>
    <cellStyle name="Normal 13 4 4" xfId="6774"/>
    <cellStyle name="Normal 13 4 4 2" xfId="6775"/>
    <cellStyle name="Normal 13 4 4 2 2" xfId="16474"/>
    <cellStyle name="Normal 13 4 4 2 2 2" xfId="29881"/>
    <cellStyle name="Normal 13 4 4 2 3" xfId="31097"/>
    <cellStyle name="Normal 13 4 4 3" xfId="11481"/>
    <cellStyle name="Normal 13 4 4 3 2" xfId="25313"/>
    <cellStyle name="Normal 13 4 4 4" xfId="31096"/>
    <cellStyle name="Normal 13 4 5" xfId="6776"/>
    <cellStyle name="Normal 13 4 5 2" xfId="11825"/>
    <cellStyle name="Normal 13 4 5 2 2" xfId="25540"/>
    <cellStyle name="Normal 13 4 5 3" xfId="31098"/>
    <cellStyle name="Normal 13 4 6" xfId="6777"/>
    <cellStyle name="Normal 13 4 6 2" xfId="13426"/>
    <cellStyle name="Normal 13 4 6 2 2" xfId="26975"/>
    <cellStyle name="Normal 13 4 6 3" xfId="31099"/>
    <cellStyle name="Normal 13 4 7" xfId="6778"/>
    <cellStyle name="Normal 13 4 7 2" xfId="14007"/>
    <cellStyle name="Normal 13 4 7 2 2" xfId="27556"/>
    <cellStyle name="Normal 13 4 7 3" xfId="31100"/>
    <cellStyle name="Normal 13 4 8" xfId="6779"/>
    <cellStyle name="Normal 13 4 8 2" xfId="15893"/>
    <cellStyle name="Normal 13 4 8 2 2" xfId="29300"/>
    <cellStyle name="Normal 13 4 8 3" xfId="31101"/>
    <cellStyle name="Normal 13 4 9" xfId="10101"/>
    <cellStyle name="Normal 13 4 9 2" xfId="24330"/>
    <cellStyle name="Normal 13 5" xfId="6780"/>
    <cellStyle name="Normal 13 5 10" xfId="31102"/>
    <cellStyle name="Normal 13 5 2" xfId="6781"/>
    <cellStyle name="Normal 13 5 2 2" xfId="6782"/>
    <cellStyle name="Normal 13 5 2 2 2" xfId="6783"/>
    <cellStyle name="Normal 13 5 2 2 2 2" xfId="6784"/>
    <cellStyle name="Normal 13 5 2 2 2 2 2" xfId="16889"/>
    <cellStyle name="Normal 13 5 2 2 2 2 2 2" xfId="30296"/>
    <cellStyle name="Normal 13 5 2 2 2 2 3" xfId="31106"/>
    <cellStyle name="Normal 13 5 2 2 2 3" xfId="11487"/>
    <cellStyle name="Normal 13 5 2 2 2 3 2" xfId="25319"/>
    <cellStyle name="Normal 13 5 2 2 2 4" xfId="31105"/>
    <cellStyle name="Normal 13 5 2 2 3" xfId="6785"/>
    <cellStyle name="Normal 13 5 2 2 3 2" xfId="12277"/>
    <cellStyle name="Normal 13 5 2 2 3 2 2" xfId="25989"/>
    <cellStyle name="Normal 13 5 2 2 3 3" xfId="31107"/>
    <cellStyle name="Normal 13 5 2 2 4" xfId="6786"/>
    <cellStyle name="Normal 13 5 2 2 4 2" xfId="13841"/>
    <cellStyle name="Normal 13 5 2 2 4 2 2" xfId="27390"/>
    <cellStyle name="Normal 13 5 2 2 4 3" xfId="31108"/>
    <cellStyle name="Normal 13 5 2 2 5" xfId="6787"/>
    <cellStyle name="Normal 13 5 2 2 5 2" xfId="14422"/>
    <cellStyle name="Normal 13 5 2 2 5 2 2" xfId="27971"/>
    <cellStyle name="Normal 13 5 2 2 5 3" xfId="31109"/>
    <cellStyle name="Normal 13 5 2 2 6" xfId="6788"/>
    <cellStyle name="Normal 13 5 2 2 6 2" xfId="16308"/>
    <cellStyle name="Normal 13 5 2 2 6 2 2" xfId="29715"/>
    <cellStyle name="Normal 13 5 2 2 6 3" xfId="31110"/>
    <cellStyle name="Normal 13 5 2 2 7" xfId="10107"/>
    <cellStyle name="Normal 13 5 2 2 7 2" xfId="24336"/>
    <cellStyle name="Normal 13 5 2 2 8" xfId="31104"/>
    <cellStyle name="Normal 13 5 2 3" xfId="6789"/>
    <cellStyle name="Normal 13 5 2 3 2" xfId="6790"/>
    <cellStyle name="Normal 13 5 2 3 2 2" xfId="16600"/>
    <cellStyle name="Normal 13 5 2 3 2 2 2" xfId="30007"/>
    <cellStyle name="Normal 13 5 2 3 2 3" xfId="31112"/>
    <cellStyle name="Normal 13 5 2 3 3" xfId="11486"/>
    <cellStyle name="Normal 13 5 2 3 3 2" xfId="25318"/>
    <cellStyle name="Normal 13 5 2 3 4" xfId="31111"/>
    <cellStyle name="Normal 13 5 2 4" xfId="6791"/>
    <cellStyle name="Normal 13 5 2 4 2" xfId="11977"/>
    <cellStyle name="Normal 13 5 2 4 2 2" xfId="25692"/>
    <cellStyle name="Normal 13 5 2 4 3" xfId="31113"/>
    <cellStyle name="Normal 13 5 2 5" xfId="6792"/>
    <cellStyle name="Normal 13 5 2 5 2" xfId="13552"/>
    <cellStyle name="Normal 13 5 2 5 2 2" xfId="27101"/>
    <cellStyle name="Normal 13 5 2 5 3" xfId="31114"/>
    <cellStyle name="Normal 13 5 2 6" xfId="6793"/>
    <cellStyle name="Normal 13 5 2 6 2" xfId="14133"/>
    <cellStyle name="Normal 13 5 2 6 2 2" xfId="27682"/>
    <cellStyle name="Normal 13 5 2 6 3" xfId="31115"/>
    <cellStyle name="Normal 13 5 2 7" xfId="6794"/>
    <cellStyle name="Normal 13 5 2 7 2" xfId="16019"/>
    <cellStyle name="Normal 13 5 2 7 2 2" xfId="29426"/>
    <cellStyle name="Normal 13 5 2 7 3" xfId="31116"/>
    <cellStyle name="Normal 13 5 2 8" xfId="10106"/>
    <cellStyle name="Normal 13 5 2 8 2" xfId="24335"/>
    <cellStyle name="Normal 13 5 2 9" xfId="31103"/>
    <cellStyle name="Normal 13 5 3" xfId="6795"/>
    <cellStyle name="Normal 13 5 3 2" xfId="6796"/>
    <cellStyle name="Normal 13 5 3 2 2" xfId="6797"/>
    <cellStyle name="Normal 13 5 3 2 2 2" xfId="16749"/>
    <cellStyle name="Normal 13 5 3 2 2 2 2" xfId="30156"/>
    <cellStyle name="Normal 13 5 3 2 2 3" xfId="31119"/>
    <cellStyle name="Normal 13 5 3 2 3" xfId="11488"/>
    <cellStyle name="Normal 13 5 3 2 3 2" xfId="25320"/>
    <cellStyle name="Normal 13 5 3 2 4" xfId="31118"/>
    <cellStyle name="Normal 13 5 3 3" xfId="6798"/>
    <cellStyle name="Normal 13 5 3 3 2" xfId="12137"/>
    <cellStyle name="Normal 13 5 3 3 2 2" xfId="25849"/>
    <cellStyle name="Normal 13 5 3 3 3" xfId="31120"/>
    <cellStyle name="Normal 13 5 3 4" xfId="6799"/>
    <cellStyle name="Normal 13 5 3 4 2" xfId="13701"/>
    <cellStyle name="Normal 13 5 3 4 2 2" xfId="27250"/>
    <cellStyle name="Normal 13 5 3 4 3" xfId="31121"/>
    <cellStyle name="Normal 13 5 3 5" xfId="6800"/>
    <cellStyle name="Normal 13 5 3 5 2" xfId="14282"/>
    <cellStyle name="Normal 13 5 3 5 2 2" xfId="27831"/>
    <cellStyle name="Normal 13 5 3 5 3" xfId="31122"/>
    <cellStyle name="Normal 13 5 3 6" xfId="6801"/>
    <cellStyle name="Normal 13 5 3 6 2" xfId="16168"/>
    <cellStyle name="Normal 13 5 3 6 2 2" xfId="29575"/>
    <cellStyle name="Normal 13 5 3 6 3" xfId="31123"/>
    <cellStyle name="Normal 13 5 3 7" xfId="10108"/>
    <cellStyle name="Normal 13 5 3 7 2" xfId="24337"/>
    <cellStyle name="Normal 13 5 3 8" xfId="31117"/>
    <cellStyle name="Normal 13 5 4" xfId="6802"/>
    <cellStyle name="Normal 13 5 4 2" xfId="6803"/>
    <cellStyle name="Normal 13 5 4 2 2" xfId="16457"/>
    <cellStyle name="Normal 13 5 4 2 2 2" xfId="29864"/>
    <cellStyle name="Normal 13 5 4 2 3" xfId="31125"/>
    <cellStyle name="Normal 13 5 4 3" xfId="11485"/>
    <cellStyle name="Normal 13 5 4 3 2" xfId="25317"/>
    <cellStyle name="Normal 13 5 4 4" xfId="31124"/>
    <cellStyle name="Normal 13 5 5" xfId="6804"/>
    <cellStyle name="Normal 13 5 5 2" xfId="11808"/>
    <cellStyle name="Normal 13 5 5 2 2" xfId="25523"/>
    <cellStyle name="Normal 13 5 5 3" xfId="31126"/>
    <cellStyle name="Normal 13 5 6" xfId="6805"/>
    <cellStyle name="Normal 13 5 6 2" xfId="13409"/>
    <cellStyle name="Normal 13 5 6 2 2" xfId="26958"/>
    <cellStyle name="Normal 13 5 6 3" xfId="31127"/>
    <cellStyle name="Normal 13 5 7" xfId="6806"/>
    <cellStyle name="Normal 13 5 7 2" xfId="13990"/>
    <cellStyle name="Normal 13 5 7 2 2" xfId="27539"/>
    <cellStyle name="Normal 13 5 7 3" xfId="31128"/>
    <cellStyle name="Normal 13 5 8" xfId="6807"/>
    <cellStyle name="Normal 13 5 8 2" xfId="15876"/>
    <cellStyle name="Normal 13 5 8 2 2" xfId="29283"/>
    <cellStyle name="Normal 13 5 8 3" xfId="31129"/>
    <cellStyle name="Normal 13 5 9" xfId="10105"/>
    <cellStyle name="Normal 13 5 9 2" xfId="24334"/>
    <cellStyle name="Normal 13 6" xfId="6808"/>
    <cellStyle name="Normal 13 6 10" xfId="31130"/>
    <cellStyle name="Normal 13 6 2" xfId="6809"/>
    <cellStyle name="Normal 13 6 2 2" xfId="6810"/>
    <cellStyle name="Normal 13 6 2 2 2" xfId="6811"/>
    <cellStyle name="Normal 13 6 2 2 2 2" xfId="6812"/>
    <cellStyle name="Normal 13 6 2 2 2 2 2" xfId="16995"/>
    <cellStyle name="Normal 13 6 2 2 2 2 2 2" xfId="30402"/>
    <cellStyle name="Normal 13 6 2 2 2 2 3" xfId="31134"/>
    <cellStyle name="Normal 13 6 2 2 2 3" xfId="11491"/>
    <cellStyle name="Normal 13 6 2 2 2 3 2" xfId="25323"/>
    <cellStyle name="Normal 13 6 2 2 2 4" xfId="31133"/>
    <cellStyle name="Normal 13 6 2 2 3" xfId="6813"/>
    <cellStyle name="Normal 13 6 2 2 3 2" xfId="12383"/>
    <cellStyle name="Normal 13 6 2 2 3 2 2" xfId="26095"/>
    <cellStyle name="Normal 13 6 2 2 3 3" xfId="31135"/>
    <cellStyle name="Normal 13 6 2 2 4" xfId="6814"/>
    <cellStyle name="Normal 13 6 2 2 4 2" xfId="13947"/>
    <cellStyle name="Normal 13 6 2 2 4 2 2" xfId="27496"/>
    <cellStyle name="Normal 13 6 2 2 4 3" xfId="31136"/>
    <cellStyle name="Normal 13 6 2 2 5" xfId="6815"/>
    <cellStyle name="Normal 13 6 2 2 5 2" xfId="14528"/>
    <cellStyle name="Normal 13 6 2 2 5 2 2" xfId="28077"/>
    <cellStyle name="Normal 13 6 2 2 5 3" xfId="31137"/>
    <cellStyle name="Normal 13 6 2 2 6" xfId="6816"/>
    <cellStyle name="Normal 13 6 2 2 6 2" xfId="16414"/>
    <cellStyle name="Normal 13 6 2 2 6 2 2" xfId="29821"/>
    <cellStyle name="Normal 13 6 2 2 6 3" xfId="31138"/>
    <cellStyle name="Normal 13 6 2 2 7" xfId="10111"/>
    <cellStyle name="Normal 13 6 2 2 7 2" xfId="24340"/>
    <cellStyle name="Normal 13 6 2 2 8" xfId="31132"/>
    <cellStyle name="Normal 13 6 2 3" xfId="6817"/>
    <cellStyle name="Normal 13 6 2 3 2" xfId="6818"/>
    <cellStyle name="Normal 13 6 2 3 2 2" xfId="16706"/>
    <cellStyle name="Normal 13 6 2 3 2 2 2" xfId="30113"/>
    <cellStyle name="Normal 13 6 2 3 2 3" xfId="31140"/>
    <cellStyle name="Normal 13 6 2 3 3" xfId="11490"/>
    <cellStyle name="Normal 13 6 2 3 3 2" xfId="25322"/>
    <cellStyle name="Normal 13 6 2 3 4" xfId="31139"/>
    <cellStyle name="Normal 13 6 2 4" xfId="6819"/>
    <cellStyle name="Normal 13 6 2 4 2" xfId="12083"/>
    <cellStyle name="Normal 13 6 2 4 2 2" xfId="25798"/>
    <cellStyle name="Normal 13 6 2 4 3" xfId="31141"/>
    <cellStyle name="Normal 13 6 2 5" xfId="6820"/>
    <cellStyle name="Normal 13 6 2 5 2" xfId="13658"/>
    <cellStyle name="Normal 13 6 2 5 2 2" xfId="27207"/>
    <cellStyle name="Normal 13 6 2 5 3" xfId="31142"/>
    <cellStyle name="Normal 13 6 2 6" xfId="6821"/>
    <cellStyle name="Normal 13 6 2 6 2" xfId="14239"/>
    <cellStyle name="Normal 13 6 2 6 2 2" xfId="27788"/>
    <cellStyle name="Normal 13 6 2 6 3" xfId="31143"/>
    <cellStyle name="Normal 13 6 2 7" xfId="6822"/>
    <cellStyle name="Normal 13 6 2 7 2" xfId="16125"/>
    <cellStyle name="Normal 13 6 2 7 2 2" xfId="29532"/>
    <cellStyle name="Normal 13 6 2 7 3" xfId="31144"/>
    <cellStyle name="Normal 13 6 2 8" xfId="10110"/>
    <cellStyle name="Normal 13 6 2 8 2" xfId="24339"/>
    <cellStyle name="Normal 13 6 2 9" xfId="31131"/>
    <cellStyle name="Normal 13 6 3" xfId="6823"/>
    <cellStyle name="Normal 13 6 3 2" xfId="6824"/>
    <cellStyle name="Normal 13 6 3 2 2" xfId="6825"/>
    <cellStyle name="Normal 13 6 3 2 2 2" xfId="16852"/>
    <cellStyle name="Normal 13 6 3 2 2 2 2" xfId="30259"/>
    <cellStyle name="Normal 13 6 3 2 2 3" xfId="31147"/>
    <cellStyle name="Normal 13 6 3 2 3" xfId="11492"/>
    <cellStyle name="Normal 13 6 3 2 3 2" xfId="25324"/>
    <cellStyle name="Normal 13 6 3 2 4" xfId="31146"/>
    <cellStyle name="Normal 13 6 3 3" xfId="6826"/>
    <cellStyle name="Normal 13 6 3 3 2" xfId="12240"/>
    <cellStyle name="Normal 13 6 3 3 2 2" xfId="25952"/>
    <cellStyle name="Normal 13 6 3 3 3" xfId="31148"/>
    <cellStyle name="Normal 13 6 3 4" xfId="6827"/>
    <cellStyle name="Normal 13 6 3 4 2" xfId="13804"/>
    <cellStyle name="Normal 13 6 3 4 2 2" xfId="27353"/>
    <cellStyle name="Normal 13 6 3 4 3" xfId="31149"/>
    <cellStyle name="Normal 13 6 3 5" xfId="6828"/>
    <cellStyle name="Normal 13 6 3 5 2" xfId="14385"/>
    <cellStyle name="Normal 13 6 3 5 2 2" xfId="27934"/>
    <cellStyle name="Normal 13 6 3 5 3" xfId="31150"/>
    <cellStyle name="Normal 13 6 3 6" xfId="6829"/>
    <cellStyle name="Normal 13 6 3 6 2" xfId="16271"/>
    <cellStyle name="Normal 13 6 3 6 2 2" xfId="29678"/>
    <cellStyle name="Normal 13 6 3 6 3" xfId="31151"/>
    <cellStyle name="Normal 13 6 3 7" xfId="10112"/>
    <cellStyle name="Normal 13 6 3 7 2" xfId="24341"/>
    <cellStyle name="Normal 13 6 3 8" xfId="31145"/>
    <cellStyle name="Normal 13 6 4" xfId="6830"/>
    <cellStyle name="Normal 13 6 4 2" xfId="6831"/>
    <cellStyle name="Normal 13 6 4 2 2" xfId="16563"/>
    <cellStyle name="Normal 13 6 4 2 2 2" xfId="29970"/>
    <cellStyle name="Normal 13 6 4 2 3" xfId="31153"/>
    <cellStyle name="Normal 13 6 4 3" xfId="11489"/>
    <cellStyle name="Normal 13 6 4 3 2" xfId="25321"/>
    <cellStyle name="Normal 13 6 4 4" xfId="31152"/>
    <cellStyle name="Normal 13 6 5" xfId="6832"/>
    <cellStyle name="Normal 13 6 5 2" xfId="11938"/>
    <cellStyle name="Normal 13 6 5 2 2" xfId="25653"/>
    <cellStyle name="Normal 13 6 5 3" xfId="31154"/>
    <cellStyle name="Normal 13 6 6" xfId="6833"/>
    <cellStyle name="Normal 13 6 6 2" xfId="13515"/>
    <cellStyle name="Normal 13 6 6 2 2" xfId="27064"/>
    <cellStyle name="Normal 13 6 6 3" xfId="31155"/>
    <cellStyle name="Normal 13 6 7" xfId="6834"/>
    <cellStyle name="Normal 13 6 7 2" xfId="14096"/>
    <cellStyle name="Normal 13 6 7 2 2" xfId="27645"/>
    <cellStyle name="Normal 13 6 7 3" xfId="31156"/>
    <cellStyle name="Normal 13 6 8" xfId="6835"/>
    <cellStyle name="Normal 13 6 8 2" xfId="15982"/>
    <cellStyle name="Normal 13 6 8 2 2" xfId="29389"/>
    <cellStyle name="Normal 13 6 8 3" xfId="31157"/>
    <cellStyle name="Normal 13 6 9" xfId="10109"/>
    <cellStyle name="Normal 13 6 9 2" xfId="24338"/>
    <cellStyle name="Normal 13 7" xfId="6836"/>
    <cellStyle name="Normal 13 7 2" xfId="6837"/>
    <cellStyle name="Normal 13 7 2 2" xfId="6838"/>
    <cellStyle name="Normal 13 7 2 2 2" xfId="6839"/>
    <cellStyle name="Normal 13 7 2 2 2 2" xfId="16872"/>
    <cellStyle name="Normal 13 7 2 2 2 2 2" xfId="30279"/>
    <cellStyle name="Normal 13 7 2 2 2 3" xfId="31161"/>
    <cellStyle name="Normal 13 7 2 2 3" xfId="11494"/>
    <cellStyle name="Normal 13 7 2 2 3 2" xfId="25326"/>
    <cellStyle name="Normal 13 7 2 2 4" xfId="31160"/>
    <cellStyle name="Normal 13 7 2 3" xfId="6840"/>
    <cellStyle name="Normal 13 7 2 3 2" xfId="12260"/>
    <cellStyle name="Normal 13 7 2 3 2 2" xfId="25972"/>
    <cellStyle name="Normal 13 7 2 3 3" xfId="31162"/>
    <cellStyle name="Normal 13 7 2 4" xfId="6841"/>
    <cellStyle name="Normal 13 7 2 4 2" xfId="13824"/>
    <cellStyle name="Normal 13 7 2 4 2 2" xfId="27373"/>
    <cellStyle name="Normal 13 7 2 4 3" xfId="31163"/>
    <cellStyle name="Normal 13 7 2 5" xfId="6842"/>
    <cellStyle name="Normal 13 7 2 5 2" xfId="14405"/>
    <cellStyle name="Normal 13 7 2 5 2 2" xfId="27954"/>
    <cellStyle name="Normal 13 7 2 5 3" xfId="31164"/>
    <cellStyle name="Normal 13 7 2 6" xfId="6843"/>
    <cellStyle name="Normal 13 7 2 6 2" xfId="16291"/>
    <cellStyle name="Normal 13 7 2 6 2 2" xfId="29698"/>
    <cellStyle name="Normal 13 7 2 6 3" xfId="31165"/>
    <cellStyle name="Normal 13 7 2 7" xfId="10114"/>
    <cellStyle name="Normal 13 7 2 7 2" xfId="24343"/>
    <cellStyle name="Normal 13 7 2 8" xfId="31159"/>
    <cellStyle name="Normal 13 7 3" xfId="6844"/>
    <cellStyle name="Normal 13 7 3 2" xfId="6845"/>
    <cellStyle name="Normal 13 7 3 2 2" xfId="16583"/>
    <cellStyle name="Normal 13 7 3 2 2 2" xfId="29990"/>
    <cellStyle name="Normal 13 7 3 2 3" xfId="31167"/>
    <cellStyle name="Normal 13 7 3 3" xfId="11493"/>
    <cellStyle name="Normal 13 7 3 3 2" xfId="25325"/>
    <cellStyle name="Normal 13 7 3 4" xfId="31166"/>
    <cellStyle name="Normal 13 7 4" xfId="6846"/>
    <cellStyle name="Normal 13 7 4 2" xfId="11960"/>
    <cellStyle name="Normal 13 7 4 2 2" xfId="25675"/>
    <cellStyle name="Normal 13 7 4 3" xfId="31168"/>
    <cellStyle name="Normal 13 7 5" xfId="6847"/>
    <cellStyle name="Normal 13 7 5 2" xfId="13535"/>
    <cellStyle name="Normal 13 7 5 2 2" xfId="27084"/>
    <cellStyle name="Normal 13 7 5 3" xfId="31169"/>
    <cellStyle name="Normal 13 7 6" xfId="6848"/>
    <cellStyle name="Normal 13 7 6 2" xfId="14116"/>
    <cellStyle name="Normal 13 7 6 2 2" xfId="27665"/>
    <cellStyle name="Normal 13 7 6 3" xfId="31170"/>
    <cellStyle name="Normal 13 7 7" xfId="6849"/>
    <cellStyle name="Normal 13 7 7 2" xfId="16002"/>
    <cellStyle name="Normal 13 7 7 2 2" xfId="29409"/>
    <cellStyle name="Normal 13 7 7 3" xfId="31171"/>
    <cellStyle name="Normal 13 7 8" xfId="10113"/>
    <cellStyle name="Normal 13 7 8 2" xfId="24342"/>
    <cellStyle name="Normal 13 7 9" xfId="31158"/>
    <cellStyle name="Normal 13 8" xfId="6850"/>
    <cellStyle name="Normal 13 8 2" xfId="6851"/>
    <cellStyle name="Normal 13 8 2 2" xfId="6852"/>
    <cellStyle name="Normal 13 8 2 2 2" xfId="16728"/>
    <cellStyle name="Normal 13 8 2 2 2 2" xfId="30135"/>
    <cellStyle name="Normal 13 8 2 2 3" xfId="31174"/>
    <cellStyle name="Normal 13 8 2 3" xfId="11495"/>
    <cellStyle name="Normal 13 8 2 3 2" xfId="25327"/>
    <cellStyle name="Normal 13 8 2 4" xfId="31173"/>
    <cellStyle name="Normal 13 8 3" xfId="6853"/>
    <cellStyle name="Normal 13 8 3 2" xfId="12113"/>
    <cellStyle name="Normal 13 8 3 2 2" xfId="25825"/>
    <cellStyle name="Normal 13 8 3 3" xfId="31175"/>
    <cellStyle name="Normal 13 8 4" xfId="6854"/>
    <cellStyle name="Normal 13 8 4 2" xfId="13680"/>
    <cellStyle name="Normal 13 8 4 2 2" xfId="27229"/>
    <cellStyle name="Normal 13 8 4 3" xfId="31176"/>
    <cellStyle name="Normal 13 8 5" xfId="6855"/>
    <cellStyle name="Normal 13 8 5 2" xfId="14261"/>
    <cellStyle name="Normal 13 8 5 2 2" xfId="27810"/>
    <cellStyle name="Normal 13 8 5 3" xfId="31177"/>
    <cellStyle name="Normal 13 8 6" xfId="6856"/>
    <cellStyle name="Normal 13 8 6 2" xfId="16147"/>
    <cellStyle name="Normal 13 8 6 2 2" xfId="29554"/>
    <cellStyle name="Normal 13 8 6 3" xfId="31178"/>
    <cellStyle name="Normal 13 8 7" xfId="10115"/>
    <cellStyle name="Normal 13 8 7 2" xfId="24344"/>
    <cellStyle name="Normal 13 8 8" xfId="31172"/>
    <cellStyle name="Normal 13 9" xfId="6857"/>
    <cellStyle name="Normal 13 9 2" xfId="6858"/>
    <cellStyle name="Normal 13 9 2 2" xfId="11724"/>
    <cellStyle name="Normal 13 9 2 2 2" xfId="25444"/>
    <cellStyle name="Normal 13 9 2 3" xfId="31180"/>
    <cellStyle name="Normal 13 9 3" xfId="6859"/>
    <cellStyle name="Normal 13 9 3 2" xfId="13242"/>
    <cellStyle name="Normal 13 9 3 2 2" xfId="26887"/>
    <cellStyle name="Normal 13 9 3 3" xfId="31181"/>
    <cellStyle name="Normal 13 9 4" xfId="6860"/>
    <cellStyle name="Normal 13 9 4 2" xfId="15693"/>
    <cellStyle name="Normal 13 9 4 2 2" xfId="29179"/>
    <cellStyle name="Normal 13 9 4 3" xfId="31182"/>
    <cellStyle name="Normal 13 9 5" xfId="6861"/>
    <cellStyle name="Normal 13 9 5 2" xfId="17036"/>
    <cellStyle name="Normal 13 9 5 2 2" xfId="30439"/>
    <cellStyle name="Normal 13 9 5 3" xfId="31183"/>
    <cellStyle name="Normal 13 9 6" xfId="10497"/>
    <cellStyle name="Normal 13 9 6 2" xfId="24448"/>
    <cellStyle name="Normal 13 9 7" xfId="31179"/>
    <cellStyle name="Normal 14" xfId="6862"/>
    <cellStyle name="Normal 14 10" xfId="6863"/>
    <cellStyle name="Normal 14 10 2" xfId="6864"/>
    <cellStyle name="Normal 14 10 2 2" xfId="17291"/>
    <cellStyle name="Normal 14 10 2 2 2" xfId="30650"/>
    <cellStyle name="Normal 14 10 2 3" xfId="31186"/>
    <cellStyle name="Normal 14 10 3" xfId="14010"/>
    <cellStyle name="Normal 14 10 3 2" xfId="27559"/>
    <cellStyle name="Normal 14 10 4" xfId="31185"/>
    <cellStyle name="Normal 14 11" xfId="6865"/>
    <cellStyle name="Normal 14 11 2" xfId="16477"/>
    <cellStyle name="Normal 14 11 2 2" xfId="29884"/>
    <cellStyle name="Normal 14 11 3" xfId="31187"/>
    <cellStyle name="Normal 14 12" xfId="6866"/>
    <cellStyle name="Normal 14 12 2" xfId="15896"/>
    <cellStyle name="Normal 14 12 2 2" xfId="29303"/>
    <cellStyle name="Normal 14 12 3" xfId="31188"/>
    <cellStyle name="Normal 14 13" xfId="10116"/>
    <cellStyle name="Normal 14 14" xfId="31184"/>
    <cellStyle name="Normal 14 15" xfId="33038"/>
    <cellStyle name="Normal 14 2" xfId="6867"/>
    <cellStyle name="Normal 14 2 10" xfId="10117"/>
    <cellStyle name="Normal 14 2 10 2" xfId="24345"/>
    <cellStyle name="Normal 14 2 11" xfId="31189"/>
    <cellStyle name="Normal 14 2 2" xfId="6868"/>
    <cellStyle name="Normal 14 2 2 10" xfId="31190"/>
    <cellStyle name="Normal 14 2 2 2" xfId="6869"/>
    <cellStyle name="Normal 14 2 2 2 2" xfId="6870"/>
    <cellStyle name="Normal 14 2 2 2 2 2" xfId="6871"/>
    <cellStyle name="Normal 14 2 2 2 2 2 2" xfId="6872"/>
    <cellStyle name="Normal 14 2 2 2 2 2 2 2" xfId="16978"/>
    <cellStyle name="Normal 14 2 2 2 2 2 2 2 2" xfId="30385"/>
    <cellStyle name="Normal 14 2 2 2 2 2 2 3" xfId="31194"/>
    <cellStyle name="Normal 14 2 2 2 2 2 3" xfId="11499"/>
    <cellStyle name="Normal 14 2 2 2 2 2 3 2" xfId="25331"/>
    <cellStyle name="Normal 14 2 2 2 2 2 4" xfId="31193"/>
    <cellStyle name="Normal 14 2 2 2 2 3" xfId="6873"/>
    <cellStyle name="Normal 14 2 2 2 2 3 2" xfId="12366"/>
    <cellStyle name="Normal 14 2 2 2 2 3 2 2" xfId="26078"/>
    <cellStyle name="Normal 14 2 2 2 2 3 3" xfId="31195"/>
    <cellStyle name="Normal 14 2 2 2 2 4" xfId="6874"/>
    <cellStyle name="Normal 14 2 2 2 2 4 2" xfId="13930"/>
    <cellStyle name="Normal 14 2 2 2 2 4 2 2" xfId="27479"/>
    <cellStyle name="Normal 14 2 2 2 2 4 3" xfId="31196"/>
    <cellStyle name="Normal 14 2 2 2 2 5" xfId="6875"/>
    <cellStyle name="Normal 14 2 2 2 2 5 2" xfId="14511"/>
    <cellStyle name="Normal 14 2 2 2 2 5 2 2" xfId="28060"/>
    <cellStyle name="Normal 14 2 2 2 2 5 3" xfId="31197"/>
    <cellStyle name="Normal 14 2 2 2 2 6" xfId="6876"/>
    <cellStyle name="Normal 14 2 2 2 2 6 2" xfId="16397"/>
    <cellStyle name="Normal 14 2 2 2 2 6 2 2" xfId="29804"/>
    <cellStyle name="Normal 14 2 2 2 2 6 3" xfId="31198"/>
    <cellStyle name="Normal 14 2 2 2 2 7" xfId="10120"/>
    <cellStyle name="Normal 14 2 2 2 2 7 2" xfId="24348"/>
    <cellStyle name="Normal 14 2 2 2 2 8" xfId="31192"/>
    <cellStyle name="Normal 14 2 2 2 3" xfId="6877"/>
    <cellStyle name="Normal 14 2 2 2 3 2" xfId="6878"/>
    <cellStyle name="Normal 14 2 2 2 3 2 2" xfId="16689"/>
    <cellStyle name="Normal 14 2 2 2 3 2 2 2" xfId="30096"/>
    <cellStyle name="Normal 14 2 2 2 3 2 3" xfId="31200"/>
    <cellStyle name="Normal 14 2 2 2 3 3" xfId="11498"/>
    <cellStyle name="Normal 14 2 2 2 3 3 2" xfId="25330"/>
    <cellStyle name="Normal 14 2 2 2 3 4" xfId="31199"/>
    <cellStyle name="Normal 14 2 2 2 4" xfId="6879"/>
    <cellStyle name="Normal 14 2 2 2 4 2" xfId="12066"/>
    <cellStyle name="Normal 14 2 2 2 4 2 2" xfId="25781"/>
    <cellStyle name="Normal 14 2 2 2 4 3" xfId="31201"/>
    <cellStyle name="Normal 14 2 2 2 5" xfId="6880"/>
    <cellStyle name="Normal 14 2 2 2 5 2" xfId="13641"/>
    <cellStyle name="Normal 14 2 2 2 5 2 2" xfId="27190"/>
    <cellStyle name="Normal 14 2 2 2 5 3" xfId="31202"/>
    <cellStyle name="Normal 14 2 2 2 6" xfId="6881"/>
    <cellStyle name="Normal 14 2 2 2 6 2" xfId="14222"/>
    <cellStyle name="Normal 14 2 2 2 6 2 2" xfId="27771"/>
    <cellStyle name="Normal 14 2 2 2 6 3" xfId="31203"/>
    <cellStyle name="Normal 14 2 2 2 7" xfId="6882"/>
    <cellStyle name="Normal 14 2 2 2 7 2" xfId="16108"/>
    <cellStyle name="Normal 14 2 2 2 7 2 2" xfId="29515"/>
    <cellStyle name="Normal 14 2 2 2 7 3" xfId="31204"/>
    <cellStyle name="Normal 14 2 2 2 8" xfId="10119"/>
    <cellStyle name="Normal 14 2 2 2 8 2" xfId="24347"/>
    <cellStyle name="Normal 14 2 2 2 9" xfId="31191"/>
    <cellStyle name="Normal 14 2 2 3" xfId="6883"/>
    <cellStyle name="Normal 14 2 2 3 2" xfId="6884"/>
    <cellStyle name="Normal 14 2 2 3 2 2" xfId="6885"/>
    <cellStyle name="Normal 14 2 2 3 2 2 2" xfId="16835"/>
    <cellStyle name="Normal 14 2 2 3 2 2 2 2" xfId="30242"/>
    <cellStyle name="Normal 14 2 2 3 2 2 3" xfId="31207"/>
    <cellStyle name="Normal 14 2 2 3 2 3" xfId="11500"/>
    <cellStyle name="Normal 14 2 2 3 2 3 2" xfId="25332"/>
    <cellStyle name="Normal 14 2 2 3 2 4" xfId="31206"/>
    <cellStyle name="Normal 14 2 2 3 3" xfId="6886"/>
    <cellStyle name="Normal 14 2 2 3 3 2" xfId="12223"/>
    <cellStyle name="Normal 14 2 2 3 3 2 2" xfId="25935"/>
    <cellStyle name="Normal 14 2 2 3 3 3" xfId="31208"/>
    <cellStyle name="Normal 14 2 2 3 4" xfId="6887"/>
    <cellStyle name="Normal 14 2 2 3 4 2" xfId="13787"/>
    <cellStyle name="Normal 14 2 2 3 4 2 2" xfId="27336"/>
    <cellStyle name="Normal 14 2 2 3 4 3" xfId="31209"/>
    <cellStyle name="Normal 14 2 2 3 5" xfId="6888"/>
    <cellStyle name="Normal 14 2 2 3 5 2" xfId="14368"/>
    <cellStyle name="Normal 14 2 2 3 5 2 2" xfId="27917"/>
    <cellStyle name="Normal 14 2 2 3 5 3" xfId="31210"/>
    <cellStyle name="Normal 14 2 2 3 6" xfId="6889"/>
    <cellStyle name="Normal 14 2 2 3 6 2" xfId="16254"/>
    <cellStyle name="Normal 14 2 2 3 6 2 2" xfId="29661"/>
    <cellStyle name="Normal 14 2 2 3 6 3" xfId="31211"/>
    <cellStyle name="Normal 14 2 2 3 7" xfId="10121"/>
    <cellStyle name="Normal 14 2 2 3 7 2" xfId="24349"/>
    <cellStyle name="Normal 14 2 2 3 8" xfId="31205"/>
    <cellStyle name="Normal 14 2 2 4" xfId="6890"/>
    <cellStyle name="Normal 14 2 2 4 2" xfId="6891"/>
    <cellStyle name="Normal 14 2 2 4 2 2" xfId="17182"/>
    <cellStyle name="Normal 14 2 2 4 2 2 2" xfId="30541"/>
    <cellStyle name="Normal 14 2 2 4 2 3" xfId="31213"/>
    <cellStyle name="Normal 14 2 2 4 3" xfId="11497"/>
    <cellStyle name="Normal 14 2 2 4 3 2" xfId="25329"/>
    <cellStyle name="Normal 14 2 2 4 4" xfId="31212"/>
    <cellStyle name="Normal 14 2 2 5" xfId="6892"/>
    <cellStyle name="Normal 14 2 2 5 2" xfId="6893"/>
    <cellStyle name="Normal 14 2 2 5 2 2" xfId="17271"/>
    <cellStyle name="Normal 14 2 2 5 2 2 2" xfId="30630"/>
    <cellStyle name="Normal 14 2 2 5 2 3" xfId="31215"/>
    <cellStyle name="Normal 14 2 2 5 3" xfId="11921"/>
    <cellStyle name="Normal 14 2 2 5 3 2" xfId="25636"/>
    <cellStyle name="Normal 14 2 2 5 4" xfId="31214"/>
    <cellStyle name="Normal 14 2 2 6" xfId="6894"/>
    <cellStyle name="Normal 14 2 2 6 2" xfId="6895"/>
    <cellStyle name="Normal 14 2 2 6 2 2" xfId="16546"/>
    <cellStyle name="Normal 14 2 2 6 2 2 2" xfId="29953"/>
    <cellStyle name="Normal 14 2 2 6 2 3" xfId="31217"/>
    <cellStyle name="Normal 14 2 2 6 3" xfId="13498"/>
    <cellStyle name="Normal 14 2 2 6 3 2" xfId="27047"/>
    <cellStyle name="Normal 14 2 2 6 4" xfId="31216"/>
    <cellStyle name="Normal 14 2 2 7" xfId="6896"/>
    <cellStyle name="Normal 14 2 2 7 2" xfId="14079"/>
    <cellStyle name="Normal 14 2 2 7 2 2" xfId="27628"/>
    <cellStyle name="Normal 14 2 2 7 3" xfId="31218"/>
    <cellStyle name="Normal 14 2 2 8" xfId="6897"/>
    <cellStyle name="Normal 14 2 2 8 2" xfId="15965"/>
    <cellStyle name="Normal 14 2 2 8 2 2" xfId="29372"/>
    <cellStyle name="Normal 14 2 2 8 3" xfId="31219"/>
    <cellStyle name="Normal 14 2 2 9" xfId="10118"/>
    <cellStyle name="Normal 14 2 2 9 2" xfId="24346"/>
    <cellStyle name="Normal 14 2 3" xfId="6898"/>
    <cellStyle name="Normal 14 2 3 2" xfId="6899"/>
    <cellStyle name="Normal 14 2 3 2 2" xfId="6900"/>
    <cellStyle name="Normal 14 2 3 2 2 2" xfId="6901"/>
    <cellStyle name="Normal 14 2 3 2 2 2 2" xfId="16932"/>
    <cellStyle name="Normal 14 2 3 2 2 2 2 2" xfId="30339"/>
    <cellStyle name="Normal 14 2 3 2 2 2 3" xfId="31223"/>
    <cellStyle name="Normal 14 2 3 2 2 3" xfId="11502"/>
    <cellStyle name="Normal 14 2 3 2 2 3 2" xfId="25334"/>
    <cellStyle name="Normal 14 2 3 2 2 4" xfId="31222"/>
    <cellStyle name="Normal 14 2 3 2 3" xfId="6902"/>
    <cellStyle name="Normal 14 2 3 2 3 2" xfId="12320"/>
    <cellStyle name="Normal 14 2 3 2 3 2 2" xfId="26032"/>
    <cellStyle name="Normal 14 2 3 2 3 3" xfId="31224"/>
    <cellStyle name="Normal 14 2 3 2 4" xfId="6903"/>
    <cellStyle name="Normal 14 2 3 2 4 2" xfId="13884"/>
    <cellStyle name="Normal 14 2 3 2 4 2 2" xfId="27433"/>
    <cellStyle name="Normal 14 2 3 2 4 3" xfId="31225"/>
    <cellStyle name="Normal 14 2 3 2 5" xfId="6904"/>
    <cellStyle name="Normal 14 2 3 2 5 2" xfId="14465"/>
    <cellStyle name="Normal 14 2 3 2 5 2 2" xfId="28014"/>
    <cellStyle name="Normal 14 2 3 2 5 3" xfId="31226"/>
    <cellStyle name="Normal 14 2 3 2 6" xfId="6905"/>
    <cellStyle name="Normal 14 2 3 2 6 2" xfId="16351"/>
    <cellStyle name="Normal 14 2 3 2 6 2 2" xfId="29758"/>
    <cellStyle name="Normal 14 2 3 2 6 3" xfId="31227"/>
    <cellStyle name="Normal 14 2 3 2 7" xfId="10123"/>
    <cellStyle name="Normal 14 2 3 2 7 2" xfId="24351"/>
    <cellStyle name="Normal 14 2 3 2 8" xfId="31221"/>
    <cellStyle name="Normal 14 2 3 3" xfId="6906"/>
    <cellStyle name="Normal 14 2 3 3 2" xfId="6907"/>
    <cellStyle name="Normal 14 2 3 3 2 2" xfId="16643"/>
    <cellStyle name="Normal 14 2 3 3 2 2 2" xfId="30050"/>
    <cellStyle name="Normal 14 2 3 3 2 3" xfId="31229"/>
    <cellStyle name="Normal 14 2 3 3 3" xfId="11501"/>
    <cellStyle name="Normal 14 2 3 3 3 2" xfId="25333"/>
    <cellStyle name="Normal 14 2 3 3 4" xfId="31228"/>
    <cellStyle name="Normal 14 2 3 4" xfId="6908"/>
    <cellStyle name="Normal 14 2 3 4 2" xfId="12020"/>
    <cellStyle name="Normal 14 2 3 4 2 2" xfId="25735"/>
    <cellStyle name="Normal 14 2 3 4 3" xfId="31230"/>
    <cellStyle name="Normal 14 2 3 5" xfId="6909"/>
    <cellStyle name="Normal 14 2 3 5 2" xfId="13595"/>
    <cellStyle name="Normal 14 2 3 5 2 2" xfId="27144"/>
    <cellStyle name="Normal 14 2 3 5 3" xfId="31231"/>
    <cellStyle name="Normal 14 2 3 6" xfId="6910"/>
    <cellStyle name="Normal 14 2 3 6 2" xfId="14176"/>
    <cellStyle name="Normal 14 2 3 6 2 2" xfId="27725"/>
    <cellStyle name="Normal 14 2 3 6 3" xfId="31232"/>
    <cellStyle name="Normal 14 2 3 7" xfId="6911"/>
    <cellStyle name="Normal 14 2 3 7 2" xfId="16062"/>
    <cellStyle name="Normal 14 2 3 7 2 2" xfId="29469"/>
    <cellStyle name="Normal 14 2 3 7 3" xfId="31233"/>
    <cellStyle name="Normal 14 2 3 8" xfId="10122"/>
    <cellStyle name="Normal 14 2 3 8 2" xfId="24350"/>
    <cellStyle name="Normal 14 2 3 9" xfId="31220"/>
    <cellStyle name="Normal 14 2 4" xfId="6912"/>
    <cellStyle name="Normal 14 2 4 2" xfId="6913"/>
    <cellStyle name="Normal 14 2 4 2 2" xfId="6914"/>
    <cellStyle name="Normal 14 2 4 2 2 2" xfId="16789"/>
    <cellStyle name="Normal 14 2 4 2 2 2 2" xfId="30196"/>
    <cellStyle name="Normal 14 2 4 2 2 3" xfId="31236"/>
    <cellStyle name="Normal 14 2 4 2 3" xfId="11503"/>
    <cellStyle name="Normal 14 2 4 2 3 2" xfId="25335"/>
    <cellStyle name="Normal 14 2 4 2 4" xfId="31235"/>
    <cellStyle name="Normal 14 2 4 3" xfId="6915"/>
    <cellStyle name="Normal 14 2 4 3 2" xfId="12177"/>
    <cellStyle name="Normal 14 2 4 3 2 2" xfId="25889"/>
    <cellStyle name="Normal 14 2 4 3 3" xfId="31237"/>
    <cellStyle name="Normal 14 2 4 4" xfId="6916"/>
    <cellStyle name="Normal 14 2 4 4 2" xfId="13741"/>
    <cellStyle name="Normal 14 2 4 4 2 2" xfId="27290"/>
    <cellStyle name="Normal 14 2 4 4 3" xfId="31238"/>
    <cellStyle name="Normal 14 2 4 5" xfId="6917"/>
    <cellStyle name="Normal 14 2 4 5 2" xfId="14322"/>
    <cellStyle name="Normal 14 2 4 5 2 2" xfId="27871"/>
    <cellStyle name="Normal 14 2 4 5 3" xfId="31239"/>
    <cellStyle name="Normal 14 2 4 6" xfId="6918"/>
    <cellStyle name="Normal 14 2 4 6 2" xfId="16208"/>
    <cellStyle name="Normal 14 2 4 6 2 2" xfId="29615"/>
    <cellStyle name="Normal 14 2 4 6 3" xfId="31240"/>
    <cellStyle name="Normal 14 2 4 7" xfId="10124"/>
    <cellStyle name="Normal 14 2 4 7 2" xfId="24352"/>
    <cellStyle name="Normal 14 2 4 8" xfId="31234"/>
    <cellStyle name="Normal 14 2 5" xfId="6919"/>
    <cellStyle name="Normal 14 2 5 2" xfId="6920"/>
    <cellStyle name="Normal 14 2 5 2 2" xfId="17136"/>
    <cellStyle name="Normal 14 2 5 2 2 2" xfId="30495"/>
    <cellStyle name="Normal 14 2 5 2 3" xfId="31242"/>
    <cellStyle name="Normal 14 2 5 3" xfId="11496"/>
    <cellStyle name="Normal 14 2 5 3 2" xfId="25328"/>
    <cellStyle name="Normal 14 2 5 4" xfId="31241"/>
    <cellStyle name="Normal 14 2 6" xfId="6921"/>
    <cellStyle name="Normal 14 2 6 2" xfId="6922"/>
    <cellStyle name="Normal 14 2 6 2 2" xfId="17225"/>
    <cellStyle name="Normal 14 2 6 2 2 2" xfId="30584"/>
    <cellStyle name="Normal 14 2 6 2 3" xfId="31244"/>
    <cellStyle name="Normal 14 2 6 3" xfId="11864"/>
    <cellStyle name="Normal 14 2 6 3 2" xfId="25579"/>
    <cellStyle name="Normal 14 2 6 4" xfId="31243"/>
    <cellStyle name="Normal 14 2 7" xfId="6923"/>
    <cellStyle name="Normal 14 2 7 2" xfId="6924"/>
    <cellStyle name="Normal 14 2 7 2 2" xfId="16500"/>
    <cellStyle name="Normal 14 2 7 2 2 2" xfId="29907"/>
    <cellStyle name="Normal 14 2 7 2 3" xfId="31246"/>
    <cellStyle name="Normal 14 2 7 3" xfId="13452"/>
    <cellStyle name="Normal 14 2 7 3 2" xfId="27001"/>
    <cellStyle name="Normal 14 2 7 4" xfId="31245"/>
    <cellStyle name="Normal 14 2 8" xfId="6925"/>
    <cellStyle name="Normal 14 2 8 2" xfId="14033"/>
    <cellStyle name="Normal 14 2 8 2 2" xfId="27582"/>
    <cellStyle name="Normal 14 2 8 3" xfId="31247"/>
    <cellStyle name="Normal 14 2 9" xfId="6926"/>
    <cellStyle name="Normal 14 2 9 2" xfId="15919"/>
    <cellStyle name="Normal 14 2 9 2 2" xfId="29326"/>
    <cellStyle name="Normal 14 2 9 3" xfId="31248"/>
    <cellStyle name="Normal 14 3" xfId="6927"/>
    <cellStyle name="Normal 14 3 10" xfId="31249"/>
    <cellStyle name="Normal 14 3 2" xfId="6928"/>
    <cellStyle name="Normal 14 3 2 2" xfId="6929"/>
    <cellStyle name="Normal 14 3 2 2 2" xfId="6930"/>
    <cellStyle name="Normal 14 3 2 2 2 2" xfId="6931"/>
    <cellStyle name="Normal 14 3 2 2 2 2 2" xfId="16955"/>
    <cellStyle name="Normal 14 3 2 2 2 2 2 2" xfId="30362"/>
    <cellStyle name="Normal 14 3 2 2 2 2 3" xfId="31253"/>
    <cellStyle name="Normal 14 3 2 2 2 3" xfId="11506"/>
    <cellStyle name="Normal 14 3 2 2 2 3 2" xfId="25338"/>
    <cellStyle name="Normal 14 3 2 2 2 4" xfId="31252"/>
    <cellStyle name="Normal 14 3 2 2 3" xfId="6932"/>
    <cellStyle name="Normal 14 3 2 2 3 2" xfId="12343"/>
    <cellStyle name="Normal 14 3 2 2 3 2 2" xfId="26055"/>
    <cellStyle name="Normal 14 3 2 2 3 3" xfId="31254"/>
    <cellStyle name="Normal 14 3 2 2 4" xfId="6933"/>
    <cellStyle name="Normal 14 3 2 2 4 2" xfId="13907"/>
    <cellStyle name="Normal 14 3 2 2 4 2 2" xfId="27456"/>
    <cellStyle name="Normal 14 3 2 2 4 3" xfId="31255"/>
    <cellStyle name="Normal 14 3 2 2 5" xfId="6934"/>
    <cellStyle name="Normal 14 3 2 2 5 2" xfId="14488"/>
    <cellStyle name="Normal 14 3 2 2 5 2 2" xfId="28037"/>
    <cellStyle name="Normal 14 3 2 2 5 3" xfId="31256"/>
    <cellStyle name="Normal 14 3 2 2 6" xfId="6935"/>
    <cellStyle name="Normal 14 3 2 2 6 2" xfId="16374"/>
    <cellStyle name="Normal 14 3 2 2 6 2 2" xfId="29781"/>
    <cellStyle name="Normal 14 3 2 2 6 3" xfId="31257"/>
    <cellStyle name="Normal 14 3 2 2 7" xfId="10127"/>
    <cellStyle name="Normal 14 3 2 2 7 2" xfId="24355"/>
    <cellStyle name="Normal 14 3 2 2 8" xfId="31251"/>
    <cellStyle name="Normal 14 3 2 3" xfId="6936"/>
    <cellStyle name="Normal 14 3 2 3 2" xfId="6937"/>
    <cellStyle name="Normal 14 3 2 3 2 2" xfId="16666"/>
    <cellStyle name="Normal 14 3 2 3 2 2 2" xfId="30073"/>
    <cellStyle name="Normal 14 3 2 3 2 3" xfId="31259"/>
    <cellStyle name="Normal 14 3 2 3 3" xfId="11505"/>
    <cellStyle name="Normal 14 3 2 3 3 2" xfId="25337"/>
    <cellStyle name="Normal 14 3 2 3 4" xfId="31258"/>
    <cellStyle name="Normal 14 3 2 4" xfId="6938"/>
    <cellStyle name="Normal 14 3 2 4 2" xfId="12043"/>
    <cellStyle name="Normal 14 3 2 4 2 2" xfId="25758"/>
    <cellStyle name="Normal 14 3 2 4 3" xfId="31260"/>
    <cellStyle name="Normal 14 3 2 5" xfId="6939"/>
    <cellStyle name="Normal 14 3 2 5 2" xfId="13618"/>
    <cellStyle name="Normal 14 3 2 5 2 2" xfId="27167"/>
    <cellStyle name="Normal 14 3 2 5 3" xfId="31261"/>
    <cellStyle name="Normal 14 3 2 6" xfId="6940"/>
    <cellStyle name="Normal 14 3 2 6 2" xfId="14199"/>
    <cellStyle name="Normal 14 3 2 6 2 2" xfId="27748"/>
    <cellStyle name="Normal 14 3 2 6 3" xfId="31262"/>
    <cellStyle name="Normal 14 3 2 7" xfId="6941"/>
    <cellStyle name="Normal 14 3 2 7 2" xfId="16085"/>
    <cellStyle name="Normal 14 3 2 7 2 2" xfId="29492"/>
    <cellStyle name="Normal 14 3 2 7 3" xfId="31263"/>
    <cellStyle name="Normal 14 3 2 8" xfId="10126"/>
    <cellStyle name="Normal 14 3 2 8 2" xfId="24354"/>
    <cellStyle name="Normal 14 3 2 9" xfId="31250"/>
    <cellStyle name="Normal 14 3 3" xfId="6942"/>
    <cellStyle name="Normal 14 3 3 2" xfId="6943"/>
    <cellStyle name="Normal 14 3 3 2 2" xfId="6944"/>
    <cellStyle name="Normal 14 3 3 2 2 2" xfId="16812"/>
    <cellStyle name="Normal 14 3 3 2 2 2 2" xfId="30219"/>
    <cellStyle name="Normal 14 3 3 2 2 3" xfId="31266"/>
    <cellStyle name="Normal 14 3 3 2 3" xfId="11507"/>
    <cellStyle name="Normal 14 3 3 2 3 2" xfId="25339"/>
    <cellStyle name="Normal 14 3 3 2 4" xfId="31265"/>
    <cellStyle name="Normal 14 3 3 3" xfId="6945"/>
    <cellStyle name="Normal 14 3 3 3 2" xfId="12200"/>
    <cellStyle name="Normal 14 3 3 3 2 2" xfId="25912"/>
    <cellStyle name="Normal 14 3 3 3 3" xfId="31267"/>
    <cellStyle name="Normal 14 3 3 4" xfId="6946"/>
    <cellStyle name="Normal 14 3 3 4 2" xfId="13764"/>
    <cellStyle name="Normal 14 3 3 4 2 2" xfId="27313"/>
    <cellStyle name="Normal 14 3 3 4 3" xfId="31268"/>
    <cellStyle name="Normal 14 3 3 5" xfId="6947"/>
    <cellStyle name="Normal 14 3 3 5 2" xfId="14345"/>
    <cellStyle name="Normal 14 3 3 5 2 2" xfId="27894"/>
    <cellStyle name="Normal 14 3 3 5 3" xfId="31269"/>
    <cellStyle name="Normal 14 3 3 6" xfId="6948"/>
    <cellStyle name="Normal 14 3 3 6 2" xfId="16231"/>
    <cellStyle name="Normal 14 3 3 6 2 2" xfId="29638"/>
    <cellStyle name="Normal 14 3 3 6 3" xfId="31270"/>
    <cellStyle name="Normal 14 3 3 7" xfId="10128"/>
    <cellStyle name="Normal 14 3 3 7 2" xfId="24356"/>
    <cellStyle name="Normal 14 3 3 8" xfId="31264"/>
    <cellStyle name="Normal 14 3 4" xfId="6949"/>
    <cellStyle name="Normal 14 3 4 2" xfId="6950"/>
    <cellStyle name="Normal 14 3 4 2 2" xfId="17159"/>
    <cellStyle name="Normal 14 3 4 2 2 2" xfId="30518"/>
    <cellStyle name="Normal 14 3 4 2 3" xfId="31272"/>
    <cellStyle name="Normal 14 3 4 3" xfId="11504"/>
    <cellStyle name="Normal 14 3 4 3 2" xfId="25336"/>
    <cellStyle name="Normal 14 3 4 4" xfId="31271"/>
    <cellStyle name="Normal 14 3 5" xfId="6951"/>
    <cellStyle name="Normal 14 3 5 2" xfId="6952"/>
    <cellStyle name="Normal 14 3 5 2 2" xfId="17248"/>
    <cellStyle name="Normal 14 3 5 2 2 2" xfId="30607"/>
    <cellStyle name="Normal 14 3 5 2 3" xfId="31274"/>
    <cellStyle name="Normal 14 3 5 3" xfId="11898"/>
    <cellStyle name="Normal 14 3 5 3 2" xfId="25613"/>
    <cellStyle name="Normal 14 3 5 4" xfId="31273"/>
    <cellStyle name="Normal 14 3 6" xfId="6953"/>
    <cellStyle name="Normal 14 3 6 2" xfId="6954"/>
    <cellStyle name="Normal 14 3 6 2 2" xfId="16523"/>
    <cellStyle name="Normal 14 3 6 2 2 2" xfId="29930"/>
    <cellStyle name="Normal 14 3 6 2 3" xfId="31276"/>
    <cellStyle name="Normal 14 3 6 3" xfId="13475"/>
    <cellStyle name="Normal 14 3 6 3 2" xfId="27024"/>
    <cellStyle name="Normal 14 3 6 4" xfId="31275"/>
    <cellStyle name="Normal 14 3 7" xfId="6955"/>
    <cellStyle name="Normal 14 3 7 2" xfId="14056"/>
    <cellStyle name="Normal 14 3 7 2 2" xfId="27605"/>
    <cellStyle name="Normal 14 3 7 3" xfId="31277"/>
    <cellStyle name="Normal 14 3 8" xfId="6956"/>
    <cellStyle name="Normal 14 3 8 2" xfId="15942"/>
    <cellStyle name="Normal 14 3 8 2 2" xfId="29349"/>
    <cellStyle name="Normal 14 3 8 3" xfId="31278"/>
    <cellStyle name="Normal 14 3 9" xfId="10125"/>
    <cellStyle name="Normal 14 3 9 2" xfId="24353"/>
    <cellStyle name="Normal 14 4" xfId="6957"/>
    <cellStyle name="Normal 14 4 10" xfId="31279"/>
    <cellStyle name="Normal 14 4 2" xfId="6958"/>
    <cellStyle name="Normal 14 4 2 2" xfId="6959"/>
    <cellStyle name="Normal 14 4 2 2 2" xfId="6960"/>
    <cellStyle name="Normal 14 4 2 2 2 2" xfId="6961"/>
    <cellStyle name="Normal 14 4 2 2 2 2 2" xfId="16998"/>
    <cellStyle name="Normal 14 4 2 2 2 2 2 2" xfId="30405"/>
    <cellStyle name="Normal 14 4 2 2 2 2 3" xfId="31283"/>
    <cellStyle name="Normal 14 4 2 2 2 3" xfId="11510"/>
    <cellStyle name="Normal 14 4 2 2 2 3 2" xfId="25342"/>
    <cellStyle name="Normal 14 4 2 2 2 4" xfId="31282"/>
    <cellStyle name="Normal 14 4 2 2 3" xfId="6962"/>
    <cellStyle name="Normal 14 4 2 2 3 2" xfId="12386"/>
    <cellStyle name="Normal 14 4 2 2 3 2 2" xfId="26098"/>
    <cellStyle name="Normal 14 4 2 2 3 3" xfId="31284"/>
    <cellStyle name="Normal 14 4 2 2 4" xfId="6963"/>
    <cellStyle name="Normal 14 4 2 2 4 2" xfId="13950"/>
    <cellStyle name="Normal 14 4 2 2 4 2 2" xfId="27499"/>
    <cellStyle name="Normal 14 4 2 2 4 3" xfId="31285"/>
    <cellStyle name="Normal 14 4 2 2 5" xfId="6964"/>
    <cellStyle name="Normal 14 4 2 2 5 2" xfId="14531"/>
    <cellStyle name="Normal 14 4 2 2 5 2 2" xfId="28080"/>
    <cellStyle name="Normal 14 4 2 2 5 3" xfId="31286"/>
    <cellStyle name="Normal 14 4 2 2 6" xfId="6965"/>
    <cellStyle name="Normal 14 4 2 2 6 2" xfId="16417"/>
    <cellStyle name="Normal 14 4 2 2 6 2 2" xfId="29824"/>
    <cellStyle name="Normal 14 4 2 2 6 3" xfId="31287"/>
    <cellStyle name="Normal 14 4 2 2 7" xfId="10131"/>
    <cellStyle name="Normal 14 4 2 2 7 2" xfId="24359"/>
    <cellStyle name="Normal 14 4 2 2 8" xfId="31281"/>
    <cellStyle name="Normal 14 4 2 3" xfId="6966"/>
    <cellStyle name="Normal 14 4 2 3 2" xfId="6967"/>
    <cellStyle name="Normal 14 4 2 3 2 2" xfId="16709"/>
    <cellStyle name="Normal 14 4 2 3 2 2 2" xfId="30116"/>
    <cellStyle name="Normal 14 4 2 3 2 3" xfId="31289"/>
    <cellStyle name="Normal 14 4 2 3 3" xfId="11509"/>
    <cellStyle name="Normal 14 4 2 3 3 2" xfId="25341"/>
    <cellStyle name="Normal 14 4 2 3 4" xfId="31288"/>
    <cellStyle name="Normal 14 4 2 4" xfId="6968"/>
    <cellStyle name="Normal 14 4 2 4 2" xfId="12086"/>
    <cellStyle name="Normal 14 4 2 4 2 2" xfId="25801"/>
    <cellStyle name="Normal 14 4 2 4 3" xfId="31290"/>
    <cellStyle name="Normal 14 4 2 5" xfId="6969"/>
    <cellStyle name="Normal 14 4 2 5 2" xfId="13661"/>
    <cellStyle name="Normal 14 4 2 5 2 2" xfId="27210"/>
    <cellStyle name="Normal 14 4 2 5 3" xfId="31291"/>
    <cellStyle name="Normal 14 4 2 6" xfId="6970"/>
    <cellStyle name="Normal 14 4 2 6 2" xfId="14242"/>
    <cellStyle name="Normal 14 4 2 6 2 2" xfId="27791"/>
    <cellStyle name="Normal 14 4 2 6 3" xfId="31292"/>
    <cellStyle name="Normal 14 4 2 7" xfId="6971"/>
    <cellStyle name="Normal 14 4 2 7 2" xfId="16128"/>
    <cellStyle name="Normal 14 4 2 7 2 2" xfId="29535"/>
    <cellStyle name="Normal 14 4 2 7 3" xfId="31293"/>
    <cellStyle name="Normal 14 4 2 8" xfId="10130"/>
    <cellStyle name="Normal 14 4 2 8 2" xfId="24358"/>
    <cellStyle name="Normal 14 4 2 9" xfId="31280"/>
    <cellStyle name="Normal 14 4 3" xfId="6972"/>
    <cellStyle name="Normal 14 4 3 2" xfId="6973"/>
    <cellStyle name="Normal 14 4 3 2 2" xfId="6974"/>
    <cellStyle name="Normal 14 4 3 2 2 2" xfId="16855"/>
    <cellStyle name="Normal 14 4 3 2 2 2 2" xfId="30262"/>
    <cellStyle name="Normal 14 4 3 2 2 3" xfId="31296"/>
    <cellStyle name="Normal 14 4 3 2 3" xfId="11511"/>
    <cellStyle name="Normal 14 4 3 2 3 2" xfId="25343"/>
    <cellStyle name="Normal 14 4 3 2 4" xfId="31295"/>
    <cellStyle name="Normal 14 4 3 3" xfId="6975"/>
    <cellStyle name="Normal 14 4 3 3 2" xfId="12243"/>
    <cellStyle name="Normal 14 4 3 3 2 2" xfId="25955"/>
    <cellStyle name="Normal 14 4 3 3 3" xfId="31297"/>
    <cellStyle name="Normal 14 4 3 4" xfId="6976"/>
    <cellStyle name="Normal 14 4 3 4 2" xfId="13807"/>
    <cellStyle name="Normal 14 4 3 4 2 2" xfId="27356"/>
    <cellStyle name="Normal 14 4 3 4 3" xfId="31298"/>
    <cellStyle name="Normal 14 4 3 5" xfId="6977"/>
    <cellStyle name="Normal 14 4 3 5 2" xfId="14388"/>
    <cellStyle name="Normal 14 4 3 5 2 2" xfId="27937"/>
    <cellStyle name="Normal 14 4 3 5 3" xfId="31299"/>
    <cellStyle name="Normal 14 4 3 6" xfId="6978"/>
    <cellStyle name="Normal 14 4 3 6 2" xfId="16274"/>
    <cellStyle name="Normal 14 4 3 6 2 2" xfId="29681"/>
    <cellStyle name="Normal 14 4 3 6 3" xfId="31300"/>
    <cellStyle name="Normal 14 4 3 7" xfId="10132"/>
    <cellStyle name="Normal 14 4 3 7 2" xfId="24360"/>
    <cellStyle name="Normal 14 4 3 8" xfId="31294"/>
    <cellStyle name="Normal 14 4 4" xfId="6979"/>
    <cellStyle name="Normal 14 4 4 2" xfId="6980"/>
    <cellStyle name="Normal 14 4 4 2 2" xfId="16566"/>
    <cellStyle name="Normal 14 4 4 2 2 2" xfId="29973"/>
    <cellStyle name="Normal 14 4 4 2 3" xfId="31302"/>
    <cellStyle name="Normal 14 4 4 3" xfId="11508"/>
    <cellStyle name="Normal 14 4 4 3 2" xfId="25340"/>
    <cellStyle name="Normal 14 4 4 4" xfId="31301"/>
    <cellStyle name="Normal 14 4 5" xfId="6981"/>
    <cellStyle name="Normal 14 4 5 2" xfId="11941"/>
    <cellStyle name="Normal 14 4 5 2 2" xfId="25656"/>
    <cellStyle name="Normal 14 4 5 3" xfId="31303"/>
    <cellStyle name="Normal 14 4 6" xfId="6982"/>
    <cellStyle name="Normal 14 4 6 2" xfId="13518"/>
    <cellStyle name="Normal 14 4 6 2 2" xfId="27067"/>
    <cellStyle name="Normal 14 4 6 3" xfId="31304"/>
    <cellStyle name="Normal 14 4 7" xfId="6983"/>
    <cellStyle name="Normal 14 4 7 2" xfId="14099"/>
    <cellStyle name="Normal 14 4 7 2 2" xfId="27648"/>
    <cellStyle name="Normal 14 4 7 3" xfId="31305"/>
    <cellStyle name="Normal 14 4 8" xfId="6984"/>
    <cellStyle name="Normal 14 4 8 2" xfId="15985"/>
    <cellStyle name="Normal 14 4 8 2 2" xfId="29392"/>
    <cellStyle name="Normal 14 4 8 3" xfId="31306"/>
    <cellStyle name="Normal 14 4 9" xfId="10129"/>
    <cellStyle name="Normal 14 4 9 2" xfId="24357"/>
    <cellStyle name="Normal 14 5" xfId="6985"/>
    <cellStyle name="Normal 14 5 2" xfId="6986"/>
    <cellStyle name="Normal 14 5 2 2" xfId="6987"/>
    <cellStyle name="Normal 14 5 2 2 2" xfId="6988"/>
    <cellStyle name="Normal 14 5 2 2 2 2" xfId="16909"/>
    <cellStyle name="Normal 14 5 2 2 2 2 2" xfId="30316"/>
    <cellStyle name="Normal 14 5 2 2 2 3" xfId="31310"/>
    <cellStyle name="Normal 14 5 2 2 3" xfId="11513"/>
    <cellStyle name="Normal 14 5 2 2 3 2" xfId="25345"/>
    <cellStyle name="Normal 14 5 2 2 4" xfId="31309"/>
    <cellStyle name="Normal 14 5 2 3" xfId="6989"/>
    <cellStyle name="Normal 14 5 2 3 2" xfId="12297"/>
    <cellStyle name="Normal 14 5 2 3 2 2" xfId="26009"/>
    <cellStyle name="Normal 14 5 2 3 3" xfId="31311"/>
    <cellStyle name="Normal 14 5 2 4" xfId="6990"/>
    <cellStyle name="Normal 14 5 2 4 2" xfId="13861"/>
    <cellStyle name="Normal 14 5 2 4 2 2" xfId="27410"/>
    <cellStyle name="Normal 14 5 2 4 3" xfId="31312"/>
    <cellStyle name="Normal 14 5 2 5" xfId="6991"/>
    <cellStyle name="Normal 14 5 2 5 2" xfId="14442"/>
    <cellStyle name="Normal 14 5 2 5 2 2" xfId="27991"/>
    <cellStyle name="Normal 14 5 2 5 3" xfId="31313"/>
    <cellStyle name="Normal 14 5 2 6" xfId="6992"/>
    <cellStyle name="Normal 14 5 2 6 2" xfId="16328"/>
    <cellStyle name="Normal 14 5 2 6 2 2" xfId="29735"/>
    <cellStyle name="Normal 14 5 2 6 3" xfId="31314"/>
    <cellStyle name="Normal 14 5 2 7" xfId="10134"/>
    <cellStyle name="Normal 14 5 2 7 2" xfId="24362"/>
    <cellStyle name="Normal 14 5 2 8" xfId="31308"/>
    <cellStyle name="Normal 14 5 3" xfId="6993"/>
    <cellStyle name="Normal 14 5 3 2" xfId="6994"/>
    <cellStyle name="Normal 14 5 3 2 2" xfId="16620"/>
    <cellStyle name="Normal 14 5 3 2 2 2" xfId="30027"/>
    <cellStyle name="Normal 14 5 3 2 3" xfId="31316"/>
    <cellStyle name="Normal 14 5 3 3" xfId="11512"/>
    <cellStyle name="Normal 14 5 3 3 2" xfId="25344"/>
    <cellStyle name="Normal 14 5 3 4" xfId="31315"/>
    <cellStyle name="Normal 14 5 4" xfId="6995"/>
    <cellStyle name="Normal 14 5 4 2" xfId="11997"/>
    <cellStyle name="Normal 14 5 4 2 2" xfId="25712"/>
    <cellStyle name="Normal 14 5 4 3" xfId="31317"/>
    <cellStyle name="Normal 14 5 5" xfId="6996"/>
    <cellStyle name="Normal 14 5 5 2" xfId="13572"/>
    <cellStyle name="Normal 14 5 5 2 2" xfId="27121"/>
    <cellStyle name="Normal 14 5 5 3" xfId="31318"/>
    <cellStyle name="Normal 14 5 6" xfId="6997"/>
    <cellStyle name="Normal 14 5 6 2" xfId="14153"/>
    <cellStyle name="Normal 14 5 6 2 2" xfId="27702"/>
    <cellStyle name="Normal 14 5 6 3" xfId="31319"/>
    <cellStyle name="Normal 14 5 7" xfId="6998"/>
    <cellStyle name="Normal 14 5 7 2" xfId="16039"/>
    <cellStyle name="Normal 14 5 7 2 2" xfId="29446"/>
    <cellStyle name="Normal 14 5 7 3" xfId="31320"/>
    <cellStyle name="Normal 14 5 8" xfId="10133"/>
    <cellStyle name="Normal 14 5 8 2" xfId="24361"/>
    <cellStyle name="Normal 14 5 9" xfId="31307"/>
    <cellStyle name="Normal 14 6" xfId="6999"/>
    <cellStyle name="Normal 14 6 2" xfId="7000"/>
    <cellStyle name="Normal 14 6 2 2" xfId="7001"/>
    <cellStyle name="Normal 14 6 2 2 2" xfId="16732"/>
    <cellStyle name="Normal 14 6 2 2 2 2" xfId="30139"/>
    <cellStyle name="Normal 14 6 2 2 3" xfId="31323"/>
    <cellStyle name="Normal 14 6 2 3" xfId="11514"/>
    <cellStyle name="Normal 14 6 2 3 2" xfId="25346"/>
    <cellStyle name="Normal 14 6 2 4" xfId="31322"/>
    <cellStyle name="Normal 14 6 3" xfId="7002"/>
    <cellStyle name="Normal 14 6 3 2" xfId="12120"/>
    <cellStyle name="Normal 14 6 3 2 2" xfId="25832"/>
    <cellStyle name="Normal 14 6 3 3" xfId="31324"/>
    <cellStyle name="Normal 14 6 4" xfId="7003"/>
    <cellStyle name="Normal 14 6 4 2" xfId="13684"/>
    <cellStyle name="Normal 14 6 4 2 2" xfId="27233"/>
    <cellStyle name="Normal 14 6 4 3" xfId="31325"/>
    <cellStyle name="Normal 14 6 5" xfId="7004"/>
    <cellStyle name="Normal 14 6 5 2" xfId="14265"/>
    <cellStyle name="Normal 14 6 5 2 2" xfId="27814"/>
    <cellStyle name="Normal 14 6 5 3" xfId="31326"/>
    <cellStyle name="Normal 14 6 6" xfId="7005"/>
    <cellStyle name="Normal 14 6 6 2" xfId="16151"/>
    <cellStyle name="Normal 14 6 6 2 2" xfId="29558"/>
    <cellStyle name="Normal 14 6 6 3" xfId="31327"/>
    <cellStyle name="Normal 14 6 7" xfId="10135"/>
    <cellStyle name="Normal 14 6 7 2" xfId="24363"/>
    <cellStyle name="Normal 14 6 8" xfId="31321"/>
    <cellStyle name="Normal 14 7" xfId="7006"/>
    <cellStyle name="Normal 14 7 2" xfId="7007"/>
    <cellStyle name="Normal 14 7 2 2" xfId="17038"/>
    <cellStyle name="Normal 14 7 2 2 2" xfId="30441"/>
    <cellStyle name="Normal 14 7 2 3" xfId="31329"/>
    <cellStyle name="Normal 14 7 3" xfId="10136"/>
    <cellStyle name="Normal 14 7 4" xfId="31328"/>
    <cellStyle name="Normal 14 8" xfId="7008"/>
    <cellStyle name="Normal 14 8 2" xfId="7009"/>
    <cellStyle name="Normal 14 8 2 2" xfId="13243"/>
    <cellStyle name="Normal 14 8 2 3" xfId="31331"/>
    <cellStyle name="Normal 14 8 3" xfId="7010"/>
    <cellStyle name="Normal 14 8 3 2" xfId="17113"/>
    <cellStyle name="Normal 14 8 3 2 2" xfId="30472"/>
    <cellStyle name="Normal 14 8 3 3" xfId="31332"/>
    <cellStyle name="Normal 14 8 4" xfId="11828"/>
    <cellStyle name="Normal 14 8 4 2" xfId="25543"/>
    <cellStyle name="Normal 14 8 5" xfId="31330"/>
    <cellStyle name="Normal 14 9" xfId="7011"/>
    <cellStyle name="Normal 14 9 2" xfId="7012"/>
    <cellStyle name="Normal 14 9 2 2" xfId="17202"/>
    <cellStyle name="Normal 14 9 2 2 2" xfId="30561"/>
    <cellStyle name="Normal 14 9 2 3" xfId="31334"/>
    <cellStyle name="Normal 14 9 3" xfId="13429"/>
    <cellStyle name="Normal 14 9 3 2" xfId="26978"/>
    <cellStyle name="Normal 14 9 4" xfId="31333"/>
    <cellStyle name="Normal 15" xfId="7013"/>
    <cellStyle name="Normal 15 10" xfId="7014"/>
    <cellStyle name="Normal 15 10 2" xfId="7015"/>
    <cellStyle name="Normal 15 10 2 2" xfId="17293"/>
    <cellStyle name="Normal 15 10 2 2 2" xfId="30652"/>
    <cellStyle name="Normal 15 10 2 3" xfId="31336"/>
    <cellStyle name="Normal 15 10 3" xfId="13431"/>
    <cellStyle name="Normal 15 10 3 2" xfId="26980"/>
    <cellStyle name="Normal 15 10 4" xfId="31335"/>
    <cellStyle name="Normal 15 11" xfId="7016"/>
    <cellStyle name="Normal 15 11 2" xfId="7017"/>
    <cellStyle name="Normal 15 11 2 2" xfId="16479"/>
    <cellStyle name="Normal 15 11 2 2 2" xfId="29886"/>
    <cellStyle name="Normal 15 11 2 3" xfId="31338"/>
    <cellStyle name="Normal 15 11 3" xfId="14012"/>
    <cellStyle name="Normal 15 11 3 2" xfId="27561"/>
    <cellStyle name="Normal 15 11 4" xfId="31337"/>
    <cellStyle name="Normal 15 12" xfId="7018"/>
    <cellStyle name="Normal 15 12 2" xfId="15898"/>
    <cellStyle name="Normal 15 12 2 2" xfId="29305"/>
    <cellStyle name="Normal 15 12 3" xfId="31339"/>
    <cellStyle name="Normal 15 13" xfId="10137"/>
    <cellStyle name="Normal 15 14" xfId="33043"/>
    <cellStyle name="Normal 15 2" xfId="7019"/>
    <cellStyle name="Normal 15 2 10" xfId="10138"/>
    <cellStyle name="Normal 15 2 10 2" xfId="24364"/>
    <cellStyle name="Normal 15 2 2" xfId="7020"/>
    <cellStyle name="Normal 15 2 2 10" xfId="31340"/>
    <cellStyle name="Normal 15 2 2 2" xfId="7021"/>
    <cellStyle name="Normal 15 2 2 2 2" xfId="7022"/>
    <cellStyle name="Normal 15 2 2 2 2 2" xfId="7023"/>
    <cellStyle name="Normal 15 2 2 2 2 2 2" xfId="7024"/>
    <cellStyle name="Normal 15 2 2 2 2 2 2 2" xfId="16980"/>
    <cellStyle name="Normal 15 2 2 2 2 2 2 2 2" xfId="30387"/>
    <cellStyle name="Normal 15 2 2 2 2 2 2 3" xfId="31344"/>
    <cellStyle name="Normal 15 2 2 2 2 2 3" xfId="11518"/>
    <cellStyle name="Normal 15 2 2 2 2 2 3 2" xfId="25350"/>
    <cellStyle name="Normal 15 2 2 2 2 2 4" xfId="31343"/>
    <cellStyle name="Normal 15 2 2 2 2 3" xfId="7025"/>
    <cellStyle name="Normal 15 2 2 2 2 3 2" xfId="12368"/>
    <cellStyle name="Normal 15 2 2 2 2 3 2 2" xfId="26080"/>
    <cellStyle name="Normal 15 2 2 2 2 3 3" xfId="31345"/>
    <cellStyle name="Normal 15 2 2 2 2 4" xfId="7026"/>
    <cellStyle name="Normal 15 2 2 2 2 4 2" xfId="13932"/>
    <cellStyle name="Normal 15 2 2 2 2 4 2 2" xfId="27481"/>
    <cellStyle name="Normal 15 2 2 2 2 4 3" xfId="31346"/>
    <cellStyle name="Normal 15 2 2 2 2 5" xfId="7027"/>
    <cellStyle name="Normal 15 2 2 2 2 5 2" xfId="14513"/>
    <cellStyle name="Normal 15 2 2 2 2 5 2 2" xfId="28062"/>
    <cellStyle name="Normal 15 2 2 2 2 5 3" xfId="31347"/>
    <cellStyle name="Normal 15 2 2 2 2 6" xfId="7028"/>
    <cellStyle name="Normal 15 2 2 2 2 6 2" xfId="16399"/>
    <cellStyle name="Normal 15 2 2 2 2 6 2 2" xfId="29806"/>
    <cellStyle name="Normal 15 2 2 2 2 6 3" xfId="31348"/>
    <cellStyle name="Normal 15 2 2 2 2 7" xfId="10141"/>
    <cellStyle name="Normal 15 2 2 2 2 7 2" xfId="24367"/>
    <cellStyle name="Normal 15 2 2 2 2 8" xfId="31342"/>
    <cellStyle name="Normal 15 2 2 2 3" xfId="7029"/>
    <cellStyle name="Normal 15 2 2 2 3 2" xfId="7030"/>
    <cellStyle name="Normal 15 2 2 2 3 2 2" xfId="16691"/>
    <cellStyle name="Normal 15 2 2 2 3 2 2 2" xfId="30098"/>
    <cellStyle name="Normal 15 2 2 2 3 2 3" xfId="31350"/>
    <cellStyle name="Normal 15 2 2 2 3 3" xfId="11517"/>
    <cellStyle name="Normal 15 2 2 2 3 3 2" xfId="25349"/>
    <cellStyle name="Normal 15 2 2 2 3 4" xfId="31349"/>
    <cellStyle name="Normal 15 2 2 2 4" xfId="7031"/>
    <cellStyle name="Normal 15 2 2 2 4 2" xfId="12068"/>
    <cellStyle name="Normal 15 2 2 2 4 2 2" xfId="25783"/>
    <cellStyle name="Normal 15 2 2 2 4 3" xfId="31351"/>
    <cellStyle name="Normal 15 2 2 2 5" xfId="7032"/>
    <cellStyle name="Normal 15 2 2 2 5 2" xfId="13643"/>
    <cellStyle name="Normal 15 2 2 2 5 2 2" xfId="27192"/>
    <cellStyle name="Normal 15 2 2 2 5 3" xfId="31352"/>
    <cellStyle name="Normal 15 2 2 2 6" xfId="7033"/>
    <cellStyle name="Normal 15 2 2 2 6 2" xfId="14224"/>
    <cellStyle name="Normal 15 2 2 2 6 2 2" xfId="27773"/>
    <cellStyle name="Normal 15 2 2 2 6 3" xfId="31353"/>
    <cellStyle name="Normal 15 2 2 2 7" xfId="7034"/>
    <cellStyle name="Normal 15 2 2 2 7 2" xfId="16110"/>
    <cellStyle name="Normal 15 2 2 2 7 2 2" xfId="29517"/>
    <cellStyle name="Normal 15 2 2 2 7 3" xfId="31354"/>
    <cellStyle name="Normal 15 2 2 2 8" xfId="10140"/>
    <cellStyle name="Normal 15 2 2 2 8 2" xfId="24366"/>
    <cellStyle name="Normal 15 2 2 2 9" xfId="31341"/>
    <cellStyle name="Normal 15 2 2 3" xfId="7035"/>
    <cellStyle name="Normal 15 2 2 3 2" xfId="7036"/>
    <cellStyle name="Normal 15 2 2 3 2 2" xfId="7037"/>
    <cellStyle name="Normal 15 2 2 3 2 2 2" xfId="16837"/>
    <cellStyle name="Normal 15 2 2 3 2 2 2 2" xfId="30244"/>
    <cellStyle name="Normal 15 2 2 3 2 2 3" xfId="31357"/>
    <cellStyle name="Normal 15 2 2 3 2 3" xfId="11519"/>
    <cellStyle name="Normal 15 2 2 3 2 3 2" xfId="25351"/>
    <cellStyle name="Normal 15 2 2 3 2 4" xfId="31356"/>
    <cellStyle name="Normal 15 2 2 3 3" xfId="7038"/>
    <cellStyle name="Normal 15 2 2 3 3 2" xfId="12225"/>
    <cellStyle name="Normal 15 2 2 3 3 2 2" xfId="25937"/>
    <cellStyle name="Normal 15 2 2 3 3 3" xfId="31358"/>
    <cellStyle name="Normal 15 2 2 3 4" xfId="7039"/>
    <cellStyle name="Normal 15 2 2 3 4 2" xfId="13789"/>
    <cellStyle name="Normal 15 2 2 3 4 2 2" xfId="27338"/>
    <cellStyle name="Normal 15 2 2 3 4 3" xfId="31359"/>
    <cellStyle name="Normal 15 2 2 3 5" xfId="7040"/>
    <cellStyle name="Normal 15 2 2 3 5 2" xfId="14370"/>
    <cellStyle name="Normal 15 2 2 3 5 2 2" xfId="27919"/>
    <cellStyle name="Normal 15 2 2 3 5 3" xfId="31360"/>
    <cellStyle name="Normal 15 2 2 3 6" xfId="7041"/>
    <cellStyle name="Normal 15 2 2 3 6 2" xfId="16256"/>
    <cellStyle name="Normal 15 2 2 3 6 2 2" xfId="29663"/>
    <cellStyle name="Normal 15 2 2 3 6 3" xfId="31361"/>
    <cellStyle name="Normal 15 2 2 3 7" xfId="10142"/>
    <cellStyle name="Normal 15 2 2 3 7 2" xfId="24368"/>
    <cellStyle name="Normal 15 2 2 3 8" xfId="31355"/>
    <cellStyle name="Normal 15 2 2 4" xfId="7042"/>
    <cellStyle name="Normal 15 2 2 4 2" xfId="7043"/>
    <cellStyle name="Normal 15 2 2 4 2 2" xfId="17184"/>
    <cellStyle name="Normal 15 2 2 4 2 2 2" xfId="30543"/>
    <cellStyle name="Normal 15 2 2 4 2 3" xfId="31363"/>
    <cellStyle name="Normal 15 2 2 4 3" xfId="11516"/>
    <cellStyle name="Normal 15 2 2 4 3 2" xfId="25348"/>
    <cellStyle name="Normal 15 2 2 4 4" xfId="31362"/>
    <cellStyle name="Normal 15 2 2 5" xfId="7044"/>
    <cellStyle name="Normal 15 2 2 5 2" xfId="7045"/>
    <cellStyle name="Normal 15 2 2 5 2 2" xfId="17273"/>
    <cellStyle name="Normal 15 2 2 5 2 2 2" xfId="30632"/>
    <cellStyle name="Normal 15 2 2 5 2 3" xfId="31365"/>
    <cellStyle name="Normal 15 2 2 5 3" xfId="11923"/>
    <cellStyle name="Normal 15 2 2 5 3 2" xfId="25638"/>
    <cellStyle name="Normal 15 2 2 5 4" xfId="31364"/>
    <cellStyle name="Normal 15 2 2 6" xfId="7046"/>
    <cellStyle name="Normal 15 2 2 6 2" xfId="7047"/>
    <cellStyle name="Normal 15 2 2 6 2 2" xfId="16548"/>
    <cellStyle name="Normal 15 2 2 6 2 2 2" xfId="29955"/>
    <cellStyle name="Normal 15 2 2 6 2 3" xfId="31367"/>
    <cellStyle name="Normal 15 2 2 6 3" xfId="13500"/>
    <cellStyle name="Normal 15 2 2 6 3 2" xfId="27049"/>
    <cellStyle name="Normal 15 2 2 6 4" xfId="31366"/>
    <cellStyle name="Normal 15 2 2 7" xfId="7048"/>
    <cellStyle name="Normal 15 2 2 7 2" xfId="14081"/>
    <cellStyle name="Normal 15 2 2 7 2 2" xfId="27630"/>
    <cellStyle name="Normal 15 2 2 7 3" xfId="31368"/>
    <cellStyle name="Normal 15 2 2 8" xfId="7049"/>
    <cellStyle name="Normal 15 2 2 8 2" xfId="15967"/>
    <cellStyle name="Normal 15 2 2 8 2 2" xfId="29374"/>
    <cellStyle name="Normal 15 2 2 8 3" xfId="31369"/>
    <cellStyle name="Normal 15 2 2 9" xfId="10139"/>
    <cellStyle name="Normal 15 2 2 9 2" xfId="24365"/>
    <cellStyle name="Normal 15 2 3" xfId="7050"/>
    <cellStyle name="Normal 15 2 3 2" xfId="7051"/>
    <cellStyle name="Normal 15 2 3 2 2" xfId="7052"/>
    <cellStyle name="Normal 15 2 3 2 2 2" xfId="7053"/>
    <cellStyle name="Normal 15 2 3 2 2 2 2" xfId="16934"/>
    <cellStyle name="Normal 15 2 3 2 2 2 2 2" xfId="30341"/>
    <cellStyle name="Normal 15 2 3 2 2 2 3" xfId="31373"/>
    <cellStyle name="Normal 15 2 3 2 2 3" xfId="11521"/>
    <cellStyle name="Normal 15 2 3 2 2 3 2" xfId="25353"/>
    <cellStyle name="Normal 15 2 3 2 2 4" xfId="31372"/>
    <cellStyle name="Normal 15 2 3 2 3" xfId="7054"/>
    <cellStyle name="Normal 15 2 3 2 3 2" xfId="12322"/>
    <cellStyle name="Normal 15 2 3 2 3 2 2" xfId="26034"/>
    <cellStyle name="Normal 15 2 3 2 3 3" xfId="31374"/>
    <cellStyle name="Normal 15 2 3 2 4" xfId="7055"/>
    <cellStyle name="Normal 15 2 3 2 4 2" xfId="13886"/>
    <cellStyle name="Normal 15 2 3 2 4 2 2" xfId="27435"/>
    <cellStyle name="Normal 15 2 3 2 4 3" xfId="31375"/>
    <cellStyle name="Normal 15 2 3 2 5" xfId="7056"/>
    <cellStyle name="Normal 15 2 3 2 5 2" xfId="14467"/>
    <cellStyle name="Normal 15 2 3 2 5 2 2" xfId="28016"/>
    <cellStyle name="Normal 15 2 3 2 5 3" xfId="31376"/>
    <cellStyle name="Normal 15 2 3 2 6" xfId="7057"/>
    <cellStyle name="Normal 15 2 3 2 6 2" xfId="16353"/>
    <cellStyle name="Normal 15 2 3 2 6 2 2" xfId="29760"/>
    <cellStyle name="Normal 15 2 3 2 6 3" xfId="31377"/>
    <cellStyle name="Normal 15 2 3 2 7" xfId="10144"/>
    <cellStyle name="Normal 15 2 3 2 7 2" xfId="24370"/>
    <cellStyle name="Normal 15 2 3 2 8" xfId="31371"/>
    <cellStyle name="Normal 15 2 3 3" xfId="7058"/>
    <cellStyle name="Normal 15 2 3 3 2" xfId="7059"/>
    <cellStyle name="Normal 15 2 3 3 2 2" xfId="16645"/>
    <cellStyle name="Normal 15 2 3 3 2 2 2" xfId="30052"/>
    <cellStyle name="Normal 15 2 3 3 2 3" xfId="31379"/>
    <cellStyle name="Normal 15 2 3 3 3" xfId="11520"/>
    <cellStyle name="Normal 15 2 3 3 3 2" xfId="25352"/>
    <cellStyle name="Normal 15 2 3 3 4" xfId="31378"/>
    <cellStyle name="Normal 15 2 3 4" xfId="7060"/>
    <cellStyle name="Normal 15 2 3 4 2" xfId="12022"/>
    <cellStyle name="Normal 15 2 3 4 2 2" xfId="25737"/>
    <cellStyle name="Normal 15 2 3 4 3" xfId="31380"/>
    <cellStyle name="Normal 15 2 3 5" xfId="7061"/>
    <cellStyle name="Normal 15 2 3 5 2" xfId="13597"/>
    <cellStyle name="Normal 15 2 3 5 2 2" xfId="27146"/>
    <cellStyle name="Normal 15 2 3 5 3" xfId="31381"/>
    <cellStyle name="Normal 15 2 3 6" xfId="7062"/>
    <cellStyle name="Normal 15 2 3 6 2" xfId="14178"/>
    <cellStyle name="Normal 15 2 3 6 2 2" xfId="27727"/>
    <cellStyle name="Normal 15 2 3 6 3" xfId="31382"/>
    <cellStyle name="Normal 15 2 3 7" xfId="7063"/>
    <cellStyle name="Normal 15 2 3 7 2" xfId="16064"/>
    <cellStyle name="Normal 15 2 3 7 2 2" xfId="29471"/>
    <cellStyle name="Normal 15 2 3 7 3" xfId="31383"/>
    <cellStyle name="Normal 15 2 3 8" xfId="10143"/>
    <cellStyle name="Normal 15 2 3 8 2" xfId="24369"/>
    <cellStyle name="Normal 15 2 3 9" xfId="31370"/>
    <cellStyle name="Normal 15 2 4" xfId="7064"/>
    <cellStyle name="Normal 15 2 4 2" xfId="7065"/>
    <cellStyle name="Normal 15 2 4 2 2" xfId="7066"/>
    <cellStyle name="Normal 15 2 4 2 2 2" xfId="16791"/>
    <cellStyle name="Normal 15 2 4 2 2 2 2" xfId="30198"/>
    <cellStyle name="Normal 15 2 4 2 2 3" xfId="31386"/>
    <cellStyle name="Normal 15 2 4 2 3" xfId="11522"/>
    <cellStyle name="Normal 15 2 4 2 3 2" xfId="25354"/>
    <cellStyle name="Normal 15 2 4 2 4" xfId="31385"/>
    <cellStyle name="Normal 15 2 4 3" xfId="7067"/>
    <cellStyle name="Normal 15 2 4 3 2" xfId="12179"/>
    <cellStyle name="Normal 15 2 4 3 2 2" xfId="25891"/>
    <cellStyle name="Normal 15 2 4 3 3" xfId="31387"/>
    <cellStyle name="Normal 15 2 4 4" xfId="7068"/>
    <cellStyle name="Normal 15 2 4 4 2" xfId="13743"/>
    <cellStyle name="Normal 15 2 4 4 2 2" xfId="27292"/>
    <cellStyle name="Normal 15 2 4 4 3" xfId="31388"/>
    <cellStyle name="Normal 15 2 4 5" xfId="7069"/>
    <cellStyle name="Normal 15 2 4 5 2" xfId="14324"/>
    <cellStyle name="Normal 15 2 4 5 2 2" xfId="27873"/>
    <cellStyle name="Normal 15 2 4 5 3" xfId="31389"/>
    <cellStyle name="Normal 15 2 4 6" xfId="7070"/>
    <cellStyle name="Normal 15 2 4 6 2" xfId="16210"/>
    <cellStyle name="Normal 15 2 4 6 2 2" xfId="29617"/>
    <cellStyle name="Normal 15 2 4 6 3" xfId="31390"/>
    <cellStyle name="Normal 15 2 4 7" xfId="10145"/>
    <cellStyle name="Normal 15 2 4 7 2" xfId="24371"/>
    <cellStyle name="Normal 15 2 4 8" xfId="31384"/>
    <cellStyle name="Normal 15 2 5" xfId="7071"/>
    <cellStyle name="Normal 15 2 5 2" xfId="7072"/>
    <cellStyle name="Normal 15 2 5 2 2" xfId="17039"/>
    <cellStyle name="Normal 15 2 5 3" xfId="11515"/>
    <cellStyle name="Normal 15 2 5 3 2" xfId="25347"/>
    <cellStyle name="Normal 15 2 6" xfId="7073"/>
    <cellStyle name="Normal 15 2 6 2" xfId="7074"/>
    <cellStyle name="Normal 15 2 6 2 2" xfId="17138"/>
    <cellStyle name="Normal 15 2 6 2 2 2" xfId="30497"/>
    <cellStyle name="Normal 15 2 6 2 3" xfId="31392"/>
    <cellStyle name="Normal 15 2 6 3" xfId="11867"/>
    <cellStyle name="Normal 15 2 6 3 2" xfId="25582"/>
    <cellStyle name="Normal 15 2 6 4" xfId="31391"/>
    <cellStyle name="Normal 15 2 7" xfId="7075"/>
    <cellStyle name="Normal 15 2 7 2" xfId="7076"/>
    <cellStyle name="Normal 15 2 7 2 2" xfId="17227"/>
    <cellStyle name="Normal 15 2 7 2 2 2" xfId="30586"/>
    <cellStyle name="Normal 15 2 7 2 3" xfId="31394"/>
    <cellStyle name="Normal 15 2 7 3" xfId="13454"/>
    <cellStyle name="Normal 15 2 7 3 2" xfId="27003"/>
    <cellStyle name="Normal 15 2 7 4" xfId="31393"/>
    <cellStyle name="Normal 15 2 8" xfId="7077"/>
    <cellStyle name="Normal 15 2 8 2" xfId="7078"/>
    <cellStyle name="Normal 15 2 8 2 2" xfId="16502"/>
    <cellStyle name="Normal 15 2 8 2 2 2" xfId="29909"/>
    <cellStyle name="Normal 15 2 8 2 3" xfId="31396"/>
    <cellStyle name="Normal 15 2 8 3" xfId="14035"/>
    <cellStyle name="Normal 15 2 8 3 2" xfId="27584"/>
    <cellStyle name="Normal 15 2 8 4" xfId="31395"/>
    <cellStyle name="Normal 15 2 9" xfId="7079"/>
    <cellStyle name="Normal 15 2 9 2" xfId="15921"/>
    <cellStyle name="Normal 15 2 9 2 2" xfId="29328"/>
    <cellStyle name="Normal 15 2 9 3" xfId="31397"/>
    <cellStyle name="Normal 15 3" xfId="7080"/>
    <cellStyle name="Normal 15 3 2" xfId="7081"/>
    <cellStyle name="Normal 15 3 2 2" xfId="10147"/>
    <cellStyle name="Normal 15 3 3" xfId="10146"/>
    <cellStyle name="Normal 15 4" xfId="7082"/>
    <cellStyle name="Normal 15 4 10" xfId="31398"/>
    <cellStyle name="Normal 15 4 2" xfId="7083"/>
    <cellStyle name="Normal 15 4 2 2" xfId="7084"/>
    <cellStyle name="Normal 15 4 2 2 2" xfId="7085"/>
    <cellStyle name="Normal 15 4 2 2 2 2" xfId="7086"/>
    <cellStyle name="Normal 15 4 2 2 2 2 2" xfId="16957"/>
    <cellStyle name="Normal 15 4 2 2 2 2 2 2" xfId="30364"/>
    <cellStyle name="Normal 15 4 2 2 2 2 3" xfId="31402"/>
    <cellStyle name="Normal 15 4 2 2 2 3" xfId="11525"/>
    <cellStyle name="Normal 15 4 2 2 2 3 2" xfId="25357"/>
    <cellStyle name="Normal 15 4 2 2 2 4" xfId="31401"/>
    <cellStyle name="Normal 15 4 2 2 3" xfId="7087"/>
    <cellStyle name="Normal 15 4 2 2 3 2" xfId="12345"/>
    <cellStyle name="Normal 15 4 2 2 3 2 2" xfId="26057"/>
    <cellStyle name="Normal 15 4 2 2 3 3" xfId="31403"/>
    <cellStyle name="Normal 15 4 2 2 4" xfId="7088"/>
    <cellStyle name="Normal 15 4 2 2 4 2" xfId="13909"/>
    <cellStyle name="Normal 15 4 2 2 4 2 2" xfId="27458"/>
    <cellStyle name="Normal 15 4 2 2 4 3" xfId="31404"/>
    <cellStyle name="Normal 15 4 2 2 5" xfId="7089"/>
    <cellStyle name="Normal 15 4 2 2 5 2" xfId="14490"/>
    <cellStyle name="Normal 15 4 2 2 5 2 2" xfId="28039"/>
    <cellStyle name="Normal 15 4 2 2 5 3" xfId="31405"/>
    <cellStyle name="Normal 15 4 2 2 6" xfId="7090"/>
    <cellStyle name="Normal 15 4 2 2 6 2" xfId="16376"/>
    <cellStyle name="Normal 15 4 2 2 6 2 2" xfId="29783"/>
    <cellStyle name="Normal 15 4 2 2 6 3" xfId="31406"/>
    <cellStyle name="Normal 15 4 2 2 7" xfId="10150"/>
    <cellStyle name="Normal 15 4 2 2 7 2" xfId="24374"/>
    <cellStyle name="Normal 15 4 2 2 8" xfId="31400"/>
    <cellStyle name="Normal 15 4 2 3" xfId="7091"/>
    <cellStyle name="Normal 15 4 2 3 2" xfId="7092"/>
    <cellStyle name="Normal 15 4 2 3 2 2" xfId="16668"/>
    <cellStyle name="Normal 15 4 2 3 2 2 2" xfId="30075"/>
    <cellStyle name="Normal 15 4 2 3 2 3" xfId="31408"/>
    <cellStyle name="Normal 15 4 2 3 3" xfId="11524"/>
    <cellStyle name="Normal 15 4 2 3 3 2" xfId="25356"/>
    <cellStyle name="Normal 15 4 2 3 4" xfId="31407"/>
    <cellStyle name="Normal 15 4 2 4" xfId="7093"/>
    <cellStyle name="Normal 15 4 2 4 2" xfId="12045"/>
    <cellStyle name="Normal 15 4 2 4 2 2" xfId="25760"/>
    <cellStyle name="Normal 15 4 2 4 3" xfId="31409"/>
    <cellStyle name="Normal 15 4 2 5" xfId="7094"/>
    <cellStyle name="Normal 15 4 2 5 2" xfId="13620"/>
    <cellStyle name="Normal 15 4 2 5 2 2" xfId="27169"/>
    <cellStyle name="Normal 15 4 2 5 3" xfId="31410"/>
    <cellStyle name="Normal 15 4 2 6" xfId="7095"/>
    <cellStyle name="Normal 15 4 2 6 2" xfId="14201"/>
    <cellStyle name="Normal 15 4 2 6 2 2" xfId="27750"/>
    <cellStyle name="Normal 15 4 2 6 3" xfId="31411"/>
    <cellStyle name="Normal 15 4 2 7" xfId="7096"/>
    <cellStyle name="Normal 15 4 2 7 2" xfId="16087"/>
    <cellStyle name="Normal 15 4 2 7 2 2" xfId="29494"/>
    <cellStyle name="Normal 15 4 2 7 3" xfId="31412"/>
    <cellStyle name="Normal 15 4 2 8" xfId="10149"/>
    <cellStyle name="Normal 15 4 2 8 2" xfId="24373"/>
    <cellStyle name="Normal 15 4 2 9" xfId="31399"/>
    <cellStyle name="Normal 15 4 3" xfId="7097"/>
    <cellStyle name="Normal 15 4 3 2" xfId="7098"/>
    <cellStyle name="Normal 15 4 3 2 2" xfId="7099"/>
    <cellStyle name="Normal 15 4 3 2 2 2" xfId="16814"/>
    <cellStyle name="Normal 15 4 3 2 2 2 2" xfId="30221"/>
    <cellStyle name="Normal 15 4 3 2 2 3" xfId="31415"/>
    <cellStyle name="Normal 15 4 3 2 3" xfId="11526"/>
    <cellStyle name="Normal 15 4 3 2 3 2" xfId="25358"/>
    <cellStyle name="Normal 15 4 3 2 4" xfId="31414"/>
    <cellStyle name="Normal 15 4 3 3" xfId="7100"/>
    <cellStyle name="Normal 15 4 3 3 2" xfId="12202"/>
    <cellStyle name="Normal 15 4 3 3 2 2" xfId="25914"/>
    <cellStyle name="Normal 15 4 3 3 3" xfId="31416"/>
    <cellStyle name="Normal 15 4 3 4" xfId="7101"/>
    <cellStyle name="Normal 15 4 3 4 2" xfId="13766"/>
    <cellStyle name="Normal 15 4 3 4 2 2" xfId="27315"/>
    <cellStyle name="Normal 15 4 3 4 3" xfId="31417"/>
    <cellStyle name="Normal 15 4 3 5" xfId="7102"/>
    <cellStyle name="Normal 15 4 3 5 2" xfId="14347"/>
    <cellStyle name="Normal 15 4 3 5 2 2" xfId="27896"/>
    <cellStyle name="Normal 15 4 3 5 3" xfId="31418"/>
    <cellStyle name="Normal 15 4 3 6" xfId="7103"/>
    <cellStyle name="Normal 15 4 3 6 2" xfId="16233"/>
    <cellStyle name="Normal 15 4 3 6 2 2" xfId="29640"/>
    <cellStyle name="Normal 15 4 3 6 3" xfId="31419"/>
    <cellStyle name="Normal 15 4 3 7" xfId="10151"/>
    <cellStyle name="Normal 15 4 3 7 2" xfId="24375"/>
    <cellStyle name="Normal 15 4 3 8" xfId="31413"/>
    <cellStyle name="Normal 15 4 4" xfId="7104"/>
    <cellStyle name="Normal 15 4 4 2" xfId="7105"/>
    <cellStyle name="Normal 15 4 4 2 2" xfId="17161"/>
    <cellStyle name="Normal 15 4 4 2 2 2" xfId="30520"/>
    <cellStyle name="Normal 15 4 4 2 3" xfId="31421"/>
    <cellStyle name="Normal 15 4 4 3" xfId="11523"/>
    <cellStyle name="Normal 15 4 4 3 2" xfId="25355"/>
    <cellStyle name="Normal 15 4 4 4" xfId="31420"/>
    <cellStyle name="Normal 15 4 5" xfId="7106"/>
    <cellStyle name="Normal 15 4 5 2" xfId="7107"/>
    <cellStyle name="Normal 15 4 5 2 2" xfId="17250"/>
    <cellStyle name="Normal 15 4 5 2 2 2" xfId="30609"/>
    <cellStyle name="Normal 15 4 5 2 3" xfId="31423"/>
    <cellStyle name="Normal 15 4 5 3" xfId="11900"/>
    <cellStyle name="Normal 15 4 5 3 2" xfId="25615"/>
    <cellStyle name="Normal 15 4 5 4" xfId="31422"/>
    <cellStyle name="Normal 15 4 6" xfId="7108"/>
    <cellStyle name="Normal 15 4 6 2" xfId="7109"/>
    <cellStyle name="Normal 15 4 6 2 2" xfId="16525"/>
    <cellStyle name="Normal 15 4 6 2 2 2" xfId="29932"/>
    <cellStyle name="Normal 15 4 6 2 3" xfId="31425"/>
    <cellStyle name="Normal 15 4 6 3" xfId="13477"/>
    <cellStyle name="Normal 15 4 6 3 2" xfId="27026"/>
    <cellStyle name="Normal 15 4 6 4" xfId="31424"/>
    <cellStyle name="Normal 15 4 7" xfId="7110"/>
    <cellStyle name="Normal 15 4 7 2" xfId="14058"/>
    <cellStyle name="Normal 15 4 7 2 2" xfId="27607"/>
    <cellStyle name="Normal 15 4 7 3" xfId="31426"/>
    <cellStyle name="Normal 15 4 8" xfId="7111"/>
    <cellStyle name="Normal 15 4 8 2" xfId="15944"/>
    <cellStyle name="Normal 15 4 8 2 2" xfId="29351"/>
    <cellStyle name="Normal 15 4 8 3" xfId="31427"/>
    <cellStyle name="Normal 15 4 9" xfId="10148"/>
    <cellStyle name="Normal 15 4 9 2" xfId="24372"/>
    <cellStyle name="Normal 15 5" xfId="7112"/>
    <cellStyle name="Normal 15 5 10" xfId="31428"/>
    <cellStyle name="Normal 15 5 2" xfId="7113"/>
    <cellStyle name="Normal 15 5 2 2" xfId="7114"/>
    <cellStyle name="Normal 15 5 2 2 2" xfId="7115"/>
    <cellStyle name="Normal 15 5 2 2 2 2" xfId="7116"/>
    <cellStyle name="Normal 15 5 2 2 2 2 2" xfId="17000"/>
    <cellStyle name="Normal 15 5 2 2 2 2 2 2" xfId="30407"/>
    <cellStyle name="Normal 15 5 2 2 2 2 3" xfId="31432"/>
    <cellStyle name="Normal 15 5 2 2 2 3" xfId="11529"/>
    <cellStyle name="Normal 15 5 2 2 2 3 2" xfId="25361"/>
    <cellStyle name="Normal 15 5 2 2 2 4" xfId="31431"/>
    <cellStyle name="Normal 15 5 2 2 3" xfId="7117"/>
    <cellStyle name="Normal 15 5 2 2 3 2" xfId="12388"/>
    <cellStyle name="Normal 15 5 2 2 3 2 2" xfId="26100"/>
    <cellStyle name="Normal 15 5 2 2 3 3" xfId="31433"/>
    <cellStyle name="Normal 15 5 2 2 4" xfId="7118"/>
    <cellStyle name="Normal 15 5 2 2 4 2" xfId="13952"/>
    <cellStyle name="Normal 15 5 2 2 4 2 2" xfId="27501"/>
    <cellStyle name="Normal 15 5 2 2 4 3" xfId="31434"/>
    <cellStyle name="Normal 15 5 2 2 5" xfId="7119"/>
    <cellStyle name="Normal 15 5 2 2 5 2" xfId="14533"/>
    <cellStyle name="Normal 15 5 2 2 5 2 2" xfId="28082"/>
    <cellStyle name="Normal 15 5 2 2 5 3" xfId="31435"/>
    <cellStyle name="Normal 15 5 2 2 6" xfId="7120"/>
    <cellStyle name="Normal 15 5 2 2 6 2" xfId="16419"/>
    <cellStyle name="Normal 15 5 2 2 6 2 2" xfId="29826"/>
    <cellStyle name="Normal 15 5 2 2 6 3" xfId="31436"/>
    <cellStyle name="Normal 15 5 2 2 7" xfId="10154"/>
    <cellStyle name="Normal 15 5 2 2 7 2" xfId="24378"/>
    <cellStyle name="Normal 15 5 2 2 8" xfId="31430"/>
    <cellStyle name="Normal 15 5 2 3" xfId="7121"/>
    <cellStyle name="Normal 15 5 2 3 2" xfId="7122"/>
    <cellStyle name="Normal 15 5 2 3 2 2" xfId="16711"/>
    <cellStyle name="Normal 15 5 2 3 2 2 2" xfId="30118"/>
    <cellStyle name="Normal 15 5 2 3 2 3" xfId="31438"/>
    <cellStyle name="Normal 15 5 2 3 3" xfId="11528"/>
    <cellStyle name="Normal 15 5 2 3 3 2" xfId="25360"/>
    <cellStyle name="Normal 15 5 2 3 4" xfId="31437"/>
    <cellStyle name="Normal 15 5 2 4" xfId="7123"/>
    <cellStyle name="Normal 15 5 2 4 2" xfId="12088"/>
    <cellStyle name="Normal 15 5 2 4 2 2" xfId="25803"/>
    <cellStyle name="Normal 15 5 2 4 3" xfId="31439"/>
    <cellStyle name="Normal 15 5 2 5" xfId="7124"/>
    <cellStyle name="Normal 15 5 2 5 2" xfId="13663"/>
    <cellStyle name="Normal 15 5 2 5 2 2" xfId="27212"/>
    <cellStyle name="Normal 15 5 2 5 3" xfId="31440"/>
    <cellStyle name="Normal 15 5 2 6" xfId="7125"/>
    <cellStyle name="Normal 15 5 2 6 2" xfId="14244"/>
    <cellStyle name="Normal 15 5 2 6 2 2" xfId="27793"/>
    <cellStyle name="Normal 15 5 2 6 3" xfId="31441"/>
    <cellStyle name="Normal 15 5 2 7" xfId="7126"/>
    <cellStyle name="Normal 15 5 2 7 2" xfId="16130"/>
    <cellStyle name="Normal 15 5 2 7 2 2" xfId="29537"/>
    <cellStyle name="Normal 15 5 2 7 3" xfId="31442"/>
    <cellStyle name="Normal 15 5 2 8" xfId="10153"/>
    <cellStyle name="Normal 15 5 2 8 2" xfId="24377"/>
    <cellStyle name="Normal 15 5 2 9" xfId="31429"/>
    <cellStyle name="Normal 15 5 3" xfId="7127"/>
    <cellStyle name="Normal 15 5 3 2" xfId="7128"/>
    <cellStyle name="Normal 15 5 3 2 2" xfId="7129"/>
    <cellStyle name="Normal 15 5 3 2 2 2" xfId="16857"/>
    <cellStyle name="Normal 15 5 3 2 2 2 2" xfId="30264"/>
    <cellStyle name="Normal 15 5 3 2 2 3" xfId="31445"/>
    <cellStyle name="Normal 15 5 3 2 3" xfId="11530"/>
    <cellStyle name="Normal 15 5 3 2 3 2" xfId="25362"/>
    <cellStyle name="Normal 15 5 3 2 4" xfId="31444"/>
    <cellStyle name="Normal 15 5 3 3" xfId="7130"/>
    <cellStyle name="Normal 15 5 3 3 2" xfId="12245"/>
    <cellStyle name="Normal 15 5 3 3 2 2" xfId="25957"/>
    <cellStyle name="Normal 15 5 3 3 3" xfId="31446"/>
    <cellStyle name="Normal 15 5 3 4" xfId="7131"/>
    <cellStyle name="Normal 15 5 3 4 2" xfId="13809"/>
    <cellStyle name="Normal 15 5 3 4 2 2" xfId="27358"/>
    <cellStyle name="Normal 15 5 3 4 3" xfId="31447"/>
    <cellStyle name="Normal 15 5 3 5" xfId="7132"/>
    <cellStyle name="Normal 15 5 3 5 2" xfId="14390"/>
    <cellStyle name="Normal 15 5 3 5 2 2" xfId="27939"/>
    <cellStyle name="Normal 15 5 3 5 3" xfId="31448"/>
    <cellStyle name="Normal 15 5 3 6" xfId="7133"/>
    <cellStyle name="Normal 15 5 3 6 2" xfId="16276"/>
    <cellStyle name="Normal 15 5 3 6 2 2" xfId="29683"/>
    <cellStyle name="Normal 15 5 3 6 3" xfId="31449"/>
    <cellStyle name="Normal 15 5 3 7" xfId="10155"/>
    <cellStyle name="Normal 15 5 3 7 2" xfId="24379"/>
    <cellStyle name="Normal 15 5 3 8" xfId="31443"/>
    <cellStyle name="Normal 15 5 4" xfId="7134"/>
    <cellStyle name="Normal 15 5 4 2" xfId="7135"/>
    <cellStyle name="Normal 15 5 4 2 2" xfId="16568"/>
    <cellStyle name="Normal 15 5 4 2 2 2" xfId="29975"/>
    <cellStyle name="Normal 15 5 4 2 3" xfId="31451"/>
    <cellStyle name="Normal 15 5 4 3" xfId="11527"/>
    <cellStyle name="Normal 15 5 4 3 2" xfId="25359"/>
    <cellStyle name="Normal 15 5 4 4" xfId="31450"/>
    <cellStyle name="Normal 15 5 5" xfId="7136"/>
    <cellStyle name="Normal 15 5 5 2" xfId="11943"/>
    <cellStyle name="Normal 15 5 5 2 2" xfId="25658"/>
    <cellStyle name="Normal 15 5 5 3" xfId="31452"/>
    <cellStyle name="Normal 15 5 6" xfId="7137"/>
    <cellStyle name="Normal 15 5 6 2" xfId="13520"/>
    <cellStyle name="Normal 15 5 6 2 2" xfId="27069"/>
    <cellStyle name="Normal 15 5 6 3" xfId="31453"/>
    <cellStyle name="Normal 15 5 7" xfId="7138"/>
    <cellStyle name="Normal 15 5 7 2" xfId="14101"/>
    <cellStyle name="Normal 15 5 7 2 2" xfId="27650"/>
    <cellStyle name="Normal 15 5 7 3" xfId="31454"/>
    <cellStyle name="Normal 15 5 8" xfId="7139"/>
    <cellStyle name="Normal 15 5 8 2" xfId="15987"/>
    <cellStyle name="Normal 15 5 8 2 2" xfId="29394"/>
    <cellStyle name="Normal 15 5 8 3" xfId="31455"/>
    <cellStyle name="Normal 15 5 9" xfId="10152"/>
    <cellStyle name="Normal 15 5 9 2" xfId="24376"/>
    <cellStyle name="Normal 15 6" xfId="7140"/>
    <cellStyle name="Normal 15 6 2" xfId="7141"/>
    <cellStyle name="Normal 15 6 2 2" xfId="7142"/>
    <cellStyle name="Normal 15 6 2 2 2" xfId="7143"/>
    <cellStyle name="Normal 15 6 2 2 2 2" xfId="16911"/>
    <cellStyle name="Normal 15 6 2 2 2 2 2" xfId="30318"/>
    <cellStyle name="Normal 15 6 2 2 2 3" xfId="31459"/>
    <cellStyle name="Normal 15 6 2 2 3" xfId="11532"/>
    <cellStyle name="Normal 15 6 2 2 3 2" xfId="25364"/>
    <cellStyle name="Normal 15 6 2 2 4" xfId="31458"/>
    <cellStyle name="Normal 15 6 2 3" xfId="7144"/>
    <cellStyle name="Normal 15 6 2 3 2" xfId="12299"/>
    <cellStyle name="Normal 15 6 2 3 2 2" xfId="26011"/>
    <cellStyle name="Normal 15 6 2 3 3" xfId="31460"/>
    <cellStyle name="Normal 15 6 2 4" xfId="7145"/>
    <cellStyle name="Normal 15 6 2 4 2" xfId="13863"/>
    <cellStyle name="Normal 15 6 2 4 2 2" xfId="27412"/>
    <cellStyle name="Normal 15 6 2 4 3" xfId="31461"/>
    <cellStyle name="Normal 15 6 2 5" xfId="7146"/>
    <cellStyle name="Normal 15 6 2 5 2" xfId="14444"/>
    <cellStyle name="Normal 15 6 2 5 2 2" xfId="27993"/>
    <cellStyle name="Normal 15 6 2 5 3" xfId="31462"/>
    <cellStyle name="Normal 15 6 2 6" xfId="7147"/>
    <cellStyle name="Normal 15 6 2 6 2" xfId="16330"/>
    <cellStyle name="Normal 15 6 2 6 2 2" xfId="29737"/>
    <cellStyle name="Normal 15 6 2 6 3" xfId="31463"/>
    <cellStyle name="Normal 15 6 2 7" xfId="10157"/>
    <cellStyle name="Normal 15 6 2 7 2" xfId="24381"/>
    <cellStyle name="Normal 15 6 2 8" xfId="31457"/>
    <cellStyle name="Normal 15 6 3" xfId="7148"/>
    <cellStyle name="Normal 15 6 3 2" xfId="7149"/>
    <cellStyle name="Normal 15 6 3 2 2" xfId="16622"/>
    <cellStyle name="Normal 15 6 3 2 2 2" xfId="30029"/>
    <cellStyle name="Normal 15 6 3 2 3" xfId="31465"/>
    <cellStyle name="Normal 15 6 3 3" xfId="11531"/>
    <cellStyle name="Normal 15 6 3 3 2" xfId="25363"/>
    <cellStyle name="Normal 15 6 3 4" xfId="31464"/>
    <cellStyle name="Normal 15 6 4" xfId="7150"/>
    <cellStyle name="Normal 15 6 4 2" xfId="11999"/>
    <cellStyle name="Normal 15 6 4 2 2" xfId="25714"/>
    <cellStyle name="Normal 15 6 4 3" xfId="31466"/>
    <cellStyle name="Normal 15 6 5" xfId="7151"/>
    <cellStyle name="Normal 15 6 5 2" xfId="13574"/>
    <cellStyle name="Normal 15 6 5 2 2" xfId="27123"/>
    <cellStyle name="Normal 15 6 5 3" xfId="31467"/>
    <cellStyle name="Normal 15 6 6" xfId="7152"/>
    <cellStyle name="Normal 15 6 6 2" xfId="14155"/>
    <cellStyle name="Normal 15 6 6 2 2" xfId="27704"/>
    <cellStyle name="Normal 15 6 6 3" xfId="31468"/>
    <cellStyle name="Normal 15 6 7" xfId="7153"/>
    <cellStyle name="Normal 15 6 7 2" xfId="16041"/>
    <cellStyle name="Normal 15 6 7 2 2" xfId="29448"/>
    <cellStyle name="Normal 15 6 7 3" xfId="31469"/>
    <cellStyle name="Normal 15 6 8" xfId="10156"/>
    <cellStyle name="Normal 15 6 8 2" xfId="24380"/>
    <cellStyle name="Normal 15 6 9" xfId="31456"/>
    <cellStyle name="Normal 15 7" xfId="7154"/>
    <cellStyle name="Normal 15 7 2" xfId="7155"/>
    <cellStyle name="Normal 15 7 2 2" xfId="7156"/>
    <cellStyle name="Normal 15 7 2 2 2" xfId="16734"/>
    <cellStyle name="Normal 15 7 2 2 2 2" xfId="30141"/>
    <cellStyle name="Normal 15 7 2 2 3" xfId="31472"/>
    <cellStyle name="Normal 15 7 2 3" xfId="11533"/>
    <cellStyle name="Normal 15 7 2 3 2" xfId="25365"/>
    <cellStyle name="Normal 15 7 2 4" xfId="31471"/>
    <cellStyle name="Normal 15 7 3" xfId="7157"/>
    <cellStyle name="Normal 15 7 3 2" xfId="12122"/>
    <cellStyle name="Normal 15 7 3 2 2" xfId="25834"/>
    <cellStyle name="Normal 15 7 3 3" xfId="31473"/>
    <cellStyle name="Normal 15 7 4" xfId="7158"/>
    <cellStyle name="Normal 15 7 4 2" xfId="13686"/>
    <cellStyle name="Normal 15 7 4 2 2" xfId="27235"/>
    <cellStyle name="Normal 15 7 4 3" xfId="31474"/>
    <cellStyle name="Normal 15 7 5" xfId="7159"/>
    <cellStyle name="Normal 15 7 5 2" xfId="14267"/>
    <cellStyle name="Normal 15 7 5 2 2" xfId="27816"/>
    <cellStyle name="Normal 15 7 5 3" xfId="31475"/>
    <cellStyle name="Normal 15 7 6" xfId="7160"/>
    <cellStyle name="Normal 15 7 6 2" xfId="16153"/>
    <cellStyle name="Normal 15 7 6 2 2" xfId="29560"/>
    <cellStyle name="Normal 15 7 6 3" xfId="31476"/>
    <cellStyle name="Normal 15 7 7" xfId="10158"/>
    <cellStyle name="Normal 15 7 7 2" xfId="24382"/>
    <cellStyle name="Normal 15 7 8" xfId="31470"/>
    <cellStyle name="Normal 15 8" xfId="7161"/>
    <cellStyle name="Normal 15 8 2" xfId="7162"/>
    <cellStyle name="Normal 15 8 2 2" xfId="11534"/>
    <cellStyle name="Normal 15 8 2 2 2" xfId="25366"/>
    <cellStyle name="Normal 15 8 2 3" xfId="31478"/>
    <cellStyle name="Normal 15 8 3" xfId="7163"/>
    <cellStyle name="Normal 15 8 3 2" xfId="13244"/>
    <cellStyle name="Normal 15 8 3 2 2" xfId="26888"/>
    <cellStyle name="Normal 15 8 3 3" xfId="31479"/>
    <cellStyle name="Normal 15 8 4" xfId="7164"/>
    <cellStyle name="Normal 15 8 4 2" xfId="15694"/>
    <cellStyle name="Normal 15 8 4 2 2" xfId="29180"/>
    <cellStyle name="Normal 15 8 4 3" xfId="31480"/>
    <cellStyle name="Normal 15 8 5" xfId="7165"/>
    <cellStyle name="Normal 15 8 5 2" xfId="17115"/>
    <cellStyle name="Normal 15 8 5 2 2" xfId="30474"/>
    <cellStyle name="Normal 15 8 5 3" xfId="31481"/>
    <cellStyle name="Normal 15 8 6" xfId="10159"/>
    <cellStyle name="Normal 15 8 6 2" xfId="24383"/>
    <cellStyle name="Normal 15 8 7" xfId="31477"/>
    <cellStyle name="Normal 15 9" xfId="7166"/>
    <cellStyle name="Normal 15 9 2" xfId="7167"/>
    <cellStyle name="Normal 15 9 2 2" xfId="13245"/>
    <cellStyle name="Normal 15 9 2 3" xfId="31483"/>
    <cellStyle name="Normal 15 9 3" xfId="7168"/>
    <cellStyle name="Normal 15 9 3 2" xfId="17204"/>
    <cellStyle name="Normal 15 9 3 2 2" xfId="30563"/>
    <cellStyle name="Normal 15 9 3 3" xfId="31484"/>
    <cellStyle name="Normal 15 9 4" xfId="11830"/>
    <cellStyle name="Normal 15 9 4 2" xfId="25545"/>
    <cellStyle name="Normal 15 9 5" xfId="31482"/>
    <cellStyle name="Normal 16" xfId="7169"/>
    <cellStyle name="Normal 16 10" xfId="10160"/>
    <cellStyle name="Normal 16 10 2" xfId="24384"/>
    <cellStyle name="Normal 16 11" xfId="31485"/>
    <cellStyle name="Normal 16 2" xfId="7170"/>
    <cellStyle name="Normal 16 2 10" xfId="31486"/>
    <cellStyle name="Normal 16 2 2" xfId="7171"/>
    <cellStyle name="Normal 16 2 2 2" xfId="7172"/>
    <cellStyle name="Normal 16 2 2 2 2" xfId="7173"/>
    <cellStyle name="Normal 16 2 2 2 2 2" xfId="7174"/>
    <cellStyle name="Normal 16 2 2 2 2 2 2" xfId="16958"/>
    <cellStyle name="Normal 16 2 2 2 2 2 2 2" xfId="30365"/>
    <cellStyle name="Normal 16 2 2 2 2 2 3" xfId="31490"/>
    <cellStyle name="Normal 16 2 2 2 2 3" xfId="11538"/>
    <cellStyle name="Normal 16 2 2 2 2 3 2" xfId="25370"/>
    <cellStyle name="Normal 16 2 2 2 2 4" xfId="31489"/>
    <cellStyle name="Normal 16 2 2 2 3" xfId="7175"/>
    <cellStyle name="Normal 16 2 2 2 3 2" xfId="12346"/>
    <cellStyle name="Normal 16 2 2 2 3 2 2" xfId="26058"/>
    <cellStyle name="Normal 16 2 2 2 3 3" xfId="31491"/>
    <cellStyle name="Normal 16 2 2 2 4" xfId="7176"/>
    <cellStyle name="Normal 16 2 2 2 4 2" xfId="13910"/>
    <cellStyle name="Normal 16 2 2 2 4 2 2" xfId="27459"/>
    <cellStyle name="Normal 16 2 2 2 4 3" xfId="31492"/>
    <cellStyle name="Normal 16 2 2 2 5" xfId="7177"/>
    <cellStyle name="Normal 16 2 2 2 5 2" xfId="14491"/>
    <cellStyle name="Normal 16 2 2 2 5 2 2" xfId="28040"/>
    <cellStyle name="Normal 16 2 2 2 5 3" xfId="31493"/>
    <cellStyle name="Normal 16 2 2 2 6" xfId="7178"/>
    <cellStyle name="Normal 16 2 2 2 6 2" xfId="16377"/>
    <cellStyle name="Normal 16 2 2 2 6 2 2" xfId="29784"/>
    <cellStyle name="Normal 16 2 2 2 6 3" xfId="31494"/>
    <cellStyle name="Normal 16 2 2 2 7" xfId="10163"/>
    <cellStyle name="Normal 16 2 2 2 7 2" xfId="24387"/>
    <cellStyle name="Normal 16 2 2 2 8" xfId="31488"/>
    <cellStyle name="Normal 16 2 2 3" xfId="7179"/>
    <cellStyle name="Normal 16 2 2 3 2" xfId="7180"/>
    <cellStyle name="Normal 16 2 2 3 2 2" xfId="16669"/>
    <cellStyle name="Normal 16 2 2 3 2 2 2" xfId="30076"/>
    <cellStyle name="Normal 16 2 2 3 2 3" xfId="31496"/>
    <cellStyle name="Normal 16 2 2 3 3" xfId="11537"/>
    <cellStyle name="Normal 16 2 2 3 3 2" xfId="25369"/>
    <cellStyle name="Normal 16 2 2 3 4" xfId="31495"/>
    <cellStyle name="Normal 16 2 2 4" xfId="7181"/>
    <cellStyle name="Normal 16 2 2 4 2" xfId="12046"/>
    <cellStyle name="Normal 16 2 2 4 2 2" xfId="25761"/>
    <cellStyle name="Normal 16 2 2 4 3" xfId="31497"/>
    <cellStyle name="Normal 16 2 2 5" xfId="7182"/>
    <cellStyle name="Normal 16 2 2 5 2" xfId="13621"/>
    <cellStyle name="Normal 16 2 2 5 2 2" xfId="27170"/>
    <cellStyle name="Normal 16 2 2 5 3" xfId="31498"/>
    <cellStyle name="Normal 16 2 2 6" xfId="7183"/>
    <cellStyle name="Normal 16 2 2 6 2" xfId="14202"/>
    <cellStyle name="Normal 16 2 2 6 2 2" xfId="27751"/>
    <cellStyle name="Normal 16 2 2 6 3" xfId="31499"/>
    <cellStyle name="Normal 16 2 2 7" xfId="7184"/>
    <cellStyle name="Normal 16 2 2 7 2" xfId="16088"/>
    <cellStyle name="Normal 16 2 2 7 2 2" xfId="29495"/>
    <cellStyle name="Normal 16 2 2 7 3" xfId="31500"/>
    <cellStyle name="Normal 16 2 2 8" xfId="10162"/>
    <cellStyle name="Normal 16 2 2 8 2" xfId="24386"/>
    <cellStyle name="Normal 16 2 2 9" xfId="31487"/>
    <cellStyle name="Normal 16 2 3" xfId="7185"/>
    <cellStyle name="Normal 16 2 3 2" xfId="7186"/>
    <cellStyle name="Normal 16 2 3 2 2" xfId="7187"/>
    <cellStyle name="Normal 16 2 3 2 2 2" xfId="16815"/>
    <cellStyle name="Normal 16 2 3 2 2 2 2" xfId="30222"/>
    <cellStyle name="Normal 16 2 3 2 2 3" xfId="31503"/>
    <cellStyle name="Normal 16 2 3 2 3" xfId="11539"/>
    <cellStyle name="Normal 16 2 3 2 3 2" xfId="25371"/>
    <cellStyle name="Normal 16 2 3 2 4" xfId="31502"/>
    <cellStyle name="Normal 16 2 3 3" xfId="7188"/>
    <cellStyle name="Normal 16 2 3 3 2" xfId="12203"/>
    <cellStyle name="Normal 16 2 3 3 2 2" xfId="25915"/>
    <cellStyle name="Normal 16 2 3 3 3" xfId="31504"/>
    <cellStyle name="Normal 16 2 3 4" xfId="7189"/>
    <cellStyle name="Normal 16 2 3 4 2" xfId="13767"/>
    <cellStyle name="Normal 16 2 3 4 2 2" xfId="27316"/>
    <cellStyle name="Normal 16 2 3 4 3" xfId="31505"/>
    <cellStyle name="Normal 16 2 3 5" xfId="7190"/>
    <cellStyle name="Normal 16 2 3 5 2" xfId="14348"/>
    <cellStyle name="Normal 16 2 3 5 2 2" xfId="27897"/>
    <cellStyle name="Normal 16 2 3 5 3" xfId="31506"/>
    <cellStyle name="Normal 16 2 3 6" xfId="7191"/>
    <cellStyle name="Normal 16 2 3 6 2" xfId="16234"/>
    <cellStyle name="Normal 16 2 3 6 2 2" xfId="29641"/>
    <cellStyle name="Normal 16 2 3 6 3" xfId="31507"/>
    <cellStyle name="Normal 16 2 3 7" xfId="10164"/>
    <cellStyle name="Normal 16 2 3 7 2" xfId="24388"/>
    <cellStyle name="Normal 16 2 3 8" xfId="31501"/>
    <cellStyle name="Normal 16 2 4" xfId="7192"/>
    <cellStyle name="Normal 16 2 4 2" xfId="7193"/>
    <cellStyle name="Normal 16 2 4 2 2" xfId="17162"/>
    <cellStyle name="Normal 16 2 4 2 2 2" xfId="30521"/>
    <cellStyle name="Normal 16 2 4 2 3" xfId="31509"/>
    <cellStyle name="Normal 16 2 4 3" xfId="11536"/>
    <cellStyle name="Normal 16 2 4 3 2" xfId="25368"/>
    <cellStyle name="Normal 16 2 4 4" xfId="31508"/>
    <cellStyle name="Normal 16 2 5" xfId="7194"/>
    <cellStyle name="Normal 16 2 5 2" xfId="7195"/>
    <cellStyle name="Normal 16 2 5 2 2" xfId="17251"/>
    <cellStyle name="Normal 16 2 5 2 2 2" xfId="30610"/>
    <cellStyle name="Normal 16 2 5 2 3" xfId="31511"/>
    <cellStyle name="Normal 16 2 5 3" xfId="11901"/>
    <cellStyle name="Normal 16 2 5 3 2" xfId="25616"/>
    <cellStyle name="Normal 16 2 5 4" xfId="31510"/>
    <cellStyle name="Normal 16 2 6" xfId="7196"/>
    <cellStyle name="Normal 16 2 6 2" xfId="7197"/>
    <cellStyle name="Normal 16 2 6 2 2" xfId="16526"/>
    <cellStyle name="Normal 16 2 6 2 2 2" xfId="29933"/>
    <cellStyle name="Normal 16 2 6 2 3" xfId="31513"/>
    <cellStyle name="Normal 16 2 6 3" xfId="13478"/>
    <cellStyle name="Normal 16 2 6 3 2" xfId="27027"/>
    <cellStyle name="Normal 16 2 6 4" xfId="31512"/>
    <cellStyle name="Normal 16 2 7" xfId="7198"/>
    <cellStyle name="Normal 16 2 7 2" xfId="14059"/>
    <cellStyle name="Normal 16 2 7 2 2" xfId="27608"/>
    <cellStyle name="Normal 16 2 7 3" xfId="31514"/>
    <cellStyle name="Normal 16 2 8" xfId="7199"/>
    <cellStyle name="Normal 16 2 8 2" xfId="15945"/>
    <cellStyle name="Normal 16 2 8 2 2" xfId="29352"/>
    <cellStyle name="Normal 16 2 8 3" xfId="31515"/>
    <cellStyle name="Normal 16 2 9" xfId="10161"/>
    <cellStyle name="Normal 16 2 9 2" xfId="24385"/>
    <cellStyle name="Normal 16 3" xfId="7200"/>
    <cellStyle name="Normal 16 3 2" xfId="7201"/>
    <cellStyle name="Normal 16 3 2 2" xfId="7202"/>
    <cellStyle name="Normal 16 3 2 2 2" xfId="7203"/>
    <cellStyle name="Normal 16 3 2 2 2 2" xfId="16912"/>
    <cellStyle name="Normal 16 3 2 2 2 2 2" xfId="30319"/>
    <cellStyle name="Normal 16 3 2 2 2 3" xfId="31519"/>
    <cellStyle name="Normal 16 3 2 2 3" xfId="11541"/>
    <cellStyle name="Normal 16 3 2 2 3 2" xfId="25373"/>
    <cellStyle name="Normal 16 3 2 2 4" xfId="31518"/>
    <cellStyle name="Normal 16 3 2 3" xfId="7204"/>
    <cellStyle name="Normal 16 3 2 3 2" xfId="12300"/>
    <cellStyle name="Normal 16 3 2 3 2 2" xfId="26012"/>
    <cellStyle name="Normal 16 3 2 3 3" xfId="31520"/>
    <cellStyle name="Normal 16 3 2 4" xfId="7205"/>
    <cellStyle name="Normal 16 3 2 4 2" xfId="13864"/>
    <cellStyle name="Normal 16 3 2 4 2 2" xfId="27413"/>
    <cellStyle name="Normal 16 3 2 4 3" xfId="31521"/>
    <cellStyle name="Normal 16 3 2 5" xfId="7206"/>
    <cellStyle name="Normal 16 3 2 5 2" xfId="14445"/>
    <cellStyle name="Normal 16 3 2 5 2 2" xfId="27994"/>
    <cellStyle name="Normal 16 3 2 5 3" xfId="31522"/>
    <cellStyle name="Normal 16 3 2 6" xfId="7207"/>
    <cellStyle name="Normal 16 3 2 6 2" xfId="16331"/>
    <cellStyle name="Normal 16 3 2 6 2 2" xfId="29738"/>
    <cellStyle name="Normal 16 3 2 6 3" xfId="31523"/>
    <cellStyle name="Normal 16 3 2 7" xfId="10166"/>
    <cellStyle name="Normal 16 3 2 7 2" xfId="24390"/>
    <cellStyle name="Normal 16 3 2 8" xfId="31517"/>
    <cellStyle name="Normal 16 3 3" xfId="7208"/>
    <cellStyle name="Normal 16 3 3 2" xfId="7209"/>
    <cellStyle name="Normal 16 3 3 2 2" xfId="16623"/>
    <cellStyle name="Normal 16 3 3 2 2 2" xfId="30030"/>
    <cellStyle name="Normal 16 3 3 2 3" xfId="31525"/>
    <cellStyle name="Normal 16 3 3 3" xfId="11540"/>
    <cellStyle name="Normal 16 3 3 3 2" xfId="25372"/>
    <cellStyle name="Normal 16 3 3 4" xfId="31524"/>
    <cellStyle name="Normal 16 3 4" xfId="7210"/>
    <cellStyle name="Normal 16 3 4 2" xfId="12000"/>
    <cellStyle name="Normal 16 3 4 2 2" xfId="25715"/>
    <cellStyle name="Normal 16 3 4 3" xfId="31526"/>
    <cellStyle name="Normal 16 3 5" xfId="7211"/>
    <cellStyle name="Normal 16 3 5 2" xfId="13575"/>
    <cellStyle name="Normal 16 3 5 2 2" xfId="27124"/>
    <cellStyle name="Normal 16 3 5 3" xfId="31527"/>
    <cellStyle name="Normal 16 3 6" xfId="7212"/>
    <cellStyle name="Normal 16 3 6 2" xfId="14156"/>
    <cellStyle name="Normal 16 3 6 2 2" xfId="27705"/>
    <cellStyle name="Normal 16 3 6 3" xfId="31528"/>
    <cellStyle name="Normal 16 3 7" xfId="7213"/>
    <cellStyle name="Normal 16 3 7 2" xfId="16042"/>
    <cellStyle name="Normal 16 3 7 2 2" xfId="29449"/>
    <cellStyle name="Normal 16 3 7 3" xfId="31529"/>
    <cellStyle name="Normal 16 3 8" xfId="10165"/>
    <cellStyle name="Normal 16 3 8 2" xfId="24389"/>
    <cellStyle name="Normal 16 3 9" xfId="31516"/>
    <cellStyle name="Normal 16 4" xfId="7214"/>
    <cellStyle name="Normal 16 4 2" xfId="7215"/>
    <cellStyle name="Normal 16 4 2 2" xfId="7216"/>
    <cellStyle name="Normal 16 4 2 2 2" xfId="16769"/>
    <cellStyle name="Normal 16 4 2 2 2 2" xfId="30176"/>
    <cellStyle name="Normal 16 4 2 2 3" xfId="31532"/>
    <cellStyle name="Normal 16 4 2 3" xfId="11542"/>
    <cellStyle name="Normal 16 4 2 3 2" xfId="25374"/>
    <cellStyle name="Normal 16 4 2 4" xfId="31531"/>
    <cellStyle name="Normal 16 4 3" xfId="7217"/>
    <cellStyle name="Normal 16 4 3 2" xfId="12157"/>
    <cellStyle name="Normal 16 4 3 2 2" xfId="25869"/>
    <cellStyle name="Normal 16 4 3 3" xfId="31533"/>
    <cellStyle name="Normal 16 4 4" xfId="7218"/>
    <cellStyle name="Normal 16 4 4 2" xfId="13721"/>
    <cellStyle name="Normal 16 4 4 2 2" xfId="27270"/>
    <cellStyle name="Normal 16 4 4 3" xfId="31534"/>
    <cellStyle name="Normal 16 4 5" xfId="7219"/>
    <cellStyle name="Normal 16 4 5 2" xfId="14302"/>
    <cellStyle name="Normal 16 4 5 2 2" xfId="27851"/>
    <cellStyle name="Normal 16 4 5 3" xfId="31535"/>
    <cellStyle name="Normal 16 4 6" xfId="7220"/>
    <cellStyle name="Normal 16 4 6 2" xfId="16188"/>
    <cellStyle name="Normal 16 4 6 2 2" xfId="29595"/>
    <cellStyle name="Normal 16 4 6 3" xfId="31536"/>
    <cellStyle name="Normal 16 4 7" xfId="10167"/>
    <cellStyle name="Normal 16 4 7 2" xfId="24391"/>
    <cellStyle name="Normal 16 4 8" xfId="31530"/>
    <cellStyle name="Normal 16 5" xfId="7221"/>
    <cellStyle name="Normal 16 5 2" xfId="7222"/>
    <cellStyle name="Normal 16 5 2 2" xfId="17116"/>
    <cellStyle name="Normal 16 5 2 2 2" xfId="30475"/>
    <cellStyle name="Normal 16 5 2 3" xfId="31538"/>
    <cellStyle name="Normal 16 5 3" xfId="11535"/>
    <cellStyle name="Normal 16 5 3 2" xfId="25367"/>
    <cellStyle name="Normal 16 5 4" xfId="31537"/>
    <cellStyle name="Normal 16 6" xfId="7223"/>
    <cellStyle name="Normal 16 6 2" xfId="7224"/>
    <cellStyle name="Normal 16 6 2 2" xfId="17205"/>
    <cellStyle name="Normal 16 6 2 2 2" xfId="30564"/>
    <cellStyle name="Normal 16 6 2 3" xfId="31540"/>
    <cellStyle name="Normal 16 6 3" xfId="11831"/>
    <cellStyle name="Normal 16 6 3 2" xfId="25546"/>
    <cellStyle name="Normal 16 6 4" xfId="31539"/>
    <cellStyle name="Normal 16 7" xfId="7225"/>
    <cellStyle name="Normal 16 7 2" xfId="7226"/>
    <cellStyle name="Normal 16 7 2 2" xfId="16480"/>
    <cellStyle name="Normal 16 7 2 2 2" xfId="29887"/>
    <cellStyle name="Normal 16 7 2 3" xfId="31542"/>
    <cellStyle name="Normal 16 7 3" xfId="13432"/>
    <cellStyle name="Normal 16 7 3 2" xfId="26981"/>
    <cellStyle name="Normal 16 7 4" xfId="31541"/>
    <cellStyle name="Normal 16 8" xfId="7227"/>
    <cellStyle name="Normal 16 8 2" xfId="14013"/>
    <cellStyle name="Normal 16 8 2 2" xfId="27562"/>
    <cellStyle name="Normal 16 8 3" xfId="31543"/>
    <cellStyle name="Normal 16 9" xfId="7228"/>
    <cellStyle name="Normal 16 9 2" xfId="15899"/>
    <cellStyle name="Normal 16 9 2 2" xfId="29306"/>
    <cellStyle name="Normal 16 9 3" xfId="31544"/>
    <cellStyle name="Normal 17" xfId="7229"/>
    <cellStyle name="Normal 17 2" xfId="7230"/>
    <cellStyle name="Normal 17 2 2" xfId="10169"/>
    <cellStyle name="Normal 17 3" xfId="10168"/>
    <cellStyle name="Normal 17 4" xfId="33102"/>
    <cellStyle name="Normal 18" xfId="7231"/>
    <cellStyle name="Normal 18 2" xfId="7232"/>
    <cellStyle name="Normal 18 2 2" xfId="10171"/>
    <cellStyle name="Normal 18 3" xfId="10170"/>
    <cellStyle name="Normal 19" xfId="7233"/>
    <cellStyle name="Normal 19 10" xfId="31545"/>
    <cellStyle name="Normal 19 2" xfId="7234"/>
    <cellStyle name="Normal 19 2 2" xfId="7235"/>
    <cellStyle name="Normal 19 2 2 2" xfId="7236"/>
    <cellStyle name="Normal 19 2 2 2 2" xfId="7237"/>
    <cellStyle name="Normal 19 2 2 2 2 2" xfId="16935"/>
    <cellStyle name="Normal 19 2 2 2 2 2 2" xfId="30342"/>
    <cellStyle name="Normal 19 2 2 2 2 3" xfId="31549"/>
    <cellStyle name="Normal 19 2 2 2 3" xfId="11545"/>
    <cellStyle name="Normal 19 2 2 2 3 2" xfId="25377"/>
    <cellStyle name="Normal 19 2 2 2 4" xfId="31548"/>
    <cellStyle name="Normal 19 2 2 3" xfId="7238"/>
    <cellStyle name="Normal 19 2 2 3 2" xfId="12323"/>
    <cellStyle name="Normal 19 2 2 3 2 2" xfId="26035"/>
    <cellStyle name="Normal 19 2 2 3 3" xfId="31550"/>
    <cellStyle name="Normal 19 2 2 4" xfId="7239"/>
    <cellStyle name="Normal 19 2 2 4 2" xfId="13887"/>
    <cellStyle name="Normal 19 2 2 4 2 2" xfId="27436"/>
    <cellStyle name="Normal 19 2 2 4 3" xfId="31551"/>
    <cellStyle name="Normal 19 2 2 5" xfId="7240"/>
    <cellStyle name="Normal 19 2 2 5 2" xfId="14468"/>
    <cellStyle name="Normal 19 2 2 5 2 2" xfId="28017"/>
    <cellStyle name="Normal 19 2 2 5 3" xfId="31552"/>
    <cellStyle name="Normal 19 2 2 6" xfId="7241"/>
    <cellStyle name="Normal 19 2 2 6 2" xfId="16354"/>
    <cellStyle name="Normal 19 2 2 6 2 2" xfId="29761"/>
    <cellStyle name="Normal 19 2 2 6 3" xfId="31553"/>
    <cellStyle name="Normal 19 2 2 7" xfId="10174"/>
    <cellStyle name="Normal 19 2 2 7 2" xfId="24394"/>
    <cellStyle name="Normal 19 2 2 8" xfId="31547"/>
    <cellStyle name="Normal 19 2 3" xfId="7242"/>
    <cellStyle name="Normal 19 2 3 2" xfId="7243"/>
    <cellStyle name="Normal 19 2 3 2 2" xfId="16646"/>
    <cellStyle name="Normal 19 2 3 2 2 2" xfId="30053"/>
    <cellStyle name="Normal 19 2 3 2 3" xfId="31555"/>
    <cellStyle name="Normal 19 2 3 3" xfId="11544"/>
    <cellStyle name="Normal 19 2 3 3 2" xfId="25376"/>
    <cellStyle name="Normal 19 2 3 4" xfId="31554"/>
    <cellStyle name="Normal 19 2 4" xfId="7244"/>
    <cellStyle name="Normal 19 2 4 2" xfId="12023"/>
    <cellStyle name="Normal 19 2 4 2 2" xfId="25738"/>
    <cellStyle name="Normal 19 2 4 3" xfId="31556"/>
    <cellStyle name="Normal 19 2 5" xfId="7245"/>
    <cellStyle name="Normal 19 2 5 2" xfId="13598"/>
    <cellStyle name="Normal 19 2 5 2 2" xfId="27147"/>
    <cellStyle name="Normal 19 2 5 3" xfId="31557"/>
    <cellStyle name="Normal 19 2 6" xfId="7246"/>
    <cellStyle name="Normal 19 2 6 2" xfId="14179"/>
    <cellStyle name="Normal 19 2 6 2 2" xfId="27728"/>
    <cellStyle name="Normal 19 2 6 3" xfId="31558"/>
    <cellStyle name="Normal 19 2 7" xfId="7247"/>
    <cellStyle name="Normal 19 2 7 2" xfId="16065"/>
    <cellStyle name="Normal 19 2 7 2 2" xfId="29472"/>
    <cellStyle name="Normal 19 2 7 3" xfId="31559"/>
    <cellStyle name="Normal 19 2 8" xfId="10173"/>
    <cellStyle name="Normal 19 2 8 2" xfId="24393"/>
    <cellStyle name="Normal 19 2 9" xfId="31546"/>
    <cellStyle name="Normal 19 3" xfId="7248"/>
    <cellStyle name="Normal 19 3 2" xfId="7249"/>
    <cellStyle name="Normal 19 3 2 2" xfId="7250"/>
    <cellStyle name="Normal 19 3 2 2 2" xfId="16792"/>
    <cellStyle name="Normal 19 3 2 2 2 2" xfId="30199"/>
    <cellStyle name="Normal 19 3 2 2 3" xfId="31562"/>
    <cellStyle name="Normal 19 3 2 3" xfId="11546"/>
    <cellStyle name="Normal 19 3 2 3 2" xfId="25378"/>
    <cellStyle name="Normal 19 3 2 4" xfId="31561"/>
    <cellStyle name="Normal 19 3 3" xfId="7251"/>
    <cellStyle name="Normal 19 3 3 2" xfId="12180"/>
    <cellStyle name="Normal 19 3 3 2 2" xfId="25892"/>
    <cellStyle name="Normal 19 3 3 3" xfId="31563"/>
    <cellStyle name="Normal 19 3 4" xfId="7252"/>
    <cellStyle name="Normal 19 3 4 2" xfId="13744"/>
    <cellStyle name="Normal 19 3 4 2 2" xfId="27293"/>
    <cellStyle name="Normal 19 3 4 3" xfId="31564"/>
    <cellStyle name="Normal 19 3 5" xfId="7253"/>
    <cellStyle name="Normal 19 3 5 2" xfId="14325"/>
    <cellStyle name="Normal 19 3 5 2 2" xfId="27874"/>
    <cellStyle name="Normal 19 3 5 3" xfId="31565"/>
    <cellStyle name="Normal 19 3 6" xfId="7254"/>
    <cellStyle name="Normal 19 3 6 2" xfId="16211"/>
    <cellStyle name="Normal 19 3 6 2 2" xfId="29618"/>
    <cellStyle name="Normal 19 3 6 3" xfId="31566"/>
    <cellStyle name="Normal 19 3 7" xfId="10175"/>
    <cellStyle name="Normal 19 3 7 2" xfId="24395"/>
    <cellStyle name="Normal 19 3 8" xfId="31560"/>
    <cellStyle name="Normal 19 4" xfId="7255"/>
    <cellStyle name="Normal 19 4 2" xfId="7256"/>
    <cellStyle name="Normal 19 4 2 2" xfId="17139"/>
    <cellStyle name="Normal 19 4 2 2 2" xfId="30498"/>
    <cellStyle name="Normal 19 4 2 3" xfId="31568"/>
    <cellStyle name="Normal 19 4 3" xfId="11543"/>
    <cellStyle name="Normal 19 4 3 2" xfId="25375"/>
    <cellStyle name="Normal 19 4 4" xfId="31567"/>
    <cellStyle name="Normal 19 5" xfId="7257"/>
    <cellStyle name="Normal 19 5 2" xfId="7258"/>
    <cellStyle name="Normal 19 5 2 2" xfId="17228"/>
    <cellStyle name="Normal 19 5 2 2 2" xfId="30587"/>
    <cellStyle name="Normal 19 5 2 3" xfId="31570"/>
    <cellStyle name="Normal 19 5 3" xfId="11875"/>
    <cellStyle name="Normal 19 5 3 2" xfId="25590"/>
    <cellStyle name="Normal 19 5 4" xfId="31569"/>
    <cellStyle name="Normal 19 6" xfId="7259"/>
    <cellStyle name="Normal 19 6 2" xfId="7260"/>
    <cellStyle name="Normal 19 6 2 2" xfId="16503"/>
    <cellStyle name="Normal 19 6 2 2 2" xfId="29910"/>
    <cellStyle name="Normal 19 6 2 3" xfId="31572"/>
    <cellStyle name="Normal 19 6 3" xfId="13455"/>
    <cellStyle name="Normal 19 6 3 2" xfId="27004"/>
    <cellStyle name="Normal 19 6 4" xfId="31571"/>
    <cellStyle name="Normal 19 7" xfId="7261"/>
    <cellStyle name="Normal 19 7 2" xfId="14036"/>
    <cellStyle name="Normal 19 7 2 2" xfId="27585"/>
    <cellStyle name="Normal 19 7 3" xfId="31573"/>
    <cellStyle name="Normal 19 8" xfId="7262"/>
    <cellStyle name="Normal 19 8 2" xfId="15922"/>
    <cellStyle name="Normal 19 8 2 2" xfId="29329"/>
    <cellStyle name="Normal 19 8 3" xfId="31574"/>
    <cellStyle name="Normal 19 9" xfId="10172"/>
    <cellStyle name="Normal 19 9 2" xfId="24392"/>
    <cellStyle name="Normal 2" xfId="8"/>
    <cellStyle name="Normal 2 2" xfId="7263"/>
    <cellStyle name="Normal 2 2 2" xfId="7264"/>
    <cellStyle name="Normal 2 2 2 10" xfId="32939"/>
    <cellStyle name="Normal 2 2 2 11" xfId="32998"/>
    <cellStyle name="Normal 2 2 2 2" xfId="7265"/>
    <cellStyle name="Normal 2 2 2 2 2" xfId="11548"/>
    <cellStyle name="Normal 2 2 2 2 2 2" xfId="25379"/>
    <cellStyle name="Normal 2 2 2 2 3" xfId="31577"/>
    <cellStyle name="Normal 2 2 2 2 4" xfId="32947"/>
    <cellStyle name="Normal 2 2 2 2 5" xfId="33005"/>
    <cellStyle name="Normal 2 2 2 3" xfId="7266"/>
    <cellStyle name="Normal 2 2 2 3 2" xfId="13246"/>
    <cellStyle name="Normal 2 2 2 3 2 2" xfId="26889"/>
    <cellStyle name="Normal 2 2 2 3 3" xfId="31578"/>
    <cellStyle name="Normal 2 2 2 4" xfId="7267"/>
    <cellStyle name="Normal 2 2 2 4 2" xfId="15695"/>
    <cellStyle name="Normal 2 2 2 4 2 2" xfId="29181"/>
    <cellStyle name="Normal 2 2 2 4 3" xfId="31579"/>
    <cellStyle name="Normal 2 2 2 5" xfId="7268"/>
    <cellStyle name="Normal 2 2 2 5 2" xfId="15804"/>
    <cellStyle name="Normal 2 2 2 5 2 2" xfId="29211"/>
    <cellStyle name="Normal 2 2 2 5 3" xfId="31580"/>
    <cellStyle name="Normal 2 2 2 6" xfId="7269"/>
    <cellStyle name="Normal 2 2 2 6 2" xfId="17040"/>
    <cellStyle name="Normal 2 2 2 6 3" xfId="31581"/>
    <cellStyle name="Normal 2 2 2 7" xfId="8713"/>
    <cellStyle name="Normal 2 2 2 7 2" xfId="17325"/>
    <cellStyle name="Normal 2 2 2 7 2 2" xfId="30678"/>
    <cellStyle name="Normal 2 2 2 7 3" xfId="23232"/>
    <cellStyle name="Normal 2 2 2 8" xfId="8809"/>
    <cellStyle name="Normal 2 2 2 8 2" xfId="23287"/>
    <cellStyle name="Normal 2 2 2 9" xfId="31576"/>
    <cellStyle name="Normal 2 2 3" xfId="7270"/>
    <cellStyle name="Normal 2 2 3 2" xfId="7271"/>
    <cellStyle name="Normal 2 2 3 2 2" xfId="11692"/>
    <cellStyle name="Normal 2 2 3 2 3" xfId="31583"/>
    <cellStyle name="Normal 2 2 3 3" xfId="10177"/>
    <cellStyle name="Normal 2 2 3 4" xfId="31582"/>
    <cellStyle name="Normal 2 2 4" xfId="7272"/>
    <cellStyle name="Normal 2 2 4 2" xfId="11547"/>
    <cellStyle name="Normal 2 2 4 3" xfId="31584"/>
    <cellStyle name="Normal 2 2 5" xfId="8702"/>
    <cellStyle name="Normal 2 2 6" xfId="31575"/>
    <cellStyle name="Normal 2 3" xfId="7273"/>
    <cellStyle name="Normal 2 3 2" xfId="7274"/>
    <cellStyle name="Normal 2 3 2 2" xfId="10178"/>
    <cellStyle name="Normal 2 3 3" xfId="7275"/>
    <cellStyle name="Normal 2 3 3 2" xfId="7276"/>
    <cellStyle name="Normal 2 3 3 2 2" xfId="10180"/>
    <cellStyle name="Normal 2 3 3 3" xfId="7277"/>
    <cellStyle name="Normal 2 3 3 3 2" xfId="13247"/>
    <cellStyle name="Normal 2 3 3 4" xfId="10179"/>
    <cellStyle name="Normal 2 3 4" xfId="7278"/>
    <cellStyle name="Normal 2 3 4 2" xfId="7279"/>
    <cellStyle name="Normal 2 3 4 2 2" xfId="13248"/>
    <cellStyle name="Normal 2 3 4 3" xfId="10520"/>
    <cellStyle name="Normal 2 3 5" xfId="8710"/>
    <cellStyle name="Normal 2 3 6" xfId="33044"/>
    <cellStyle name="Normal 2 4" xfId="7280"/>
    <cellStyle name="Normal 2 4 2" xfId="7281"/>
    <cellStyle name="Normal 2 4 2 2" xfId="10181"/>
    <cellStyle name="Normal 2 4 2 3" xfId="31585"/>
    <cellStyle name="Normal 2 4 3" xfId="8676"/>
    <cellStyle name="Normal 2 4 4" xfId="33093"/>
    <cellStyle name="Normal 2 5" xfId="7282"/>
    <cellStyle name="Normal 2 5 2" xfId="7283"/>
    <cellStyle name="Normal 2 5 2 2" xfId="10183"/>
    <cellStyle name="Normal 2 5 3" xfId="7284"/>
    <cellStyle name="Normal 2 5 3 2" xfId="13249"/>
    <cellStyle name="Normal 2 5 4" xfId="7285"/>
    <cellStyle name="Normal 2 5 4 2" xfId="17344"/>
    <cellStyle name="Normal 2 5 5" xfId="8737"/>
    <cellStyle name="Normal 2 5 6" xfId="10182"/>
    <cellStyle name="Normal 2 6" xfId="7286"/>
    <cellStyle name="Normal 2 6 2" xfId="7287"/>
    <cellStyle name="Normal 2 6 2 2" xfId="17345"/>
    <cellStyle name="Normal 2 6 2 3" xfId="31587"/>
    <cellStyle name="Normal 2 6 3" xfId="8722"/>
    <cellStyle name="Normal 2 6 4" xfId="10184"/>
    <cellStyle name="Normal 2 6 5" xfId="31586"/>
    <cellStyle name="Normal 2 7" xfId="7288"/>
    <cellStyle name="Normal 2 7 2" xfId="7289"/>
    <cellStyle name="Normal 2 7 2 2" xfId="13250"/>
    <cellStyle name="Normal 2 7 3" xfId="10519"/>
    <cellStyle name="Normal 2 8" xfId="8652"/>
    <cellStyle name="Normal 2 8 2" xfId="10176"/>
    <cellStyle name="Normal 2 9" xfId="17300"/>
    <cellStyle name="Normal 20" xfId="7290"/>
    <cellStyle name="Normal 20 2" xfId="10185"/>
    <cellStyle name="Normal 21" xfId="7291"/>
    <cellStyle name="Normal 21 2" xfId="7292"/>
    <cellStyle name="Normal 21 2 2" xfId="13251"/>
    <cellStyle name="Normal 21 2 3" xfId="31589"/>
    <cellStyle name="Normal 21 3" xfId="10186"/>
    <cellStyle name="Normal 21 4" xfId="31588"/>
    <cellStyle name="Normal 22" xfId="7293"/>
    <cellStyle name="Normal 22 2" xfId="7294"/>
    <cellStyle name="Normal 22 2 2" xfId="10188"/>
    <cellStyle name="Normal 22 2 3" xfId="31591"/>
    <cellStyle name="Normal 22 3" xfId="7295"/>
    <cellStyle name="Normal 22 3 2" xfId="13253"/>
    <cellStyle name="Normal 22 3 3" xfId="31592"/>
    <cellStyle name="Normal 22 4" xfId="7296"/>
    <cellStyle name="Normal 22 4 2" xfId="13252"/>
    <cellStyle name="Normal 22 4 3" xfId="31593"/>
    <cellStyle name="Normal 22 5" xfId="10187"/>
    <cellStyle name="Normal 22 6" xfId="31590"/>
    <cellStyle name="Normal 23" xfId="7297"/>
    <cellStyle name="Normal 23 2" xfId="10189"/>
    <cellStyle name="Normal 23 3" xfId="31594"/>
    <cellStyle name="Normal 24" xfId="8651"/>
    <cellStyle name="Normal 24 2" xfId="17330"/>
    <cellStyle name="Normal 24 3" xfId="8819"/>
    <cellStyle name="Normal 24 4" xfId="23201"/>
    <cellStyle name="Normal 25" xfId="17299"/>
    <cellStyle name="Normal 25 2" xfId="30655"/>
    <cellStyle name="Normal 26" xfId="8788"/>
    <cellStyle name="Normal 26 2" xfId="23266"/>
    <cellStyle name="Normal 27" xfId="32910"/>
    <cellStyle name="Normal 28" xfId="52"/>
    <cellStyle name="Normal 29" xfId="33032"/>
    <cellStyle name="Normal 3" xfId="13"/>
    <cellStyle name="Normal 3 10" xfId="7299"/>
    <cellStyle name="Normal 3 10 2" xfId="7300"/>
    <cellStyle name="Normal 3 10 2 2" xfId="11728"/>
    <cellStyle name="Normal 3 10 2 2 2" xfId="25447"/>
    <cellStyle name="Normal 3 10 2 3" xfId="31596"/>
    <cellStyle name="Normal 3 10 2 4" xfId="32949"/>
    <cellStyle name="Normal 3 10 2 5" xfId="33007"/>
    <cellStyle name="Normal 3 10 3" xfId="7301"/>
    <cellStyle name="Normal 3 10 3 2" xfId="10190"/>
    <cellStyle name="Normal 3 10 3 3" xfId="31597"/>
    <cellStyle name="Normal 3 10 4" xfId="8680"/>
    <cellStyle name="Normal 3 10 4 2" xfId="17305"/>
    <cellStyle name="Normal 3 10 4 2 2" xfId="30658"/>
    <cellStyle name="Normal 3 10 4 3" xfId="23210"/>
    <cellStyle name="Normal 3 10 5" xfId="8789"/>
    <cellStyle name="Normal 3 10 5 2" xfId="23267"/>
    <cellStyle name="Normal 3 10 6" xfId="31595"/>
    <cellStyle name="Normal 3 10 7" xfId="32918"/>
    <cellStyle name="Normal 3 10 8" xfId="32978"/>
    <cellStyle name="Normal 3 11" xfId="7302"/>
    <cellStyle name="Normal 3 11 2" xfId="7303"/>
    <cellStyle name="Normal 3 11 2 2" xfId="13254"/>
    <cellStyle name="Normal 3 11 2 2 2" xfId="26890"/>
    <cellStyle name="Normal 3 11 2 3" xfId="31599"/>
    <cellStyle name="Normal 3 11 3" xfId="7304"/>
    <cellStyle name="Normal 3 11 3 2" xfId="15696"/>
    <cellStyle name="Normal 3 11 3 2 2" xfId="29182"/>
    <cellStyle name="Normal 3 11 3 3" xfId="31600"/>
    <cellStyle name="Normal 3 11 4" xfId="7305"/>
    <cellStyle name="Normal 3 11 4 2" xfId="17370"/>
    <cellStyle name="Normal 3 11 4 2 2" xfId="30687"/>
    <cellStyle name="Normal 3 11 4 3" xfId="31601"/>
    <cellStyle name="Normal 3 11 5" xfId="8724"/>
    <cellStyle name="Normal 3 11 6" xfId="11549"/>
    <cellStyle name="Normal 3 11 6 2" xfId="25380"/>
    <cellStyle name="Normal 3 11 7" xfId="31598"/>
    <cellStyle name="Normal 3 12" xfId="7306"/>
    <cellStyle name="Normal 3 12 2" xfId="7307"/>
    <cellStyle name="Normal 3 12 2 2" xfId="17372"/>
    <cellStyle name="Normal 3 12 2 2 2" xfId="30688"/>
    <cellStyle name="Normal 3 12 2 3" xfId="31603"/>
    <cellStyle name="Normal 3 12 3" xfId="8723"/>
    <cellStyle name="Normal 3 12 4" xfId="15805"/>
    <cellStyle name="Normal 3 12 4 2" xfId="29212"/>
    <cellStyle name="Normal 3 12 5" xfId="31602"/>
    <cellStyle name="Normal 3 13" xfId="8655"/>
    <cellStyle name="Normal 3 13 2" xfId="32948"/>
    <cellStyle name="Normal 3 13 3" xfId="33006"/>
    <cellStyle name="Normal 3 14" xfId="7298"/>
    <cellStyle name="Normal 3 2" xfId="7308"/>
    <cellStyle name="Normal 3 2 10" xfId="7309"/>
    <cellStyle name="Normal 3 2 10 2" xfId="13255"/>
    <cellStyle name="Normal 3 2 10 2 2" xfId="26891"/>
    <cellStyle name="Normal 3 2 10 3" xfId="31604"/>
    <cellStyle name="Normal 3 2 11" xfId="7310"/>
    <cellStyle name="Normal 3 2 11 2" xfId="15697"/>
    <cellStyle name="Normal 3 2 11 2 2" xfId="29183"/>
    <cellStyle name="Normal 3 2 11 3" xfId="31605"/>
    <cellStyle name="Normal 3 2 12" xfId="7311"/>
    <cellStyle name="Normal 3 2 12 2" xfId="15806"/>
    <cellStyle name="Normal 3 2 12 2 2" xfId="29213"/>
    <cellStyle name="Normal 3 2 12 3" xfId="31606"/>
    <cellStyle name="Normal 3 2 13" xfId="8683"/>
    <cellStyle name="Normal 3 2 13 2" xfId="17308"/>
    <cellStyle name="Normal 3 2 13 2 2" xfId="30661"/>
    <cellStyle name="Normal 3 2 13 3" xfId="23213"/>
    <cellStyle name="Normal 3 2 14" xfId="8792"/>
    <cellStyle name="Normal 3 2 14 2" xfId="23270"/>
    <cellStyle name="Normal 3 2 15" xfId="32921"/>
    <cellStyle name="Normal 3 2 16" xfId="32981"/>
    <cellStyle name="Normal 3 2 17" xfId="33039"/>
    <cellStyle name="Normal 3 2 2" xfId="7312"/>
    <cellStyle name="Normal 3 2 2 10" xfId="7313"/>
    <cellStyle name="Normal 3 2 2 10 2" xfId="16423"/>
    <cellStyle name="Normal 3 2 2 10 2 2" xfId="29830"/>
    <cellStyle name="Normal 3 2 2 10 3" xfId="31608"/>
    <cellStyle name="Normal 3 2 2 11" xfId="8687"/>
    <cellStyle name="Normal 3 2 2 11 2" xfId="17312"/>
    <cellStyle name="Normal 3 2 2 11 2 2" xfId="30665"/>
    <cellStyle name="Normal 3 2 2 11 3" xfId="23217"/>
    <cellStyle name="Normal 3 2 2 12" xfId="8796"/>
    <cellStyle name="Normal 3 2 2 12 2" xfId="23274"/>
    <cellStyle name="Normal 3 2 2 13" xfId="31607"/>
    <cellStyle name="Normal 3 2 2 14" xfId="32925"/>
    <cellStyle name="Normal 3 2 2 15" xfId="32985"/>
    <cellStyle name="Normal 3 2 2 2" xfId="7314"/>
    <cellStyle name="Normal 3 2 2 2 2" xfId="7315"/>
    <cellStyle name="Normal 3 2 2 2 2 2" xfId="11552"/>
    <cellStyle name="Normal 3 2 2 2 2 2 2" xfId="25383"/>
    <cellStyle name="Normal 3 2 2 2 2 3" xfId="31610"/>
    <cellStyle name="Normal 3 2 2 2 3" xfId="7316"/>
    <cellStyle name="Normal 3 2 2 2 3 2" xfId="13257"/>
    <cellStyle name="Normal 3 2 2 2 3 2 2" xfId="26893"/>
    <cellStyle name="Normal 3 2 2 2 3 3" xfId="31611"/>
    <cellStyle name="Normal 3 2 2 2 4" xfId="7317"/>
    <cellStyle name="Normal 3 2 2 2 4 2" xfId="15699"/>
    <cellStyle name="Normal 3 2 2 2 4 2 2" xfId="29185"/>
    <cellStyle name="Normal 3 2 2 2 4 3" xfId="31612"/>
    <cellStyle name="Normal 3 2 2 2 5" xfId="7318"/>
    <cellStyle name="Normal 3 2 2 2 5 2" xfId="17041"/>
    <cellStyle name="Normal 3 2 2 2 5 2 2" xfId="30442"/>
    <cellStyle name="Normal 3 2 2 2 5 3" xfId="31613"/>
    <cellStyle name="Normal 3 2 2 2 6" xfId="10191"/>
    <cellStyle name="Normal 3 2 2 2 6 2" xfId="24396"/>
    <cellStyle name="Normal 3 2 2 2 7" xfId="31609"/>
    <cellStyle name="Normal 3 2 2 2 8" xfId="32951"/>
    <cellStyle name="Normal 3 2 2 2 9" xfId="33009"/>
    <cellStyle name="Normal 3 2 2 3" xfId="7319"/>
    <cellStyle name="Normal 3 2 2 3 2" xfId="7320"/>
    <cellStyle name="Normal 3 2 2 3 2 2" xfId="17004"/>
    <cellStyle name="Normal 3 2 2 3 2 2 2" xfId="30411"/>
    <cellStyle name="Normal 3 2 2 3 2 3" xfId="31615"/>
    <cellStyle name="Normal 3 2 2 3 3" xfId="11551"/>
    <cellStyle name="Normal 3 2 2 3 3 2" xfId="25382"/>
    <cellStyle name="Normal 3 2 2 3 4" xfId="31614"/>
    <cellStyle name="Normal 3 2 2 4" xfId="7321"/>
    <cellStyle name="Normal 3 2 2 4 2" xfId="12393"/>
    <cellStyle name="Normal 3 2 2 4 2 2" xfId="26105"/>
    <cellStyle name="Normal 3 2 2 4 3" xfId="31616"/>
    <cellStyle name="Normal 3 2 2 5" xfId="7322"/>
    <cellStyle name="Normal 3 2 2 5 2" xfId="13256"/>
    <cellStyle name="Normal 3 2 2 5 2 2" xfId="26892"/>
    <cellStyle name="Normal 3 2 2 5 3" xfId="31617"/>
    <cellStyle name="Normal 3 2 2 6" xfId="7323"/>
    <cellStyle name="Normal 3 2 2 6 2" xfId="13956"/>
    <cellStyle name="Normal 3 2 2 6 2 2" xfId="27505"/>
    <cellStyle name="Normal 3 2 2 6 3" xfId="31618"/>
    <cellStyle name="Normal 3 2 2 7" xfId="7324"/>
    <cellStyle name="Normal 3 2 2 7 2" xfId="14537"/>
    <cellStyle name="Normal 3 2 2 7 2 2" xfId="28086"/>
    <cellStyle name="Normal 3 2 2 7 3" xfId="31619"/>
    <cellStyle name="Normal 3 2 2 8" xfId="7325"/>
    <cellStyle name="Normal 3 2 2 8 2" xfId="15698"/>
    <cellStyle name="Normal 3 2 2 8 2 2" xfId="29184"/>
    <cellStyle name="Normal 3 2 2 8 3" xfId="31620"/>
    <cellStyle name="Normal 3 2 2 9" xfId="7326"/>
    <cellStyle name="Normal 3 2 2 9 2" xfId="15807"/>
    <cellStyle name="Normal 3 2 2 9 2 2" xfId="29214"/>
    <cellStyle name="Normal 3 2 2 9 3" xfId="31621"/>
    <cellStyle name="Normal 3 2 3" xfId="7327"/>
    <cellStyle name="Normal 3 2 3 10" xfId="32989"/>
    <cellStyle name="Normal 3 2 3 2" xfId="7328"/>
    <cellStyle name="Normal 3 2 3 2 2" xfId="11553"/>
    <cellStyle name="Normal 3 2 3 2 2 2" xfId="25384"/>
    <cellStyle name="Normal 3 2 3 2 3" xfId="31623"/>
    <cellStyle name="Normal 3 2 3 2 4" xfId="32952"/>
    <cellStyle name="Normal 3 2 3 2 5" xfId="33010"/>
    <cellStyle name="Normal 3 2 3 3" xfId="7329"/>
    <cellStyle name="Normal 3 2 3 3 2" xfId="13258"/>
    <cellStyle name="Normal 3 2 3 3 2 2" xfId="26894"/>
    <cellStyle name="Normal 3 2 3 3 3" xfId="31624"/>
    <cellStyle name="Normal 3 2 3 4" xfId="7330"/>
    <cellStyle name="Normal 3 2 3 4 2" xfId="15700"/>
    <cellStyle name="Normal 3 2 3 4 2 2" xfId="29186"/>
    <cellStyle name="Normal 3 2 3 4 3" xfId="31625"/>
    <cellStyle name="Normal 3 2 3 5" xfId="7331"/>
    <cellStyle name="Normal 3 2 3 5 2" xfId="15808"/>
    <cellStyle name="Normal 3 2 3 5 2 2" xfId="29215"/>
    <cellStyle name="Normal 3 2 3 5 3" xfId="31626"/>
    <cellStyle name="Normal 3 2 3 6" xfId="8691"/>
    <cellStyle name="Normal 3 2 3 6 2" xfId="17316"/>
    <cellStyle name="Normal 3 2 3 6 2 2" xfId="30669"/>
    <cellStyle name="Normal 3 2 3 6 3" xfId="23221"/>
    <cellStyle name="Normal 3 2 3 7" xfId="8800"/>
    <cellStyle name="Normal 3 2 3 7 2" xfId="23278"/>
    <cellStyle name="Normal 3 2 3 8" xfId="31622"/>
    <cellStyle name="Normal 3 2 3 9" xfId="32929"/>
    <cellStyle name="Normal 3 2 4" xfId="7332"/>
    <cellStyle name="Normal 3 2 4 10" xfId="32997"/>
    <cellStyle name="Normal 3 2 4 2" xfId="7333"/>
    <cellStyle name="Normal 3 2 4 2 2" xfId="11554"/>
    <cellStyle name="Normal 3 2 4 2 2 2" xfId="25385"/>
    <cellStyle name="Normal 3 2 4 2 3" xfId="31628"/>
    <cellStyle name="Normal 3 2 4 2 4" xfId="32953"/>
    <cellStyle name="Normal 3 2 4 2 5" xfId="33011"/>
    <cellStyle name="Normal 3 2 4 3" xfId="7334"/>
    <cellStyle name="Normal 3 2 4 3 2" xfId="13259"/>
    <cellStyle name="Normal 3 2 4 3 2 2" xfId="26895"/>
    <cellStyle name="Normal 3 2 4 3 3" xfId="31629"/>
    <cellStyle name="Normal 3 2 4 4" xfId="7335"/>
    <cellStyle name="Normal 3 2 4 4 2" xfId="15701"/>
    <cellStyle name="Normal 3 2 4 4 2 2" xfId="29187"/>
    <cellStyle name="Normal 3 2 4 4 3" xfId="31630"/>
    <cellStyle name="Normal 3 2 4 5" xfId="7336"/>
    <cellStyle name="Normal 3 2 4 5 2" xfId="15809"/>
    <cellStyle name="Normal 3 2 4 5 2 2" xfId="29216"/>
    <cellStyle name="Normal 3 2 4 5 3" xfId="31631"/>
    <cellStyle name="Normal 3 2 4 6" xfId="8706"/>
    <cellStyle name="Normal 3 2 4 6 2" xfId="17324"/>
    <cellStyle name="Normal 3 2 4 6 2 2" xfId="30677"/>
    <cellStyle name="Normal 3 2 4 6 3" xfId="23229"/>
    <cellStyle name="Normal 3 2 4 7" xfId="8808"/>
    <cellStyle name="Normal 3 2 4 7 2" xfId="23286"/>
    <cellStyle name="Normal 3 2 4 8" xfId="31627"/>
    <cellStyle name="Normal 3 2 4 9" xfId="32937"/>
    <cellStyle name="Normal 3 2 5" xfId="7337"/>
    <cellStyle name="Normal 3 2 5 10" xfId="32992"/>
    <cellStyle name="Normal 3 2 5 2" xfId="7338"/>
    <cellStyle name="Normal 3 2 5 2 2" xfId="11555"/>
    <cellStyle name="Normal 3 2 5 2 2 2" xfId="25386"/>
    <cellStyle name="Normal 3 2 5 2 3" xfId="31633"/>
    <cellStyle name="Normal 3 2 5 2 4" xfId="32954"/>
    <cellStyle name="Normal 3 2 5 2 5" xfId="33012"/>
    <cellStyle name="Normal 3 2 5 3" xfId="7339"/>
    <cellStyle name="Normal 3 2 5 3 2" xfId="13260"/>
    <cellStyle name="Normal 3 2 5 3 2 2" xfId="26896"/>
    <cellStyle name="Normal 3 2 5 3 3" xfId="31634"/>
    <cellStyle name="Normal 3 2 5 4" xfId="7340"/>
    <cellStyle name="Normal 3 2 5 4 2" xfId="15702"/>
    <cellStyle name="Normal 3 2 5 4 2 2" xfId="29188"/>
    <cellStyle name="Normal 3 2 5 4 3" xfId="31635"/>
    <cellStyle name="Normal 3 2 5 5" xfId="7341"/>
    <cellStyle name="Normal 3 2 5 5 2" xfId="15810"/>
    <cellStyle name="Normal 3 2 5 5 2 2" xfId="29217"/>
    <cellStyle name="Normal 3 2 5 5 3" xfId="31636"/>
    <cellStyle name="Normal 3 2 5 6" xfId="8696"/>
    <cellStyle name="Normal 3 2 5 6 2" xfId="17319"/>
    <cellStyle name="Normal 3 2 5 6 2 2" xfId="30672"/>
    <cellStyle name="Normal 3 2 5 6 3" xfId="23224"/>
    <cellStyle name="Normal 3 2 5 7" xfId="8803"/>
    <cellStyle name="Normal 3 2 5 7 2" xfId="23281"/>
    <cellStyle name="Normal 3 2 5 8" xfId="31632"/>
    <cellStyle name="Normal 3 2 5 9" xfId="32932"/>
    <cellStyle name="Normal 3 2 6" xfId="7342"/>
    <cellStyle name="Normal 3 2 6 2" xfId="8718"/>
    <cellStyle name="Normal 3 2 7" xfId="7343"/>
    <cellStyle name="Normal 3 2 7 2" xfId="7344"/>
    <cellStyle name="Normal 3 2 7 2 2" xfId="10193"/>
    <cellStyle name="Normal 3 2 7 3" xfId="7345"/>
    <cellStyle name="Normal 3 2 7 3 2" xfId="7346"/>
    <cellStyle name="Normal 3 2 7 3 2 2" xfId="13261"/>
    <cellStyle name="Normal 3 2 7 3 3" xfId="11736"/>
    <cellStyle name="Normal 3 2 7 3 3 2" xfId="25452"/>
    <cellStyle name="Normal 3 2 7 4" xfId="10192"/>
    <cellStyle name="Normal 3 2 7 5" xfId="32950"/>
    <cellStyle name="Normal 3 2 7 6" xfId="33008"/>
    <cellStyle name="Normal 3 2 8" xfId="7347"/>
    <cellStyle name="Normal 3 2 8 2" xfId="7348"/>
    <cellStyle name="Normal 3 2 8 2 2" xfId="13262"/>
    <cellStyle name="Normal 3 2 8 3" xfId="10522"/>
    <cellStyle name="Normal 3 2 9" xfId="7349"/>
    <cellStyle name="Normal 3 2 9 2" xfId="7350"/>
    <cellStyle name="Normal 3 2 9 2 2" xfId="13263"/>
    <cellStyle name="Normal 3 2 9 2 2 2" xfId="26897"/>
    <cellStyle name="Normal 3 2 9 2 3" xfId="31638"/>
    <cellStyle name="Normal 3 2 9 3" xfId="7351"/>
    <cellStyle name="Normal 3 2 9 3 2" xfId="15703"/>
    <cellStyle name="Normal 3 2 9 3 2 2" xfId="29189"/>
    <cellStyle name="Normal 3 2 9 3 3" xfId="31639"/>
    <cellStyle name="Normal 3 2 9 4" xfId="11550"/>
    <cellStyle name="Normal 3 2 9 4 2" xfId="25381"/>
    <cellStyle name="Normal 3 2 9 5" xfId="31637"/>
    <cellStyle name="Normal 3 3" xfId="7352"/>
    <cellStyle name="Normal 3 3 10" xfId="7353"/>
    <cellStyle name="Normal 3 3 10 2" xfId="7354"/>
    <cellStyle name="Normal 3 3 10 2 2" xfId="17203"/>
    <cellStyle name="Normal 3 3 10 2 2 2" xfId="30562"/>
    <cellStyle name="Normal 3 3 10 2 3" xfId="31642"/>
    <cellStyle name="Normal 3 3 10 3" xfId="13430"/>
    <cellStyle name="Normal 3 3 10 3 2" xfId="26979"/>
    <cellStyle name="Normal 3 3 10 4" xfId="31641"/>
    <cellStyle name="Normal 3 3 11" xfId="7355"/>
    <cellStyle name="Normal 3 3 11 2" xfId="7356"/>
    <cellStyle name="Normal 3 3 11 2 2" xfId="17292"/>
    <cellStyle name="Normal 3 3 11 2 2 2" xfId="30651"/>
    <cellStyle name="Normal 3 3 11 2 3" xfId="31644"/>
    <cellStyle name="Normal 3 3 11 3" xfId="14011"/>
    <cellStyle name="Normal 3 3 11 3 2" xfId="27560"/>
    <cellStyle name="Normal 3 3 11 4" xfId="31643"/>
    <cellStyle name="Normal 3 3 12" xfId="7357"/>
    <cellStyle name="Normal 3 3 12 2" xfId="7358"/>
    <cellStyle name="Normal 3 3 12 2 2" xfId="16478"/>
    <cellStyle name="Normal 3 3 12 2 2 2" xfId="29885"/>
    <cellStyle name="Normal 3 3 12 2 3" xfId="31646"/>
    <cellStyle name="Normal 3 3 12 3" xfId="15811"/>
    <cellStyle name="Normal 3 3 12 3 2" xfId="29218"/>
    <cellStyle name="Normal 3 3 12 4" xfId="31645"/>
    <cellStyle name="Normal 3 3 13" xfId="7359"/>
    <cellStyle name="Normal 3 3 13 2" xfId="15897"/>
    <cellStyle name="Normal 3 3 13 2 2" xfId="29304"/>
    <cellStyle name="Normal 3 3 13 3" xfId="31647"/>
    <cellStyle name="Normal 3 3 14" xfId="8684"/>
    <cellStyle name="Normal 3 3 14 2" xfId="17309"/>
    <cellStyle name="Normal 3 3 14 2 2" xfId="30662"/>
    <cellStyle name="Normal 3 3 14 3" xfId="23214"/>
    <cellStyle name="Normal 3 3 15" xfId="8793"/>
    <cellStyle name="Normal 3 3 15 2" xfId="23271"/>
    <cellStyle name="Normal 3 3 16" xfId="31640"/>
    <cellStyle name="Normal 3 3 17" xfId="32922"/>
    <cellStyle name="Normal 3 3 18" xfId="32982"/>
    <cellStyle name="Normal 3 3 2" xfId="7360"/>
    <cellStyle name="Normal 3 3 2 10" xfId="10194"/>
    <cellStyle name="Normal 3 3 2 10 2" xfId="24397"/>
    <cellStyle name="Normal 3 3 2 11" xfId="31648"/>
    <cellStyle name="Normal 3 3 2 12" xfId="32955"/>
    <cellStyle name="Normal 3 3 2 13" xfId="33013"/>
    <cellStyle name="Normal 3 3 2 2" xfId="7361"/>
    <cellStyle name="Normal 3 3 2 2 10" xfId="31649"/>
    <cellStyle name="Normal 3 3 2 2 2" xfId="7362"/>
    <cellStyle name="Normal 3 3 2 2 2 2" xfId="7363"/>
    <cellStyle name="Normal 3 3 2 2 2 2 2" xfId="7364"/>
    <cellStyle name="Normal 3 3 2 2 2 2 2 2" xfId="7365"/>
    <cellStyle name="Normal 3 3 2 2 2 2 2 2 2" xfId="16979"/>
    <cellStyle name="Normal 3 3 2 2 2 2 2 2 2 2" xfId="30386"/>
    <cellStyle name="Normal 3 3 2 2 2 2 2 2 3" xfId="31653"/>
    <cellStyle name="Normal 3 3 2 2 2 2 2 3" xfId="11560"/>
    <cellStyle name="Normal 3 3 2 2 2 2 2 3 2" xfId="25391"/>
    <cellStyle name="Normal 3 3 2 2 2 2 2 4" xfId="31652"/>
    <cellStyle name="Normal 3 3 2 2 2 2 3" xfId="7366"/>
    <cellStyle name="Normal 3 3 2 2 2 2 3 2" xfId="12367"/>
    <cellStyle name="Normal 3 3 2 2 2 2 3 2 2" xfId="26079"/>
    <cellStyle name="Normal 3 3 2 2 2 2 3 3" xfId="31654"/>
    <cellStyle name="Normal 3 3 2 2 2 2 4" xfId="7367"/>
    <cellStyle name="Normal 3 3 2 2 2 2 4 2" xfId="13931"/>
    <cellStyle name="Normal 3 3 2 2 2 2 4 2 2" xfId="27480"/>
    <cellStyle name="Normal 3 3 2 2 2 2 4 3" xfId="31655"/>
    <cellStyle name="Normal 3 3 2 2 2 2 5" xfId="7368"/>
    <cellStyle name="Normal 3 3 2 2 2 2 5 2" xfId="14512"/>
    <cellStyle name="Normal 3 3 2 2 2 2 5 2 2" xfId="28061"/>
    <cellStyle name="Normal 3 3 2 2 2 2 5 3" xfId="31656"/>
    <cellStyle name="Normal 3 3 2 2 2 2 6" xfId="7369"/>
    <cellStyle name="Normal 3 3 2 2 2 2 6 2" xfId="16398"/>
    <cellStyle name="Normal 3 3 2 2 2 2 6 2 2" xfId="29805"/>
    <cellStyle name="Normal 3 3 2 2 2 2 6 3" xfId="31657"/>
    <cellStyle name="Normal 3 3 2 2 2 2 7" xfId="10197"/>
    <cellStyle name="Normal 3 3 2 2 2 2 7 2" xfId="24400"/>
    <cellStyle name="Normal 3 3 2 2 2 2 8" xfId="31651"/>
    <cellStyle name="Normal 3 3 2 2 2 3" xfId="7370"/>
    <cellStyle name="Normal 3 3 2 2 2 3 2" xfId="7371"/>
    <cellStyle name="Normal 3 3 2 2 2 3 2 2" xfId="16690"/>
    <cellStyle name="Normal 3 3 2 2 2 3 2 2 2" xfId="30097"/>
    <cellStyle name="Normal 3 3 2 2 2 3 2 3" xfId="31659"/>
    <cellStyle name="Normal 3 3 2 2 2 3 3" xfId="11559"/>
    <cellStyle name="Normal 3 3 2 2 2 3 3 2" xfId="25390"/>
    <cellStyle name="Normal 3 3 2 2 2 3 4" xfId="31658"/>
    <cellStyle name="Normal 3 3 2 2 2 4" xfId="7372"/>
    <cellStyle name="Normal 3 3 2 2 2 4 2" xfId="12067"/>
    <cellStyle name="Normal 3 3 2 2 2 4 2 2" xfId="25782"/>
    <cellStyle name="Normal 3 3 2 2 2 4 3" xfId="31660"/>
    <cellStyle name="Normal 3 3 2 2 2 5" xfId="7373"/>
    <cellStyle name="Normal 3 3 2 2 2 5 2" xfId="13642"/>
    <cellStyle name="Normal 3 3 2 2 2 5 2 2" xfId="27191"/>
    <cellStyle name="Normal 3 3 2 2 2 5 3" xfId="31661"/>
    <cellStyle name="Normal 3 3 2 2 2 6" xfId="7374"/>
    <cellStyle name="Normal 3 3 2 2 2 6 2" xfId="14223"/>
    <cellStyle name="Normal 3 3 2 2 2 6 2 2" xfId="27772"/>
    <cellStyle name="Normal 3 3 2 2 2 6 3" xfId="31662"/>
    <cellStyle name="Normal 3 3 2 2 2 7" xfId="7375"/>
    <cellStyle name="Normal 3 3 2 2 2 7 2" xfId="16109"/>
    <cellStyle name="Normal 3 3 2 2 2 7 2 2" xfId="29516"/>
    <cellStyle name="Normal 3 3 2 2 2 7 3" xfId="31663"/>
    <cellStyle name="Normal 3 3 2 2 2 8" xfId="10196"/>
    <cellStyle name="Normal 3 3 2 2 2 8 2" xfId="24399"/>
    <cellStyle name="Normal 3 3 2 2 2 9" xfId="31650"/>
    <cellStyle name="Normal 3 3 2 2 3" xfId="7376"/>
    <cellStyle name="Normal 3 3 2 2 3 2" xfId="7377"/>
    <cellStyle name="Normal 3 3 2 2 3 2 2" xfId="7378"/>
    <cellStyle name="Normal 3 3 2 2 3 2 2 2" xfId="16836"/>
    <cellStyle name="Normal 3 3 2 2 3 2 2 2 2" xfId="30243"/>
    <cellStyle name="Normal 3 3 2 2 3 2 2 3" xfId="31666"/>
    <cellStyle name="Normal 3 3 2 2 3 2 3" xfId="11561"/>
    <cellStyle name="Normal 3 3 2 2 3 2 3 2" xfId="25392"/>
    <cellStyle name="Normal 3 3 2 2 3 2 4" xfId="31665"/>
    <cellStyle name="Normal 3 3 2 2 3 3" xfId="7379"/>
    <cellStyle name="Normal 3 3 2 2 3 3 2" xfId="12224"/>
    <cellStyle name="Normal 3 3 2 2 3 3 2 2" xfId="25936"/>
    <cellStyle name="Normal 3 3 2 2 3 3 3" xfId="31667"/>
    <cellStyle name="Normal 3 3 2 2 3 4" xfId="7380"/>
    <cellStyle name="Normal 3 3 2 2 3 4 2" xfId="13788"/>
    <cellStyle name="Normal 3 3 2 2 3 4 2 2" xfId="27337"/>
    <cellStyle name="Normal 3 3 2 2 3 4 3" xfId="31668"/>
    <cellStyle name="Normal 3 3 2 2 3 5" xfId="7381"/>
    <cellStyle name="Normal 3 3 2 2 3 5 2" xfId="14369"/>
    <cellStyle name="Normal 3 3 2 2 3 5 2 2" xfId="27918"/>
    <cellStyle name="Normal 3 3 2 2 3 5 3" xfId="31669"/>
    <cellStyle name="Normal 3 3 2 2 3 6" xfId="7382"/>
    <cellStyle name="Normal 3 3 2 2 3 6 2" xfId="16255"/>
    <cellStyle name="Normal 3 3 2 2 3 6 2 2" xfId="29662"/>
    <cellStyle name="Normal 3 3 2 2 3 6 3" xfId="31670"/>
    <cellStyle name="Normal 3 3 2 2 3 7" xfId="10198"/>
    <cellStyle name="Normal 3 3 2 2 3 7 2" xfId="24401"/>
    <cellStyle name="Normal 3 3 2 2 3 8" xfId="31664"/>
    <cellStyle name="Normal 3 3 2 2 4" xfId="7383"/>
    <cellStyle name="Normal 3 3 2 2 4 2" xfId="7384"/>
    <cellStyle name="Normal 3 3 2 2 4 2 2" xfId="17183"/>
    <cellStyle name="Normal 3 3 2 2 4 2 2 2" xfId="30542"/>
    <cellStyle name="Normal 3 3 2 2 4 2 3" xfId="31672"/>
    <cellStyle name="Normal 3 3 2 2 4 3" xfId="11558"/>
    <cellStyle name="Normal 3 3 2 2 4 3 2" xfId="25389"/>
    <cellStyle name="Normal 3 3 2 2 4 4" xfId="31671"/>
    <cellStyle name="Normal 3 3 2 2 5" xfId="7385"/>
    <cellStyle name="Normal 3 3 2 2 5 2" xfId="7386"/>
    <cellStyle name="Normal 3 3 2 2 5 2 2" xfId="17272"/>
    <cellStyle name="Normal 3 3 2 2 5 2 2 2" xfId="30631"/>
    <cellStyle name="Normal 3 3 2 2 5 2 3" xfId="31674"/>
    <cellStyle name="Normal 3 3 2 2 5 3" xfId="11922"/>
    <cellStyle name="Normal 3 3 2 2 5 3 2" xfId="25637"/>
    <cellStyle name="Normal 3 3 2 2 5 4" xfId="31673"/>
    <cellStyle name="Normal 3 3 2 2 6" xfId="7387"/>
    <cellStyle name="Normal 3 3 2 2 6 2" xfId="7388"/>
    <cellStyle name="Normal 3 3 2 2 6 2 2" xfId="16547"/>
    <cellStyle name="Normal 3 3 2 2 6 2 2 2" xfId="29954"/>
    <cellStyle name="Normal 3 3 2 2 6 2 3" xfId="31676"/>
    <cellStyle name="Normal 3 3 2 2 6 3" xfId="13499"/>
    <cellStyle name="Normal 3 3 2 2 6 3 2" xfId="27048"/>
    <cellStyle name="Normal 3 3 2 2 6 4" xfId="31675"/>
    <cellStyle name="Normal 3 3 2 2 7" xfId="7389"/>
    <cellStyle name="Normal 3 3 2 2 7 2" xfId="14080"/>
    <cellStyle name="Normal 3 3 2 2 7 2 2" xfId="27629"/>
    <cellStyle name="Normal 3 3 2 2 7 3" xfId="31677"/>
    <cellStyle name="Normal 3 3 2 2 8" xfId="7390"/>
    <cellStyle name="Normal 3 3 2 2 8 2" xfId="15966"/>
    <cellStyle name="Normal 3 3 2 2 8 2 2" xfId="29373"/>
    <cellStyle name="Normal 3 3 2 2 8 3" xfId="31678"/>
    <cellStyle name="Normal 3 3 2 2 9" xfId="10195"/>
    <cellStyle name="Normal 3 3 2 2 9 2" xfId="24398"/>
    <cellStyle name="Normal 3 3 2 3" xfId="7391"/>
    <cellStyle name="Normal 3 3 2 3 2" xfId="7392"/>
    <cellStyle name="Normal 3 3 2 3 2 2" xfId="7393"/>
    <cellStyle name="Normal 3 3 2 3 2 2 2" xfId="7394"/>
    <cellStyle name="Normal 3 3 2 3 2 2 2 2" xfId="16933"/>
    <cellStyle name="Normal 3 3 2 3 2 2 2 2 2" xfId="30340"/>
    <cellStyle name="Normal 3 3 2 3 2 2 2 3" xfId="31682"/>
    <cellStyle name="Normal 3 3 2 3 2 2 3" xfId="11563"/>
    <cellStyle name="Normal 3 3 2 3 2 2 3 2" xfId="25394"/>
    <cellStyle name="Normal 3 3 2 3 2 2 4" xfId="31681"/>
    <cellStyle name="Normal 3 3 2 3 2 3" xfId="7395"/>
    <cellStyle name="Normal 3 3 2 3 2 3 2" xfId="12321"/>
    <cellStyle name="Normal 3 3 2 3 2 3 2 2" xfId="26033"/>
    <cellStyle name="Normal 3 3 2 3 2 3 3" xfId="31683"/>
    <cellStyle name="Normal 3 3 2 3 2 4" xfId="7396"/>
    <cellStyle name="Normal 3 3 2 3 2 4 2" xfId="13885"/>
    <cellStyle name="Normal 3 3 2 3 2 4 2 2" xfId="27434"/>
    <cellStyle name="Normal 3 3 2 3 2 4 3" xfId="31684"/>
    <cellStyle name="Normal 3 3 2 3 2 5" xfId="7397"/>
    <cellStyle name="Normal 3 3 2 3 2 5 2" xfId="14466"/>
    <cellStyle name="Normal 3 3 2 3 2 5 2 2" xfId="28015"/>
    <cellStyle name="Normal 3 3 2 3 2 5 3" xfId="31685"/>
    <cellStyle name="Normal 3 3 2 3 2 6" xfId="7398"/>
    <cellStyle name="Normal 3 3 2 3 2 6 2" xfId="16352"/>
    <cellStyle name="Normal 3 3 2 3 2 6 2 2" xfId="29759"/>
    <cellStyle name="Normal 3 3 2 3 2 6 3" xfId="31686"/>
    <cellStyle name="Normal 3 3 2 3 2 7" xfId="10200"/>
    <cellStyle name="Normal 3 3 2 3 2 7 2" xfId="24403"/>
    <cellStyle name="Normal 3 3 2 3 2 8" xfId="31680"/>
    <cellStyle name="Normal 3 3 2 3 3" xfId="7399"/>
    <cellStyle name="Normal 3 3 2 3 3 2" xfId="7400"/>
    <cellStyle name="Normal 3 3 2 3 3 2 2" xfId="16644"/>
    <cellStyle name="Normal 3 3 2 3 3 2 2 2" xfId="30051"/>
    <cellStyle name="Normal 3 3 2 3 3 2 3" xfId="31688"/>
    <cellStyle name="Normal 3 3 2 3 3 3" xfId="11562"/>
    <cellStyle name="Normal 3 3 2 3 3 3 2" xfId="25393"/>
    <cellStyle name="Normal 3 3 2 3 3 4" xfId="31687"/>
    <cellStyle name="Normal 3 3 2 3 4" xfId="7401"/>
    <cellStyle name="Normal 3 3 2 3 4 2" xfId="12021"/>
    <cellStyle name="Normal 3 3 2 3 4 2 2" xfId="25736"/>
    <cellStyle name="Normal 3 3 2 3 4 3" xfId="31689"/>
    <cellStyle name="Normal 3 3 2 3 5" xfId="7402"/>
    <cellStyle name="Normal 3 3 2 3 5 2" xfId="13596"/>
    <cellStyle name="Normal 3 3 2 3 5 2 2" xfId="27145"/>
    <cellStyle name="Normal 3 3 2 3 5 3" xfId="31690"/>
    <cellStyle name="Normal 3 3 2 3 6" xfId="7403"/>
    <cellStyle name="Normal 3 3 2 3 6 2" xfId="14177"/>
    <cellStyle name="Normal 3 3 2 3 6 2 2" xfId="27726"/>
    <cellStyle name="Normal 3 3 2 3 6 3" xfId="31691"/>
    <cellStyle name="Normal 3 3 2 3 7" xfId="7404"/>
    <cellStyle name="Normal 3 3 2 3 7 2" xfId="16063"/>
    <cellStyle name="Normal 3 3 2 3 7 2 2" xfId="29470"/>
    <cellStyle name="Normal 3 3 2 3 7 3" xfId="31692"/>
    <cellStyle name="Normal 3 3 2 3 8" xfId="10199"/>
    <cellStyle name="Normal 3 3 2 3 8 2" xfId="24402"/>
    <cellStyle name="Normal 3 3 2 3 9" xfId="31679"/>
    <cellStyle name="Normal 3 3 2 4" xfId="7405"/>
    <cellStyle name="Normal 3 3 2 4 2" xfId="7406"/>
    <cellStyle name="Normal 3 3 2 4 2 2" xfId="7407"/>
    <cellStyle name="Normal 3 3 2 4 2 2 2" xfId="16790"/>
    <cellStyle name="Normal 3 3 2 4 2 2 2 2" xfId="30197"/>
    <cellStyle name="Normal 3 3 2 4 2 2 3" xfId="31695"/>
    <cellStyle name="Normal 3 3 2 4 2 3" xfId="11564"/>
    <cellStyle name="Normal 3 3 2 4 2 3 2" xfId="25395"/>
    <cellStyle name="Normal 3 3 2 4 2 4" xfId="31694"/>
    <cellStyle name="Normal 3 3 2 4 3" xfId="7408"/>
    <cellStyle name="Normal 3 3 2 4 3 2" xfId="12178"/>
    <cellStyle name="Normal 3 3 2 4 3 2 2" xfId="25890"/>
    <cellStyle name="Normal 3 3 2 4 3 3" xfId="31696"/>
    <cellStyle name="Normal 3 3 2 4 4" xfId="7409"/>
    <cellStyle name="Normal 3 3 2 4 4 2" xfId="13742"/>
    <cellStyle name="Normal 3 3 2 4 4 2 2" xfId="27291"/>
    <cellStyle name="Normal 3 3 2 4 4 3" xfId="31697"/>
    <cellStyle name="Normal 3 3 2 4 5" xfId="7410"/>
    <cellStyle name="Normal 3 3 2 4 5 2" xfId="14323"/>
    <cellStyle name="Normal 3 3 2 4 5 2 2" xfId="27872"/>
    <cellStyle name="Normal 3 3 2 4 5 3" xfId="31698"/>
    <cellStyle name="Normal 3 3 2 4 6" xfId="7411"/>
    <cellStyle name="Normal 3 3 2 4 6 2" xfId="16209"/>
    <cellStyle name="Normal 3 3 2 4 6 2 2" xfId="29616"/>
    <cellStyle name="Normal 3 3 2 4 6 3" xfId="31699"/>
    <cellStyle name="Normal 3 3 2 4 7" xfId="10201"/>
    <cellStyle name="Normal 3 3 2 4 7 2" xfId="24404"/>
    <cellStyle name="Normal 3 3 2 4 8" xfId="31693"/>
    <cellStyle name="Normal 3 3 2 5" xfId="7412"/>
    <cellStyle name="Normal 3 3 2 5 2" xfId="7413"/>
    <cellStyle name="Normal 3 3 2 5 2 2" xfId="17043"/>
    <cellStyle name="Normal 3 3 2 5 2 2 2" xfId="30444"/>
    <cellStyle name="Normal 3 3 2 5 2 3" xfId="31701"/>
    <cellStyle name="Normal 3 3 2 5 3" xfId="11557"/>
    <cellStyle name="Normal 3 3 2 5 3 2" xfId="25388"/>
    <cellStyle name="Normal 3 3 2 5 4" xfId="31700"/>
    <cellStyle name="Normal 3 3 2 6" xfId="7414"/>
    <cellStyle name="Normal 3 3 2 6 2" xfId="7415"/>
    <cellStyle name="Normal 3 3 2 6 2 2" xfId="17137"/>
    <cellStyle name="Normal 3 3 2 6 2 2 2" xfId="30496"/>
    <cellStyle name="Normal 3 3 2 6 2 3" xfId="31703"/>
    <cellStyle name="Normal 3 3 2 6 3" xfId="11865"/>
    <cellStyle name="Normal 3 3 2 6 3 2" xfId="25580"/>
    <cellStyle name="Normal 3 3 2 6 4" xfId="31702"/>
    <cellStyle name="Normal 3 3 2 7" xfId="7416"/>
    <cellStyle name="Normal 3 3 2 7 2" xfId="7417"/>
    <cellStyle name="Normal 3 3 2 7 2 2" xfId="17226"/>
    <cellStyle name="Normal 3 3 2 7 2 2 2" xfId="30585"/>
    <cellStyle name="Normal 3 3 2 7 2 3" xfId="31705"/>
    <cellStyle name="Normal 3 3 2 7 3" xfId="13453"/>
    <cellStyle name="Normal 3 3 2 7 3 2" xfId="27002"/>
    <cellStyle name="Normal 3 3 2 7 4" xfId="31704"/>
    <cellStyle name="Normal 3 3 2 8" xfId="7418"/>
    <cellStyle name="Normal 3 3 2 8 2" xfId="7419"/>
    <cellStyle name="Normal 3 3 2 8 2 2" xfId="16501"/>
    <cellStyle name="Normal 3 3 2 8 2 2 2" xfId="29908"/>
    <cellStyle name="Normal 3 3 2 8 2 3" xfId="31707"/>
    <cellStyle name="Normal 3 3 2 8 3" xfId="14034"/>
    <cellStyle name="Normal 3 3 2 8 3 2" xfId="27583"/>
    <cellStyle name="Normal 3 3 2 8 4" xfId="31706"/>
    <cellStyle name="Normal 3 3 2 9" xfId="7420"/>
    <cellStyle name="Normal 3 3 2 9 2" xfId="15920"/>
    <cellStyle name="Normal 3 3 2 9 2 2" xfId="29327"/>
    <cellStyle name="Normal 3 3 2 9 3" xfId="31708"/>
    <cellStyle name="Normal 3 3 3" xfId="7421"/>
    <cellStyle name="Normal 3 3 3 10" xfId="31709"/>
    <cellStyle name="Normal 3 3 3 2" xfId="7422"/>
    <cellStyle name="Normal 3 3 3 2 2" xfId="7423"/>
    <cellStyle name="Normal 3 3 3 2 2 2" xfId="7424"/>
    <cellStyle name="Normal 3 3 3 2 2 2 2" xfId="7425"/>
    <cellStyle name="Normal 3 3 3 2 2 2 2 2" xfId="16956"/>
    <cellStyle name="Normal 3 3 3 2 2 2 2 2 2" xfId="30363"/>
    <cellStyle name="Normal 3 3 3 2 2 2 2 3" xfId="31713"/>
    <cellStyle name="Normal 3 3 3 2 2 2 3" xfId="11567"/>
    <cellStyle name="Normal 3 3 3 2 2 2 3 2" xfId="25398"/>
    <cellStyle name="Normal 3 3 3 2 2 2 4" xfId="31712"/>
    <cellStyle name="Normal 3 3 3 2 2 3" xfId="7426"/>
    <cellStyle name="Normal 3 3 3 2 2 3 2" xfId="12344"/>
    <cellStyle name="Normal 3 3 3 2 2 3 2 2" xfId="26056"/>
    <cellStyle name="Normal 3 3 3 2 2 3 3" xfId="31714"/>
    <cellStyle name="Normal 3 3 3 2 2 4" xfId="7427"/>
    <cellStyle name="Normal 3 3 3 2 2 4 2" xfId="13908"/>
    <cellStyle name="Normal 3 3 3 2 2 4 2 2" xfId="27457"/>
    <cellStyle name="Normal 3 3 3 2 2 4 3" xfId="31715"/>
    <cellStyle name="Normal 3 3 3 2 2 5" xfId="7428"/>
    <cellStyle name="Normal 3 3 3 2 2 5 2" xfId="14489"/>
    <cellStyle name="Normal 3 3 3 2 2 5 2 2" xfId="28038"/>
    <cellStyle name="Normal 3 3 3 2 2 5 3" xfId="31716"/>
    <cellStyle name="Normal 3 3 3 2 2 6" xfId="7429"/>
    <cellStyle name="Normal 3 3 3 2 2 6 2" xfId="16375"/>
    <cellStyle name="Normal 3 3 3 2 2 6 2 2" xfId="29782"/>
    <cellStyle name="Normal 3 3 3 2 2 6 3" xfId="31717"/>
    <cellStyle name="Normal 3 3 3 2 2 7" xfId="10204"/>
    <cellStyle name="Normal 3 3 3 2 2 7 2" xfId="24407"/>
    <cellStyle name="Normal 3 3 3 2 2 8" xfId="31711"/>
    <cellStyle name="Normal 3 3 3 2 3" xfId="7430"/>
    <cellStyle name="Normal 3 3 3 2 3 2" xfId="7431"/>
    <cellStyle name="Normal 3 3 3 2 3 2 2" xfId="16667"/>
    <cellStyle name="Normal 3 3 3 2 3 2 2 2" xfId="30074"/>
    <cellStyle name="Normal 3 3 3 2 3 2 3" xfId="31719"/>
    <cellStyle name="Normal 3 3 3 2 3 3" xfId="11566"/>
    <cellStyle name="Normal 3 3 3 2 3 3 2" xfId="25397"/>
    <cellStyle name="Normal 3 3 3 2 3 4" xfId="31718"/>
    <cellStyle name="Normal 3 3 3 2 4" xfId="7432"/>
    <cellStyle name="Normal 3 3 3 2 4 2" xfId="12044"/>
    <cellStyle name="Normal 3 3 3 2 4 2 2" xfId="25759"/>
    <cellStyle name="Normal 3 3 3 2 4 3" xfId="31720"/>
    <cellStyle name="Normal 3 3 3 2 5" xfId="7433"/>
    <cellStyle name="Normal 3 3 3 2 5 2" xfId="13619"/>
    <cellStyle name="Normal 3 3 3 2 5 2 2" xfId="27168"/>
    <cellStyle name="Normal 3 3 3 2 5 3" xfId="31721"/>
    <cellStyle name="Normal 3 3 3 2 6" xfId="7434"/>
    <cellStyle name="Normal 3 3 3 2 6 2" xfId="14200"/>
    <cellStyle name="Normal 3 3 3 2 6 2 2" xfId="27749"/>
    <cellStyle name="Normal 3 3 3 2 6 3" xfId="31722"/>
    <cellStyle name="Normal 3 3 3 2 7" xfId="7435"/>
    <cellStyle name="Normal 3 3 3 2 7 2" xfId="16086"/>
    <cellStyle name="Normal 3 3 3 2 7 2 2" xfId="29493"/>
    <cellStyle name="Normal 3 3 3 2 7 3" xfId="31723"/>
    <cellStyle name="Normal 3 3 3 2 8" xfId="10203"/>
    <cellStyle name="Normal 3 3 3 2 8 2" xfId="24406"/>
    <cellStyle name="Normal 3 3 3 2 9" xfId="31710"/>
    <cellStyle name="Normal 3 3 3 3" xfId="7436"/>
    <cellStyle name="Normal 3 3 3 3 2" xfId="7437"/>
    <cellStyle name="Normal 3 3 3 3 2 2" xfId="7438"/>
    <cellStyle name="Normal 3 3 3 3 2 2 2" xfId="16813"/>
    <cellStyle name="Normal 3 3 3 3 2 2 2 2" xfId="30220"/>
    <cellStyle name="Normal 3 3 3 3 2 2 3" xfId="31726"/>
    <cellStyle name="Normal 3 3 3 3 2 3" xfId="11568"/>
    <cellStyle name="Normal 3 3 3 3 2 3 2" xfId="25399"/>
    <cellStyle name="Normal 3 3 3 3 2 4" xfId="31725"/>
    <cellStyle name="Normal 3 3 3 3 3" xfId="7439"/>
    <cellStyle name="Normal 3 3 3 3 3 2" xfId="12201"/>
    <cellStyle name="Normal 3 3 3 3 3 2 2" xfId="25913"/>
    <cellStyle name="Normal 3 3 3 3 3 3" xfId="31727"/>
    <cellStyle name="Normal 3 3 3 3 4" xfId="7440"/>
    <cellStyle name="Normal 3 3 3 3 4 2" xfId="13765"/>
    <cellStyle name="Normal 3 3 3 3 4 2 2" xfId="27314"/>
    <cellStyle name="Normal 3 3 3 3 4 3" xfId="31728"/>
    <cellStyle name="Normal 3 3 3 3 5" xfId="7441"/>
    <cellStyle name="Normal 3 3 3 3 5 2" xfId="14346"/>
    <cellStyle name="Normal 3 3 3 3 5 2 2" xfId="27895"/>
    <cellStyle name="Normal 3 3 3 3 5 3" xfId="31729"/>
    <cellStyle name="Normal 3 3 3 3 6" xfId="7442"/>
    <cellStyle name="Normal 3 3 3 3 6 2" xfId="16232"/>
    <cellStyle name="Normal 3 3 3 3 6 2 2" xfId="29639"/>
    <cellStyle name="Normal 3 3 3 3 6 3" xfId="31730"/>
    <cellStyle name="Normal 3 3 3 3 7" xfId="10205"/>
    <cellStyle name="Normal 3 3 3 3 7 2" xfId="24408"/>
    <cellStyle name="Normal 3 3 3 3 8" xfId="31724"/>
    <cellStyle name="Normal 3 3 3 4" xfId="7443"/>
    <cellStyle name="Normal 3 3 3 4 2" xfId="7444"/>
    <cellStyle name="Normal 3 3 3 4 2 2" xfId="17160"/>
    <cellStyle name="Normal 3 3 3 4 2 2 2" xfId="30519"/>
    <cellStyle name="Normal 3 3 3 4 2 3" xfId="31732"/>
    <cellStyle name="Normal 3 3 3 4 3" xfId="11565"/>
    <cellStyle name="Normal 3 3 3 4 3 2" xfId="25396"/>
    <cellStyle name="Normal 3 3 3 4 4" xfId="31731"/>
    <cellStyle name="Normal 3 3 3 5" xfId="7445"/>
    <cellStyle name="Normal 3 3 3 5 2" xfId="7446"/>
    <cellStyle name="Normal 3 3 3 5 2 2" xfId="17249"/>
    <cellStyle name="Normal 3 3 3 5 2 2 2" xfId="30608"/>
    <cellStyle name="Normal 3 3 3 5 2 3" xfId="31734"/>
    <cellStyle name="Normal 3 3 3 5 3" xfId="11899"/>
    <cellStyle name="Normal 3 3 3 5 3 2" xfId="25614"/>
    <cellStyle name="Normal 3 3 3 5 4" xfId="31733"/>
    <cellStyle name="Normal 3 3 3 6" xfId="7447"/>
    <cellStyle name="Normal 3 3 3 6 2" xfId="7448"/>
    <cellStyle name="Normal 3 3 3 6 2 2" xfId="16524"/>
    <cellStyle name="Normal 3 3 3 6 2 2 2" xfId="29931"/>
    <cellStyle name="Normal 3 3 3 6 2 3" xfId="31736"/>
    <cellStyle name="Normal 3 3 3 6 3" xfId="13476"/>
    <cellStyle name="Normal 3 3 3 6 3 2" xfId="27025"/>
    <cellStyle name="Normal 3 3 3 6 4" xfId="31735"/>
    <cellStyle name="Normal 3 3 3 7" xfId="7449"/>
    <cellStyle name="Normal 3 3 3 7 2" xfId="14057"/>
    <cellStyle name="Normal 3 3 3 7 2 2" xfId="27606"/>
    <cellStyle name="Normal 3 3 3 7 3" xfId="31737"/>
    <cellStyle name="Normal 3 3 3 8" xfId="7450"/>
    <cellStyle name="Normal 3 3 3 8 2" xfId="15943"/>
    <cellStyle name="Normal 3 3 3 8 2 2" xfId="29350"/>
    <cellStyle name="Normal 3 3 3 8 3" xfId="31738"/>
    <cellStyle name="Normal 3 3 3 9" xfId="10202"/>
    <cellStyle name="Normal 3 3 3 9 2" xfId="24405"/>
    <cellStyle name="Normal 3 3 4" xfId="7451"/>
    <cellStyle name="Normal 3 3 4 10" xfId="31739"/>
    <cellStyle name="Normal 3 3 4 2" xfId="7452"/>
    <cellStyle name="Normal 3 3 4 2 2" xfId="7453"/>
    <cellStyle name="Normal 3 3 4 2 2 2" xfId="7454"/>
    <cellStyle name="Normal 3 3 4 2 2 2 2" xfId="7455"/>
    <cellStyle name="Normal 3 3 4 2 2 2 2 2" xfId="16999"/>
    <cellStyle name="Normal 3 3 4 2 2 2 2 2 2" xfId="30406"/>
    <cellStyle name="Normal 3 3 4 2 2 2 2 3" xfId="31743"/>
    <cellStyle name="Normal 3 3 4 2 2 2 3" xfId="11571"/>
    <cellStyle name="Normal 3 3 4 2 2 2 3 2" xfId="25402"/>
    <cellStyle name="Normal 3 3 4 2 2 2 4" xfId="31742"/>
    <cellStyle name="Normal 3 3 4 2 2 3" xfId="7456"/>
    <cellStyle name="Normal 3 3 4 2 2 3 2" xfId="12387"/>
    <cellStyle name="Normal 3 3 4 2 2 3 2 2" xfId="26099"/>
    <cellStyle name="Normal 3 3 4 2 2 3 3" xfId="31744"/>
    <cellStyle name="Normal 3 3 4 2 2 4" xfId="7457"/>
    <cellStyle name="Normal 3 3 4 2 2 4 2" xfId="13951"/>
    <cellStyle name="Normal 3 3 4 2 2 4 2 2" xfId="27500"/>
    <cellStyle name="Normal 3 3 4 2 2 4 3" xfId="31745"/>
    <cellStyle name="Normal 3 3 4 2 2 5" xfId="7458"/>
    <cellStyle name="Normal 3 3 4 2 2 5 2" xfId="14532"/>
    <cellStyle name="Normal 3 3 4 2 2 5 2 2" xfId="28081"/>
    <cellStyle name="Normal 3 3 4 2 2 5 3" xfId="31746"/>
    <cellStyle name="Normal 3 3 4 2 2 6" xfId="7459"/>
    <cellStyle name="Normal 3 3 4 2 2 6 2" xfId="16418"/>
    <cellStyle name="Normal 3 3 4 2 2 6 2 2" xfId="29825"/>
    <cellStyle name="Normal 3 3 4 2 2 6 3" xfId="31747"/>
    <cellStyle name="Normal 3 3 4 2 2 7" xfId="10208"/>
    <cellStyle name="Normal 3 3 4 2 2 7 2" xfId="24411"/>
    <cellStyle name="Normal 3 3 4 2 2 8" xfId="31741"/>
    <cellStyle name="Normal 3 3 4 2 3" xfId="7460"/>
    <cellStyle name="Normal 3 3 4 2 3 2" xfId="7461"/>
    <cellStyle name="Normal 3 3 4 2 3 2 2" xfId="16710"/>
    <cellStyle name="Normal 3 3 4 2 3 2 2 2" xfId="30117"/>
    <cellStyle name="Normal 3 3 4 2 3 2 3" xfId="31749"/>
    <cellStyle name="Normal 3 3 4 2 3 3" xfId="11570"/>
    <cellStyle name="Normal 3 3 4 2 3 3 2" xfId="25401"/>
    <cellStyle name="Normal 3 3 4 2 3 4" xfId="31748"/>
    <cellStyle name="Normal 3 3 4 2 4" xfId="7462"/>
    <cellStyle name="Normal 3 3 4 2 4 2" xfId="12087"/>
    <cellStyle name="Normal 3 3 4 2 4 2 2" xfId="25802"/>
    <cellStyle name="Normal 3 3 4 2 4 3" xfId="31750"/>
    <cellStyle name="Normal 3 3 4 2 5" xfId="7463"/>
    <cellStyle name="Normal 3 3 4 2 5 2" xfId="13662"/>
    <cellStyle name="Normal 3 3 4 2 5 2 2" xfId="27211"/>
    <cellStyle name="Normal 3 3 4 2 5 3" xfId="31751"/>
    <cellStyle name="Normal 3 3 4 2 6" xfId="7464"/>
    <cellStyle name="Normal 3 3 4 2 6 2" xfId="14243"/>
    <cellStyle name="Normal 3 3 4 2 6 2 2" xfId="27792"/>
    <cellStyle name="Normal 3 3 4 2 6 3" xfId="31752"/>
    <cellStyle name="Normal 3 3 4 2 7" xfId="7465"/>
    <cellStyle name="Normal 3 3 4 2 7 2" xfId="16129"/>
    <cellStyle name="Normal 3 3 4 2 7 2 2" xfId="29536"/>
    <cellStyle name="Normal 3 3 4 2 7 3" xfId="31753"/>
    <cellStyle name="Normal 3 3 4 2 8" xfId="10207"/>
    <cellStyle name="Normal 3 3 4 2 8 2" xfId="24410"/>
    <cellStyle name="Normal 3 3 4 2 9" xfId="31740"/>
    <cellStyle name="Normal 3 3 4 3" xfId="7466"/>
    <cellStyle name="Normal 3 3 4 3 2" xfId="7467"/>
    <cellStyle name="Normal 3 3 4 3 2 2" xfId="7468"/>
    <cellStyle name="Normal 3 3 4 3 2 2 2" xfId="16856"/>
    <cellStyle name="Normal 3 3 4 3 2 2 2 2" xfId="30263"/>
    <cellStyle name="Normal 3 3 4 3 2 2 3" xfId="31756"/>
    <cellStyle name="Normal 3 3 4 3 2 3" xfId="11572"/>
    <cellStyle name="Normal 3 3 4 3 2 3 2" xfId="25403"/>
    <cellStyle name="Normal 3 3 4 3 2 4" xfId="31755"/>
    <cellStyle name="Normal 3 3 4 3 3" xfId="7469"/>
    <cellStyle name="Normal 3 3 4 3 3 2" xfId="12244"/>
    <cellStyle name="Normal 3 3 4 3 3 2 2" xfId="25956"/>
    <cellStyle name="Normal 3 3 4 3 3 3" xfId="31757"/>
    <cellStyle name="Normal 3 3 4 3 4" xfId="7470"/>
    <cellStyle name="Normal 3 3 4 3 4 2" xfId="13808"/>
    <cellStyle name="Normal 3 3 4 3 4 2 2" xfId="27357"/>
    <cellStyle name="Normal 3 3 4 3 4 3" xfId="31758"/>
    <cellStyle name="Normal 3 3 4 3 5" xfId="7471"/>
    <cellStyle name="Normal 3 3 4 3 5 2" xfId="14389"/>
    <cellStyle name="Normal 3 3 4 3 5 2 2" xfId="27938"/>
    <cellStyle name="Normal 3 3 4 3 5 3" xfId="31759"/>
    <cellStyle name="Normal 3 3 4 3 6" xfId="7472"/>
    <cellStyle name="Normal 3 3 4 3 6 2" xfId="16275"/>
    <cellStyle name="Normal 3 3 4 3 6 2 2" xfId="29682"/>
    <cellStyle name="Normal 3 3 4 3 6 3" xfId="31760"/>
    <cellStyle name="Normal 3 3 4 3 7" xfId="10209"/>
    <cellStyle name="Normal 3 3 4 3 7 2" xfId="24412"/>
    <cellStyle name="Normal 3 3 4 3 8" xfId="31754"/>
    <cellStyle name="Normal 3 3 4 4" xfId="7473"/>
    <cellStyle name="Normal 3 3 4 4 2" xfId="7474"/>
    <cellStyle name="Normal 3 3 4 4 2 2" xfId="16567"/>
    <cellStyle name="Normal 3 3 4 4 2 2 2" xfId="29974"/>
    <cellStyle name="Normal 3 3 4 4 2 3" xfId="31762"/>
    <cellStyle name="Normal 3 3 4 4 3" xfId="11569"/>
    <cellStyle name="Normal 3 3 4 4 3 2" xfId="25400"/>
    <cellStyle name="Normal 3 3 4 4 4" xfId="31761"/>
    <cellStyle name="Normal 3 3 4 5" xfId="7475"/>
    <cellStyle name="Normal 3 3 4 5 2" xfId="11942"/>
    <cellStyle name="Normal 3 3 4 5 2 2" xfId="25657"/>
    <cellStyle name="Normal 3 3 4 5 3" xfId="31763"/>
    <cellStyle name="Normal 3 3 4 6" xfId="7476"/>
    <cellStyle name="Normal 3 3 4 6 2" xfId="13519"/>
    <cellStyle name="Normal 3 3 4 6 2 2" xfId="27068"/>
    <cellStyle name="Normal 3 3 4 6 3" xfId="31764"/>
    <cellStyle name="Normal 3 3 4 7" xfId="7477"/>
    <cellStyle name="Normal 3 3 4 7 2" xfId="14100"/>
    <cellStyle name="Normal 3 3 4 7 2 2" xfId="27649"/>
    <cellStyle name="Normal 3 3 4 7 3" xfId="31765"/>
    <cellStyle name="Normal 3 3 4 8" xfId="7478"/>
    <cellStyle name="Normal 3 3 4 8 2" xfId="15986"/>
    <cellStyle name="Normal 3 3 4 8 2 2" xfId="29393"/>
    <cellStyle name="Normal 3 3 4 8 3" xfId="31766"/>
    <cellStyle name="Normal 3 3 4 9" xfId="10206"/>
    <cellStyle name="Normal 3 3 4 9 2" xfId="24409"/>
    <cellStyle name="Normal 3 3 5" xfId="7479"/>
    <cellStyle name="Normal 3 3 5 2" xfId="7480"/>
    <cellStyle name="Normal 3 3 5 2 2" xfId="7481"/>
    <cellStyle name="Normal 3 3 5 2 2 2" xfId="7482"/>
    <cellStyle name="Normal 3 3 5 2 2 2 2" xfId="16910"/>
    <cellStyle name="Normal 3 3 5 2 2 2 2 2" xfId="30317"/>
    <cellStyle name="Normal 3 3 5 2 2 2 3" xfId="31770"/>
    <cellStyle name="Normal 3 3 5 2 2 3" xfId="11574"/>
    <cellStyle name="Normal 3 3 5 2 2 3 2" xfId="25405"/>
    <cellStyle name="Normal 3 3 5 2 2 4" xfId="31769"/>
    <cellStyle name="Normal 3 3 5 2 3" xfId="7483"/>
    <cellStyle name="Normal 3 3 5 2 3 2" xfId="12298"/>
    <cellStyle name="Normal 3 3 5 2 3 2 2" xfId="26010"/>
    <cellStyle name="Normal 3 3 5 2 3 3" xfId="31771"/>
    <cellStyle name="Normal 3 3 5 2 4" xfId="7484"/>
    <cellStyle name="Normal 3 3 5 2 4 2" xfId="13862"/>
    <cellStyle name="Normal 3 3 5 2 4 2 2" xfId="27411"/>
    <cellStyle name="Normal 3 3 5 2 4 3" xfId="31772"/>
    <cellStyle name="Normal 3 3 5 2 5" xfId="7485"/>
    <cellStyle name="Normal 3 3 5 2 5 2" xfId="14443"/>
    <cellStyle name="Normal 3 3 5 2 5 2 2" xfId="27992"/>
    <cellStyle name="Normal 3 3 5 2 5 3" xfId="31773"/>
    <cellStyle name="Normal 3 3 5 2 6" xfId="7486"/>
    <cellStyle name="Normal 3 3 5 2 6 2" xfId="16329"/>
    <cellStyle name="Normal 3 3 5 2 6 2 2" xfId="29736"/>
    <cellStyle name="Normal 3 3 5 2 6 3" xfId="31774"/>
    <cellStyle name="Normal 3 3 5 2 7" xfId="10211"/>
    <cellStyle name="Normal 3 3 5 2 7 2" xfId="24414"/>
    <cellStyle name="Normal 3 3 5 2 8" xfId="31768"/>
    <cellStyle name="Normal 3 3 5 3" xfId="7487"/>
    <cellStyle name="Normal 3 3 5 3 2" xfId="7488"/>
    <cellStyle name="Normal 3 3 5 3 2 2" xfId="16621"/>
    <cellStyle name="Normal 3 3 5 3 2 2 2" xfId="30028"/>
    <cellStyle name="Normal 3 3 5 3 2 3" xfId="31776"/>
    <cellStyle name="Normal 3 3 5 3 3" xfId="11573"/>
    <cellStyle name="Normal 3 3 5 3 3 2" xfId="25404"/>
    <cellStyle name="Normal 3 3 5 3 4" xfId="31775"/>
    <cellStyle name="Normal 3 3 5 4" xfId="7489"/>
    <cellStyle name="Normal 3 3 5 4 2" xfId="11998"/>
    <cellStyle name="Normal 3 3 5 4 2 2" xfId="25713"/>
    <cellStyle name="Normal 3 3 5 4 3" xfId="31777"/>
    <cellStyle name="Normal 3 3 5 5" xfId="7490"/>
    <cellStyle name="Normal 3 3 5 5 2" xfId="13573"/>
    <cellStyle name="Normal 3 3 5 5 2 2" xfId="27122"/>
    <cellStyle name="Normal 3 3 5 5 3" xfId="31778"/>
    <cellStyle name="Normal 3 3 5 6" xfId="7491"/>
    <cellStyle name="Normal 3 3 5 6 2" xfId="14154"/>
    <cellStyle name="Normal 3 3 5 6 2 2" xfId="27703"/>
    <cellStyle name="Normal 3 3 5 6 3" xfId="31779"/>
    <cellStyle name="Normal 3 3 5 7" xfId="7492"/>
    <cellStyle name="Normal 3 3 5 7 2" xfId="16040"/>
    <cellStyle name="Normal 3 3 5 7 2 2" xfId="29447"/>
    <cellStyle name="Normal 3 3 5 7 3" xfId="31780"/>
    <cellStyle name="Normal 3 3 5 8" xfId="10210"/>
    <cellStyle name="Normal 3 3 5 8 2" xfId="24413"/>
    <cellStyle name="Normal 3 3 5 9" xfId="31767"/>
    <cellStyle name="Normal 3 3 6" xfId="7493"/>
    <cellStyle name="Normal 3 3 6 2" xfId="7494"/>
    <cellStyle name="Normal 3 3 6 2 2" xfId="7495"/>
    <cellStyle name="Normal 3 3 6 2 2 2" xfId="16733"/>
    <cellStyle name="Normal 3 3 6 2 2 2 2" xfId="30140"/>
    <cellStyle name="Normal 3 3 6 2 2 3" xfId="31783"/>
    <cellStyle name="Normal 3 3 6 2 3" xfId="11575"/>
    <cellStyle name="Normal 3 3 6 2 3 2" xfId="25406"/>
    <cellStyle name="Normal 3 3 6 2 4" xfId="31782"/>
    <cellStyle name="Normal 3 3 6 3" xfId="7496"/>
    <cellStyle name="Normal 3 3 6 3 2" xfId="12121"/>
    <cellStyle name="Normal 3 3 6 3 2 2" xfId="25833"/>
    <cellStyle name="Normal 3 3 6 3 3" xfId="31784"/>
    <cellStyle name="Normal 3 3 6 4" xfId="7497"/>
    <cellStyle name="Normal 3 3 6 4 2" xfId="13685"/>
    <cellStyle name="Normal 3 3 6 4 2 2" xfId="27234"/>
    <cellStyle name="Normal 3 3 6 4 3" xfId="31785"/>
    <cellStyle name="Normal 3 3 6 5" xfId="7498"/>
    <cellStyle name="Normal 3 3 6 5 2" xfId="14266"/>
    <cellStyle name="Normal 3 3 6 5 2 2" xfId="27815"/>
    <cellStyle name="Normal 3 3 6 5 3" xfId="31786"/>
    <cellStyle name="Normal 3 3 6 6" xfId="7499"/>
    <cellStyle name="Normal 3 3 6 6 2" xfId="16152"/>
    <cellStyle name="Normal 3 3 6 6 2 2" xfId="29559"/>
    <cellStyle name="Normal 3 3 6 6 3" xfId="31787"/>
    <cellStyle name="Normal 3 3 6 7" xfId="10212"/>
    <cellStyle name="Normal 3 3 6 7 2" xfId="24415"/>
    <cellStyle name="Normal 3 3 6 8" xfId="31781"/>
    <cellStyle name="Normal 3 3 7" xfId="7500"/>
    <cellStyle name="Normal 3 3 7 2" xfId="7501"/>
    <cellStyle name="Normal 3 3 7 2 2" xfId="7502"/>
    <cellStyle name="Normal 3 3 7 2 2 2" xfId="17006"/>
    <cellStyle name="Normal 3 3 7 2 2 2 2" xfId="30413"/>
    <cellStyle name="Normal 3 3 7 2 2 3" xfId="31790"/>
    <cellStyle name="Normal 3 3 7 2 3" xfId="11576"/>
    <cellStyle name="Normal 3 3 7 2 3 2" xfId="25407"/>
    <cellStyle name="Normal 3 3 7 2 4" xfId="31789"/>
    <cellStyle name="Normal 3 3 7 3" xfId="7503"/>
    <cellStyle name="Normal 3 3 7 3 2" xfId="12395"/>
    <cellStyle name="Normal 3 3 7 3 2 2" xfId="26107"/>
    <cellStyle name="Normal 3 3 7 3 3" xfId="31791"/>
    <cellStyle name="Normal 3 3 7 4" xfId="7504"/>
    <cellStyle name="Normal 3 3 7 4 2" xfId="13958"/>
    <cellStyle name="Normal 3 3 7 4 2 2" xfId="27507"/>
    <cellStyle name="Normal 3 3 7 4 3" xfId="31792"/>
    <cellStyle name="Normal 3 3 7 5" xfId="7505"/>
    <cellStyle name="Normal 3 3 7 5 2" xfId="14539"/>
    <cellStyle name="Normal 3 3 7 5 2 2" xfId="28088"/>
    <cellStyle name="Normal 3 3 7 5 3" xfId="31793"/>
    <cellStyle name="Normal 3 3 7 6" xfId="7506"/>
    <cellStyle name="Normal 3 3 7 6 2" xfId="16425"/>
    <cellStyle name="Normal 3 3 7 6 2 2" xfId="29832"/>
    <cellStyle name="Normal 3 3 7 6 3" xfId="31794"/>
    <cellStyle name="Normal 3 3 7 7" xfId="10213"/>
    <cellStyle name="Normal 3 3 7 7 2" xfId="24416"/>
    <cellStyle name="Normal 3 3 7 8" xfId="31788"/>
    <cellStyle name="Normal 3 3 8" xfId="7507"/>
    <cellStyle name="Normal 3 3 8 2" xfId="7508"/>
    <cellStyle name="Normal 3 3 8 2 2" xfId="17042"/>
    <cellStyle name="Normal 3 3 8 2 2 2" xfId="30443"/>
    <cellStyle name="Normal 3 3 8 2 3" xfId="31796"/>
    <cellStyle name="Normal 3 3 8 3" xfId="11556"/>
    <cellStyle name="Normal 3 3 8 3 2" xfId="25387"/>
    <cellStyle name="Normal 3 3 8 4" xfId="31795"/>
    <cellStyle name="Normal 3 3 9" xfId="7509"/>
    <cellStyle name="Normal 3 3 9 2" xfId="7510"/>
    <cellStyle name="Normal 3 3 9 2 2" xfId="17114"/>
    <cellStyle name="Normal 3 3 9 2 2 2" xfId="30473"/>
    <cellStyle name="Normal 3 3 9 2 3" xfId="31798"/>
    <cellStyle name="Normal 3 3 9 3" xfId="11829"/>
    <cellStyle name="Normal 3 3 9 3 2" xfId="25544"/>
    <cellStyle name="Normal 3 3 9 4" xfId="31797"/>
    <cellStyle name="Normal 3 4" xfId="7511"/>
    <cellStyle name="Normal 3 4 10" xfId="31799"/>
    <cellStyle name="Normal 3 4 11" xfId="32926"/>
    <cellStyle name="Normal 3 4 12" xfId="32986"/>
    <cellStyle name="Normal 3 4 2" xfId="7512"/>
    <cellStyle name="Normal 3 4 2 10" xfId="33014"/>
    <cellStyle name="Normal 3 4 2 2" xfId="7513"/>
    <cellStyle name="Normal 3 4 2 2 2" xfId="7514"/>
    <cellStyle name="Normal 3 4 2 2 2 2" xfId="17001"/>
    <cellStyle name="Normal 3 4 2 2 2 2 2" xfId="30408"/>
    <cellStyle name="Normal 3 4 2 2 2 3" xfId="31802"/>
    <cellStyle name="Normal 3 4 2 2 3" xfId="11578"/>
    <cellStyle name="Normal 3 4 2 2 3 2" xfId="25409"/>
    <cellStyle name="Normal 3 4 2 2 4" xfId="31801"/>
    <cellStyle name="Normal 3 4 2 3" xfId="7515"/>
    <cellStyle name="Normal 3 4 2 3 2" xfId="12389"/>
    <cellStyle name="Normal 3 4 2 3 2 2" xfId="26101"/>
    <cellStyle name="Normal 3 4 2 3 3" xfId="31803"/>
    <cellStyle name="Normal 3 4 2 4" xfId="7516"/>
    <cellStyle name="Normal 3 4 2 4 2" xfId="13953"/>
    <cellStyle name="Normal 3 4 2 4 2 2" xfId="27502"/>
    <cellStyle name="Normal 3 4 2 4 3" xfId="31804"/>
    <cellStyle name="Normal 3 4 2 5" xfId="7517"/>
    <cellStyle name="Normal 3 4 2 5 2" xfId="14534"/>
    <cellStyle name="Normal 3 4 2 5 2 2" xfId="28083"/>
    <cellStyle name="Normal 3 4 2 5 3" xfId="31805"/>
    <cellStyle name="Normal 3 4 2 6" xfId="7518"/>
    <cellStyle name="Normal 3 4 2 6 2" xfId="16420"/>
    <cellStyle name="Normal 3 4 2 6 2 2" xfId="29827"/>
    <cellStyle name="Normal 3 4 2 6 3" xfId="31806"/>
    <cellStyle name="Normal 3 4 2 7" xfId="10214"/>
    <cellStyle name="Normal 3 4 2 7 2" xfId="24417"/>
    <cellStyle name="Normal 3 4 2 8" xfId="31800"/>
    <cellStyle name="Normal 3 4 2 9" xfId="32956"/>
    <cellStyle name="Normal 3 4 3" xfId="7519"/>
    <cellStyle name="Normal 3 4 3 2" xfId="7520"/>
    <cellStyle name="Normal 3 4 3 2 2" xfId="17044"/>
    <cellStyle name="Normal 3 4 3 2 2 2" xfId="30445"/>
    <cellStyle name="Normal 3 4 3 2 3" xfId="31808"/>
    <cellStyle name="Normal 3 4 3 3" xfId="10215"/>
    <cellStyle name="Normal 3 4 3 4" xfId="31807"/>
    <cellStyle name="Normal 3 4 4" xfId="7521"/>
    <cellStyle name="Normal 3 4 4 2" xfId="11577"/>
    <cellStyle name="Normal 3 4 4 2 2" xfId="25408"/>
    <cellStyle name="Normal 3 4 4 3" xfId="31809"/>
    <cellStyle name="Normal 3 4 5" xfId="7522"/>
    <cellStyle name="Normal 3 4 5 2" xfId="13264"/>
    <cellStyle name="Normal 3 4 5 2 2" xfId="26898"/>
    <cellStyle name="Normal 3 4 5 3" xfId="31810"/>
    <cellStyle name="Normal 3 4 6" xfId="7523"/>
    <cellStyle name="Normal 3 4 6 2" xfId="15704"/>
    <cellStyle name="Normal 3 4 6 2 2" xfId="29190"/>
    <cellStyle name="Normal 3 4 6 3" xfId="31811"/>
    <cellStyle name="Normal 3 4 7" xfId="7524"/>
    <cellStyle name="Normal 3 4 7 2" xfId="15812"/>
    <cellStyle name="Normal 3 4 7 2 2" xfId="29219"/>
    <cellStyle name="Normal 3 4 7 3" xfId="31812"/>
    <cellStyle name="Normal 3 4 8" xfId="8688"/>
    <cellStyle name="Normal 3 4 8 2" xfId="17313"/>
    <cellStyle name="Normal 3 4 8 2 2" xfId="30666"/>
    <cellStyle name="Normal 3 4 8 3" xfId="23218"/>
    <cellStyle name="Normal 3 4 9" xfId="8797"/>
    <cellStyle name="Normal 3 4 9 2" xfId="23275"/>
    <cellStyle name="Normal 3 5" xfId="7525"/>
    <cellStyle name="Normal 3 5 10" xfId="32994"/>
    <cellStyle name="Normal 3 5 2" xfId="7526"/>
    <cellStyle name="Normal 3 5 2 2" xfId="11579"/>
    <cellStyle name="Normal 3 5 2 2 2" xfId="25410"/>
    <cellStyle name="Normal 3 5 2 3" xfId="31814"/>
    <cellStyle name="Normal 3 5 2 4" xfId="32957"/>
    <cellStyle name="Normal 3 5 2 5" xfId="33015"/>
    <cellStyle name="Normal 3 5 3" xfId="7527"/>
    <cellStyle name="Normal 3 5 3 2" xfId="13265"/>
    <cellStyle name="Normal 3 5 3 2 2" xfId="26899"/>
    <cellStyle name="Normal 3 5 3 3" xfId="31815"/>
    <cellStyle name="Normal 3 5 4" xfId="7528"/>
    <cellStyle name="Normal 3 5 4 2" xfId="15705"/>
    <cellStyle name="Normal 3 5 4 2 2" xfId="29191"/>
    <cellStyle name="Normal 3 5 4 3" xfId="31816"/>
    <cellStyle name="Normal 3 5 5" xfId="7529"/>
    <cellStyle name="Normal 3 5 5 2" xfId="15813"/>
    <cellStyle name="Normal 3 5 5 2 2" xfId="29220"/>
    <cellStyle name="Normal 3 5 5 3" xfId="31817"/>
    <cellStyle name="Normal 3 5 6" xfId="8703"/>
    <cellStyle name="Normal 3 5 6 2" xfId="17321"/>
    <cellStyle name="Normal 3 5 6 2 2" xfId="30674"/>
    <cellStyle name="Normal 3 5 6 3" xfId="23226"/>
    <cellStyle name="Normal 3 5 7" xfId="8805"/>
    <cellStyle name="Normal 3 5 7 2" xfId="23283"/>
    <cellStyle name="Normal 3 5 8" xfId="31813"/>
    <cellStyle name="Normal 3 5 9" xfId="32934"/>
    <cellStyle name="Normal 3 6" xfId="7530"/>
    <cellStyle name="Normal 3 6 10" xfId="32993"/>
    <cellStyle name="Normal 3 6 2" xfId="7531"/>
    <cellStyle name="Normal 3 6 2 2" xfId="11580"/>
    <cellStyle name="Normal 3 6 2 2 2" xfId="25411"/>
    <cellStyle name="Normal 3 6 2 3" xfId="31819"/>
    <cellStyle name="Normal 3 6 2 4" xfId="32958"/>
    <cellStyle name="Normal 3 6 2 5" xfId="33016"/>
    <cellStyle name="Normal 3 6 3" xfId="7532"/>
    <cellStyle name="Normal 3 6 3 2" xfId="13266"/>
    <cellStyle name="Normal 3 6 3 2 2" xfId="26900"/>
    <cellStyle name="Normal 3 6 3 3" xfId="31820"/>
    <cellStyle name="Normal 3 6 4" xfId="7533"/>
    <cellStyle name="Normal 3 6 4 2" xfId="15706"/>
    <cellStyle name="Normal 3 6 4 2 2" xfId="29192"/>
    <cellStyle name="Normal 3 6 4 3" xfId="31821"/>
    <cellStyle name="Normal 3 6 5" xfId="7534"/>
    <cellStyle name="Normal 3 6 5 2" xfId="15814"/>
    <cellStyle name="Normal 3 6 5 2 2" xfId="29221"/>
    <cellStyle name="Normal 3 6 5 3" xfId="31822"/>
    <cellStyle name="Normal 3 6 6" xfId="8701"/>
    <cellStyle name="Normal 3 6 6 2" xfId="17320"/>
    <cellStyle name="Normal 3 6 6 2 2" xfId="30673"/>
    <cellStyle name="Normal 3 6 6 3" xfId="23225"/>
    <cellStyle name="Normal 3 6 7" xfId="8804"/>
    <cellStyle name="Normal 3 6 7 2" xfId="23282"/>
    <cellStyle name="Normal 3 6 8" xfId="31818"/>
    <cellStyle name="Normal 3 6 9" xfId="32933"/>
    <cellStyle name="Normal 3 7" xfId="7535"/>
    <cellStyle name="Normal 3 7 10" xfId="32999"/>
    <cellStyle name="Normal 3 7 2" xfId="7536"/>
    <cellStyle name="Normal 3 7 2 2" xfId="11581"/>
    <cellStyle name="Normal 3 7 2 2 2" xfId="25412"/>
    <cellStyle name="Normal 3 7 2 3" xfId="31824"/>
    <cellStyle name="Normal 3 7 2 4" xfId="32959"/>
    <cellStyle name="Normal 3 7 2 5" xfId="33017"/>
    <cellStyle name="Normal 3 7 3" xfId="7537"/>
    <cellStyle name="Normal 3 7 3 2" xfId="13267"/>
    <cellStyle name="Normal 3 7 3 2 2" xfId="26901"/>
    <cellStyle name="Normal 3 7 3 3" xfId="31825"/>
    <cellStyle name="Normal 3 7 4" xfId="7538"/>
    <cellStyle name="Normal 3 7 4 2" xfId="15707"/>
    <cellStyle name="Normal 3 7 4 2 2" xfId="29193"/>
    <cellStyle name="Normal 3 7 4 3" xfId="31826"/>
    <cellStyle name="Normal 3 7 5" xfId="7539"/>
    <cellStyle name="Normal 3 7 5 2" xfId="15815"/>
    <cellStyle name="Normal 3 7 5 2 2" xfId="29222"/>
    <cellStyle name="Normal 3 7 5 3" xfId="31827"/>
    <cellStyle name="Normal 3 7 6" xfId="8714"/>
    <cellStyle name="Normal 3 7 6 2" xfId="17326"/>
    <cellStyle name="Normal 3 7 6 2 2" xfId="30679"/>
    <cellStyle name="Normal 3 7 6 3" xfId="23233"/>
    <cellStyle name="Normal 3 7 7" xfId="8810"/>
    <cellStyle name="Normal 3 7 7 2" xfId="23288"/>
    <cellStyle name="Normal 3 7 8" xfId="31823"/>
    <cellStyle name="Normal 3 7 9" xfId="32940"/>
    <cellStyle name="Normal 3 8" xfId="7540"/>
    <cellStyle name="Normal 3 8 10" xfId="33000"/>
    <cellStyle name="Normal 3 8 2" xfId="7541"/>
    <cellStyle name="Normal 3 8 2 2" xfId="11582"/>
    <cellStyle name="Normal 3 8 2 2 2" xfId="25413"/>
    <cellStyle name="Normal 3 8 2 3" xfId="31829"/>
    <cellStyle name="Normal 3 8 2 4" xfId="32960"/>
    <cellStyle name="Normal 3 8 2 5" xfId="33018"/>
    <cellStyle name="Normal 3 8 3" xfId="7542"/>
    <cellStyle name="Normal 3 8 3 2" xfId="13268"/>
    <cellStyle name="Normal 3 8 3 2 2" xfId="26902"/>
    <cellStyle name="Normal 3 8 3 3" xfId="31830"/>
    <cellStyle name="Normal 3 8 4" xfId="7543"/>
    <cellStyle name="Normal 3 8 4 2" xfId="15708"/>
    <cellStyle name="Normal 3 8 4 2 2" xfId="29194"/>
    <cellStyle name="Normal 3 8 4 3" xfId="31831"/>
    <cellStyle name="Normal 3 8 5" xfId="7544"/>
    <cellStyle name="Normal 3 8 5 2" xfId="15816"/>
    <cellStyle name="Normal 3 8 5 2 2" xfId="29223"/>
    <cellStyle name="Normal 3 8 5 3" xfId="31832"/>
    <cellStyle name="Normal 3 8 6" xfId="8716"/>
    <cellStyle name="Normal 3 8 6 2" xfId="17327"/>
    <cellStyle name="Normal 3 8 6 2 2" xfId="30680"/>
    <cellStyle name="Normal 3 8 6 3" xfId="23234"/>
    <cellStyle name="Normal 3 8 7" xfId="8811"/>
    <cellStyle name="Normal 3 8 7 2" xfId="23289"/>
    <cellStyle name="Normal 3 8 8" xfId="31828"/>
    <cellStyle name="Normal 3 8 9" xfId="32941"/>
    <cellStyle name="Normal 3 9" xfId="7545"/>
    <cellStyle name="Normal 3 9 10" xfId="33001"/>
    <cellStyle name="Normal 3 9 2" xfId="7546"/>
    <cellStyle name="Normal 3 9 2 2" xfId="11583"/>
    <cellStyle name="Normal 3 9 2 2 2" xfId="25414"/>
    <cellStyle name="Normal 3 9 2 3" xfId="31834"/>
    <cellStyle name="Normal 3 9 2 4" xfId="32961"/>
    <cellStyle name="Normal 3 9 2 5" xfId="33019"/>
    <cellStyle name="Normal 3 9 3" xfId="7547"/>
    <cellStyle name="Normal 3 9 3 2" xfId="13269"/>
    <cellStyle name="Normal 3 9 3 2 2" xfId="26903"/>
    <cellStyle name="Normal 3 9 3 3" xfId="31835"/>
    <cellStyle name="Normal 3 9 4" xfId="7548"/>
    <cellStyle name="Normal 3 9 4 2" xfId="15709"/>
    <cellStyle name="Normal 3 9 4 2 2" xfId="29195"/>
    <cellStyle name="Normal 3 9 4 3" xfId="31836"/>
    <cellStyle name="Normal 3 9 5" xfId="7549"/>
    <cellStyle name="Normal 3 9 5 2" xfId="15817"/>
    <cellStyle name="Normal 3 9 5 2 2" xfId="29224"/>
    <cellStyle name="Normal 3 9 5 3" xfId="31837"/>
    <cellStyle name="Normal 3 9 6" xfId="8717"/>
    <cellStyle name="Normal 3 9 6 2" xfId="17328"/>
    <cellStyle name="Normal 3 9 6 2 2" xfId="30681"/>
    <cellStyle name="Normal 3 9 6 3" xfId="23235"/>
    <cellStyle name="Normal 3 9 7" xfId="8812"/>
    <cellStyle name="Normal 3 9 7 2" xfId="23290"/>
    <cellStyle name="Normal 3 9 8" xfId="31833"/>
    <cellStyle name="Normal 3 9 9" xfId="32942"/>
    <cellStyle name="Normal 30" xfId="33112"/>
    <cellStyle name="Normal 34" xfId="7550"/>
    <cellStyle name="Normal 34 2" xfId="17045"/>
    <cellStyle name="Normal 34 3" xfId="31838"/>
    <cellStyle name="Normal 4" xfId="7551"/>
    <cellStyle name="Normal 4 10" xfId="8790"/>
    <cellStyle name="Normal 4 10 2" xfId="23268"/>
    <cellStyle name="Normal 4 11" xfId="32912"/>
    <cellStyle name="Normal 4 12" xfId="32975"/>
    <cellStyle name="Normal 4 2" xfId="7552"/>
    <cellStyle name="Normal 4 2 10" xfId="8794"/>
    <cellStyle name="Normal 4 2 10 2" xfId="23272"/>
    <cellStyle name="Normal 4 2 11" xfId="32923"/>
    <cellStyle name="Normal 4 2 12" xfId="32983"/>
    <cellStyle name="Normal 4 2 13" xfId="33040"/>
    <cellStyle name="Normal 4 2 2" xfId="7553"/>
    <cellStyle name="Normal 4 2 2 2" xfId="7554"/>
    <cellStyle name="Normal 4 2 2 2 2" xfId="11730"/>
    <cellStyle name="Normal 4 2 2 2 2 2" xfId="25449"/>
    <cellStyle name="Normal 4 2 2 2 3" xfId="31839"/>
    <cellStyle name="Normal 4 2 2 3" xfId="7555"/>
    <cellStyle name="Normal 4 2 2 3 2" xfId="17046"/>
    <cellStyle name="Normal 4 2 2 3 2 2" xfId="30446"/>
    <cellStyle name="Normal 4 2 2 3 3" xfId="31840"/>
    <cellStyle name="Normal 4 2 2 4" xfId="10216"/>
    <cellStyle name="Normal 4 2 2 5" xfId="32963"/>
    <cellStyle name="Normal 4 2 2 6" xfId="33021"/>
    <cellStyle name="Normal 4 2 3" xfId="7556"/>
    <cellStyle name="Normal 4 2 3 2" xfId="7557"/>
    <cellStyle name="Normal 4 2 3 2 2" xfId="10218"/>
    <cellStyle name="Normal 4 2 3 3" xfId="7558"/>
    <cellStyle name="Normal 4 2 3 3 2" xfId="13271"/>
    <cellStyle name="Normal 4 2 3 4" xfId="10217"/>
    <cellStyle name="Normal 4 2 4" xfId="7559"/>
    <cellStyle name="Normal 4 2 4 2" xfId="7560"/>
    <cellStyle name="Normal 4 2 4 2 2" xfId="13272"/>
    <cellStyle name="Normal 4 2 4 3" xfId="10523"/>
    <cellStyle name="Normal 4 2 5" xfId="7561"/>
    <cellStyle name="Normal 4 2 5 2" xfId="7562"/>
    <cellStyle name="Normal 4 2 5 2 2" xfId="13273"/>
    <cellStyle name="Normal 4 2 5 2 2 2" xfId="26905"/>
    <cellStyle name="Normal 4 2 5 2 3" xfId="31842"/>
    <cellStyle name="Normal 4 2 5 3" xfId="7563"/>
    <cellStyle name="Normal 4 2 5 3 2" xfId="15711"/>
    <cellStyle name="Normal 4 2 5 3 2 2" xfId="29197"/>
    <cellStyle name="Normal 4 2 5 3 3" xfId="31843"/>
    <cellStyle name="Normal 4 2 5 4" xfId="11585"/>
    <cellStyle name="Normal 4 2 5 4 2" xfId="25416"/>
    <cellStyle name="Normal 4 2 5 5" xfId="31841"/>
    <cellStyle name="Normal 4 2 6" xfId="7564"/>
    <cellStyle name="Normal 4 2 6 2" xfId="13270"/>
    <cellStyle name="Normal 4 2 6 2 2" xfId="26904"/>
    <cellStyle name="Normal 4 2 6 3" xfId="31844"/>
    <cellStyle name="Normal 4 2 7" xfId="7565"/>
    <cellStyle name="Normal 4 2 7 2" xfId="15710"/>
    <cellStyle name="Normal 4 2 7 2 2" xfId="29196"/>
    <cellStyle name="Normal 4 2 7 3" xfId="31845"/>
    <cellStyle name="Normal 4 2 8" xfId="7566"/>
    <cellStyle name="Normal 4 2 8 2" xfId="15819"/>
    <cellStyle name="Normal 4 2 8 2 2" xfId="29226"/>
    <cellStyle name="Normal 4 2 8 3" xfId="31846"/>
    <cellStyle name="Normal 4 2 9" xfId="8685"/>
    <cellStyle name="Normal 4 2 9 2" xfId="17310"/>
    <cellStyle name="Normal 4 2 9 2 2" xfId="30663"/>
    <cellStyle name="Normal 4 2 9 3" xfId="23215"/>
    <cellStyle name="Normal 4 3" xfId="7567"/>
    <cellStyle name="Normal 4 3 10" xfId="8798"/>
    <cellStyle name="Normal 4 3 10 2" xfId="23276"/>
    <cellStyle name="Normal 4 3 11" xfId="32927"/>
    <cellStyle name="Normal 4 3 12" xfId="32987"/>
    <cellStyle name="Normal 4 3 2" xfId="7568"/>
    <cellStyle name="Normal 4 3 2 2" xfId="7569"/>
    <cellStyle name="Normal 4 3 2 2 2" xfId="11731"/>
    <cellStyle name="Normal 4 3 2 2 2 2" xfId="25450"/>
    <cellStyle name="Normal 4 3 2 2 3" xfId="31847"/>
    <cellStyle name="Normal 4 3 2 3" xfId="7570"/>
    <cellStyle name="Normal 4 3 2 3 2" xfId="17047"/>
    <cellStyle name="Normal 4 3 2 3 2 2" xfId="30447"/>
    <cellStyle name="Normal 4 3 2 3 3" xfId="31848"/>
    <cellStyle name="Normal 4 3 2 4" xfId="10219"/>
    <cellStyle name="Normal 4 3 2 5" xfId="32964"/>
    <cellStyle name="Normal 4 3 2 6" xfId="33022"/>
    <cellStyle name="Normal 4 3 3" xfId="7571"/>
    <cellStyle name="Normal 4 3 3 2" xfId="7572"/>
    <cellStyle name="Normal 4 3 3 2 2" xfId="10221"/>
    <cellStyle name="Normal 4 3 3 3" xfId="7573"/>
    <cellStyle name="Normal 4 3 3 3 2" xfId="13275"/>
    <cellStyle name="Normal 4 3 3 4" xfId="10220"/>
    <cellStyle name="Normal 4 3 4" xfId="7574"/>
    <cellStyle name="Normal 4 3 4 2" xfId="7575"/>
    <cellStyle name="Normal 4 3 4 2 2" xfId="13276"/>
    <cellStyle name="Normal 4 3 4 3" xfId="10524"/>
    <cellStyle name="Normal 4 3 5" xfId="7576"/>
    <cellStyle name="Normal 4 3 5 2" xfId="7577"/>
    <cellStyle name="Normal 4 3 5 2 2" xfId="13277"/>
    <cellStyle name="Normal 4 3 5 2 2 2" xfId="26907"/>
    <cellStyle name="Normal 4 3 5 2 3" xfId="31850"/>
    <cellStyle name="Normal 4 3 5 3" xfId="7578"/>
    <cellStyle name="Normal 4 3 5 3 2" xfId="15713"/>
    <cellStyle name="Normal 4 3 5 3 2 2" xfId="29199"/>
    <cellStyle name="Normal 4 3 5 3 3" xfId="31851"/>
    <cellStyle name="Normal 4 3 5 4" xfId="11586"/>
    <cellStyle name="Normal 4 3 5 4 2" xfId="25417"/>
    <cellStyle name="Normal 4 3 5 5" xfId="31849"/>
    <cellStyle name="Normal 4 3 6" xfId="7579"/>
    <cellStyle name="Normal 4 3 6 2" xfId="13274"/>
    <cellStyle name="Normal 4 3 6 2 2" xfId="26906"/>
    <cellStyle name="Normal 4 3 6 3" xfId="31852"/>
    <cellStyle name="Normal 4 3 7" xfId="7580"/>
    <cellStyle name="Normal 4 3 7 2" xfId="15712"/>
    <cellStyle name="Normal 4 3 7 2 2" xfId="29198"/>
    <cellStyle name="Normal 4 3 7 3" xfId="31853"/>
    <cellStyle name="Normal 4 3 8" xfId="7581"/>
    <cellStyle name="Normal 4 3 8 2" xfId="15820"/>
    <cellStyle name="Normal 4 3 8 2 2" xfId="29227"/>
    <cellStyle name="Normal 4 3 8 3" xfId="31854"/>
    <cellStyle name="Normal 4 3 9" xfId="8689"/>
    <cellStyle name="Normal 4 3 9 2" xfId="17314"/>
    <cellStyle name="Normal 4 3 9 2 2" xfId="30667"/>
    <cellStyle name="Normal 4 3 9 3" xfId="23219"/>
    <cellStyle name="Normal 4 4" xfId="7582"/>
    <cellStyle name="Normal 4 4 10" xfId="32935"/>
    <cellStyle name="Normal 4 4 11" xfId="32995"/>
    <cellStyle name="Normal 4 4 2" xfId="7583"/>
    <cellStyle name="Normal 4 4 2 2" xfId="7584"/>
    <cellStyle name="Normal 4 4 2 2 2" xfId="17048"/>
    <cellStyle name="Normal 4 4 2 2 2 2" xfId="30448"/>
    <cellStyle name="Normal 4 4 2 2 3" xfId="31857"/>
    <cellStyle name="Normal 4 4 2 3" xfId="10222"/>
    <cellStyle name="Normal 4 4 2 4" xfId="31856"/>
    <cellStyle name="Normal 4 4 2 5" xfId="32965"/>
    <cellStyle name="Normal 4 4 2 6" xfId="33023"/>
    <cellStyle name="Normal 4 4 3" xfId="7585"/>
    <cellStyle name="Normal 4 4 3 2" xfId="11587"/>
    <cellStyle name="Normal 4 4 3 2 2" xfId="25418"/>
    <cellStyle name="Normal 4 4 3 3" xfId="31858"/>
    <cellStyle name="Normal 4 4 4" xfId="7586"/>
    <cellStyle name="Normal 4 4 4 2" xfId="13278"/>
    <cellStyle name="Normal 4 4 4 2 2" xfId="26908"/>
    <cellStyle name="Normal 4 4 4 3" xfId="31859"/>
    <cellStyle name="Normal 4 4 5" xfId="7587"/>
    <cellStyle name="Normal 4 4 5 2" xfId="15714"/>
    <cellStyle name="Normal 4 4 5 2 2" xfId="29200"/>
    <cellStyle name="Normal 4 4 5 3" xfId="31860"/>
    <cellStyle name="Normal 4 4 6" xfId="7588"/>
    <cellStyle name="Normal 4 4 6 2" xfId="15821"/>
    <cellStyle name="Normal 4 4 6 2 2" xfId="29228"/>
    <cellStyle name="Normal 4 4 6 3" xfId="31861"/>
    <cellStyle name="Normal 4 4 7" xfId="8704"/>
    <cellStyle name="Normal 4 4 7 2" xfId="17322"/>
    <cellStyle name="Normal 4 4 7 2 2" xfId="30675"/>
    <cellStyle name="Normal 4 4 7 3" xfId="23227"/>
    <cellStyle name="Normal 4 4 8" xfId="8806"/>
    <cellStyle name="Normal 4 4 8 2" xfId="23284"/>
    <cellStyle name="Normal 4 4 9" xfId="31855"/>
    <cellStyle name="Normal 4 5" xfId="7589"/>
    <cellStyle name="Normal 4 5 10" xfId="7590"/>
    <cellStyle name="Normal 4 5 10 2" xfId="16421"/>
    <cellStyle name="Normal 4 5 10 2 2" xfId="29828"/>
    <cellStyle name="Normal 4 5 10 3" xfId="31863"/>
    <cellStyle name="Normal 4 5 11" xfId="8692"/>
    <cellStyle name="Normal 4 5 11 2" xfId="17317"/>
    <cellStyle name="Normal 4 5 11 2 2" xfId="30670"/>
    <cellStyle name="Normal 4 5 11 3" xfId="23222"/>
    <cellStyle name="Normal 4 5 12" xfId="8801"/>
    <cellStyle name="Normal 4 5 12 2" xfId="23279"/>
    <cellStyle name="Normal 4 5 13" xfId="31862"/>
    <cellStyle name="Normal 4 5 14" xfId="32930"/>
    <cellStyle name="Normal 4 5 15" xfId="32990"/>
    <cellStyle name="Normal 4 5 2" xfId="7591"/>
    <cellStyle name="Normal 4 5 2 2" xfId="7592"/>
    <cellStyle name="Normal 4 5 2 2 2" xfId="11589"/>
    <cellStyle name="Normal 4 5 2 2 2 2" xfId="25420"/>
    <cellStyle name="Normal 4 5 2 2 3" xfId="31865"/>
    <cellStyle name="Normal 4 5 2 3" xfId="7593"/>
    <cellStyle name="Normal 4 5 2 3 2" xfId="13280"/>
    <cellStyle name="Normal 4 5 2 3 2 2" xfId="26910"/>
    <cellStyle name="Normal 4 5 2 3 3" xfId="31866"/>
    <cellStyle name="Normal 4 5 2 4" xfId="7594"/>
    <cellStyle name="Normal 4 5 2 4 2" xfId="15716"/>
    <cellStyle name="Normal 4 5 2 4 2 2" xfId="29202"/>
    <cellStyle name="Normal 4 5 2 4 3" xfId="31867"/>
    <cellStyle name="Normal 4 5 2 5" xfId="7595"/>
    <cellStyle name="Normal 4 5 2 5 2" xfId="17002"/>
    <cellStyle name="Normal 4 5 2 5 2 2" xfId="30409"/>
    <cellStyle name="Normal 4 5 2 5 3" xfId="31868"/>
    <cellStyle name="Normal 4 5 2 6" xfId="10223"/>
    <cellStyle name="Normal 4 5 2 6 2" xfId="24418"/>
    <cellStyle name="Normal 4 5 2 7" xfId="31864"/>
    <cellStyle name="Normal 4 5 2 8" xfId="32966"/>
    <cellStyle name="Normal 4 5 2 9" xfId="33024"/>
    <cellStyle name="Normal 4 5 3" xfId="7596"/>
    <cellStyle name="Normal 4 5 3 2" xfId="11588"/>
    <cellStyle name="Normal 4 5 3 2 2" xfId="25419"/>
    <cellStyle name="Normal 4 5 3 3" xfId="31869"/>
    <cellStyle name="Normal 4 5 4" xfId="7597"/>
    <cellStyle name="Normal 4 5 4 2" xfId="12390"/>
    <cellStyle name="Normal 4 5 4 2 2" xfId="26102"/>
    <cellStyle name="Normal 4 5 4 3" xfId="31870"/>
    <cellStyle name="Normal 4 5 5" xfId="7598"/>
    <cellStyle name="Normal 4 5 5 2" xfId="13279"/>
    <cellStyle name="Normal 4 5 5 2 2" xfId="26909"/>
    <cellStyle name="Normal 4 5 5 3" xfId="31871"/>
    <cellStyle name="Normal 4 5 6" xfId="7599"/>
    <cellStyle name="Normal 4 5 6 2" xfId="13954"/>
    <cellStyle name="Normal 4 5 6 2 2" xfId="27503"/>
    <cellStyle name="Normal 4 5 6 3" xfId="31872"/>
    <cellStyle name="Normal 4 5 7" xfId="7600"/>
    <cellStyle name="Normal 4 5 7 2" xfId="14535"/>
    <cellStyle name="Normal 4 5 7 2 2" xfId="28084"/>
    <cellStyle name="Normal 4 5 7 3" xfId="31873"/>
    <cellStyle name="Normal 4 5 8" xfId="7601"/>
    <cellStyle name="Normal 4 5 8 2" xfId="15715"/>
    <cellStyle name="Normal 4 5 8 2 2" xfId="29201"/>
    <cellStyle name="Normal 4 5 8 3" xfId="31874"/>
    <cellStyle name="Normal 4 5 9" xfId="7602"/>
    <cellStyle name="Normal 4 5 9 2" xfId="15822"/>
    <cellStyle name="Normal 4 5 9 2 2" xfId="29229"/>
    <cellStyle name="Normal 4 5 9 3" xfId="31875"/>
    <cellStyle name="Normal 4 6" xfId="7603"/>
    <cellStyle name="Normal 4 6 2" xfId="7604"/>
    <cellStyle name="Normal 4 6 2 2" xfId="10225"/>
    <cellStyle name="Normal 4 6 2 3" xfId="32967"/>
    <cellStyle name="Normal 4 6 3" xfId="7605"/>
    <cellStyle name="Normal 4 6 3 2" xfId="11729"/>
    <cellStyle name="Normal 4 6 3 2 2" xfId="25448"/>
    <cellStyle name="Normal 4 6 3 3" xfId="31876"/>
    <cellStyle name="Normal 4 6 4" xfId="7606"/>
    <cellStyle name="Normal 4 6 4 2" xfId="17346"/>
    <cellStyle name="Normal 4 6 4 3" xfId="31877"/>
    <cellStyle name="Normal 4 6 5" xfId="8742"/>
    <cellStyle name="Normal 4 6 6" xfId="10224"/>
    <cellStyle name="Normal 4 6 7" xfId="32919"/>
    <cellStyle name="Normal 4 6 8" xfId="32979"/>
    <cellStyle name="Normal 4 7" xfId="7607"/>
    <cellStyle name="Normal 4 7 2" xfId="7608"/>
    <cellStyle name="Normal 4 7 2 2" xfId="13281"/>
    <cellStyle name="Normal 4 7 2 2 2" xfId="26911"/>
    <cellStyle name="Normal 4 7 2 3" xfId="31879"/>
    <cellStyle name="Normal 4 7 3" xfId="7609"/>
    <cellStyle name="Normal 4 7 3 2" xfId="15717"/>
    <cellStyle name="Normal 4 7 3 2 2" xfId="29203"/>
    <cellStyle name="Normal 4 7 3 3" xfId="31880"/>
    <cellStyle name="Normal 4 7 4" xfId="11584"/>
    <cellStyle name="Normal 4 7 4 2" xfId="25415"/>
    <cellStyle name="Normal 4 7 5" xfId="31878"/>
    <cellStyle name="Normal 4 7 6" xfId="32944"/>
    <cellStyle name="Normal 4 7 7" xfId="33002"/>
    <cellStyle name="Normal 4 8" xfId="7610"/>
    <cellStyle name="Normal 4 8 2" xfId="15818"/>
    <cellStyle name="Normal 4 8 2 2" xfId="29225"/>
    <cellStyle name="Normal 4 8 3" xfId="31881"/>
    <cellStyle name="Normal 4 8 4" xfId="32962"/>
    <cellStyle name="Normal 4 8 5" xfId="33020"/>
    <cellStyle name="Normal 4 9" xfId="8681"/>
    <cellStyle name="Normal 4 9 2" xfId="17306"/>
    <cellStyle name="Normal 4 9 2 2" xfId="30659"/>
    <cellStyle name="Normal 4 9 3" xfId="23211"/>
    <cellStyle name="Normal 5" xfId="7611"/>
    <cellStyle name="Normal 5 10" xfId="7612"/>
    <cellStyle name="Normal 5 10 2" xfId="15823"/>
    <cellStyle name="Normal 5 10 2 2" xfId="29230"/>
    <cellStyle name="Normal 5 10 3" xfId="31882"/>
    <cellStyle name="Normal 5 11" xfId="8682"/>
    <cellStyle name="Normal 5 11 2" xfId="17307"/>
    <cellStyle name="Normal 5 11 2 2" xfId="30660"/>
    <cellStyle name="Normal 5 11 3" xfId="23212"/>
    <cellStyle name="Normal 5 12" xfId="8791"/>
    <cellStyle name="Normal 5 12 2" xfId="23269"/>
    <cellStyle name="Normal 5 2" xfId="7613"/>
    <cellStyle name="Normal 5 2 10" xfId="32984"/>
    <cellStyle name="Normal 5 2 11" xfId="33041"/>
    <cellStyle name="Normal 5 2 2" xfId="7614"/>
    <cellStyle name="Normal 5 2 2 2" xfId="11591"/>
    <cellStyle name="Normal 5 2 2 2 2" xfId="25422"/>
    <cellStyle name="Normal 5 2 2 3" xfId="31883"/>
    <cellStyle name="Normal 5 2 2 4" xfId="32969"/>
    <cellStyle name="Normal 5 2 2 5" xfId="33026"/>
    <cellStyle name="Normal 5 2 3" xfId="7615"/>
    <cellStyle name="Normal 5 2 3 2" xfId="13283"/>
    <cellStyle name="Normal 5 2 3 2 2" xfId="26913"/>
    <cellStyle name="Normal 5 2 3 3" xfId="31884"/>
    <cellStyle name="Normal 5 2 4" xfId="7616"/>
    <cellStyle name="Normal 5 2 4 2" xfId="15719"/>
    <cellStyle name="Normal 5 2 4 2 2" xfId="29205"/>
    <cellStyle name="Normal 5 2 4 3" xfId="31885"/>
    <cellStyle name="Normal 5 2 5" xfId="7617"/>
    <cellStyle name="Normal 5 2 5 2" xfId="15824"/>
    <cellStyle name="Normal 5 2 5 2 2" xfId="29231"/>
    <cellStyle name="Normal 5 2 5 3" xfId="31886"/>
    <cellStyle name="Normal 5 2 6" xfId="7618"/>
    <cellStyle name="Normal 5 2 6 2" xfId="17049"/>
    <cellStyle name="Normal 5 2 7" xfId="8686"/>
    <cellStyle name="Normal 5 2 7 2" xfId="17311"/>
    <cellStyle name="Normal 5 2 7 2 2" xfId="30664"/>
    <cellStyle name="Normal 5 2 7 3" xfId="23216"/>
    <cellStyle name="Normal 5 2 8" xfId="8795"/>
    <cellStyle name="Normal 5 2 8 2" xfId="23273"/>
    <cellStyle name="Normal 5 2 9" xfId="32924"/>
    <cellStyle name="Normal 5 3" xfId="7619"/>
    <cellStyle name="Normal 5 3 10" xfId="32988"/>
    <cellStyle name="Normal 5 3 2" xfId="7620"/>
    <cellStyle name="Normal 5 3 2 2" xfId="11592"/>
    <cellStyle name="Normal 5 3 2 2 2" xfId="25423"/>
    <cellStyle name="Normal 5 3 2 3" xfId="31888"/>
    <cellStyle name="Normal 5 3 2 4" xfId="32970"/>
    <cellStyle name="Normal 5 3 2 5" xfId="33027"/>
    <cellStyle name="Normal 5 3 3" xfId="7621"/>
    <cellStyle name="Normal 5 3 3 2" xfId="13284"/>
    <cellStyle name="Normal 5 3 3 2 2" xfId="26914"/>
    <cellStyle name="Normal 5 3 3 3" xfId="31889"/>
    <cellStyle name="Normal 5 3 4" xfId="7622"/>
    <cellStyle name="Normal 5 3 4 2" xfId="15720"/>
    <cellStyle name="Normal 5 3 4 2 2" xfId="29206"/>
    <cellStyle name="Normal 5 3 4 3" xfId="31890"/>
    <cellStyle name="Normal 5 3 5" xfId="7623"/>
    <cellStyle name="Normal 5 3 5 2" xfId="15825"/>
    <cellStyle name="Normal 5 3 5 2 2" xfId="29232"/>
    <cellStyle name="Normal 5 3 5 3" xfId="31891"/>
    <cellStyle name="Normal 5 3 6" xfId="8690"/>
    <cellStyle name="Normal 5 3 6 2" xfId="17315"/>
    <cellStyle name="Normal 5 3 6 2 2" xfId="30668"/>
    <cellStyle name="Normal 5 3 6 3" xfId="23220"/>
    <cellStyle name="Normal 5 3 7" xfId="8799"/>
    <cellStyle name="Normal 5 3 7 2" xfId="23277"/>
    <cellStyle name="Normal 5 3 8" xfId="31887"/>
    <cellStyle name="Normal 5 3 9" xfId="32928"/>
    <cellStyle name="Normal 5 4" xfId="7624"/>
    <cellStyle name="Normal 5 4 10" xfId="32996"/>
    <cellStyle name="Normal 5 4 2" xfId="7625"/>
    <cellStyle name="Normal 5 4 2 2" xfId="11593"/>
    <cellStyle name="Normal 5 4 2 2 2" xfId="25424"/>
    <cellStyle name="Normal 5 4 2 3" xfId="31893"/>
    <cellStyle name="Normal 5 4 2 4" xfId="32971"/>
    <cellStyle name="Normal 5 4 2 5" xfId="33028"/>
    <cellStyle name="Normal 5 4 3" xfId="7626"/>
    <cellStyle name="Normal 5 4 3 2" xfId="13285"/>
    <cellStyle name="Normal 5 4 3 2 2" xfId="26915"/>
    <cellStyle name="Normal 5 4 3 3" xfId="31894"/>
    <cellStyle name="Normal 5 4 4" xfId="7627"/>
    <cellStyle name="Normal 5 4 4 2" xfId="15721"/>
    <cellStyle name="Normal 5 4 4 2 2" xfId="29207"/>
    <cellStyle name="Normal 5 4 4 3" xfId="31895"/>
    <cellStyle name="Normal 5 4 5" xfId="7628"/>
    <cellStyle name="Normal 5 4 5 2" xfId="15826"/>
    <cellStyle name="Normal 5 4 5 2 2" xfId="29233"/>
    <cellStyle name="Normal 5 4 5 3" xfId="31896"/>
    <cellStyle name="Normal 5 4 6" xfId="8705"/>
    <cellStyle name="Normal 5 4 6 2" xfId="17323"/>
    <cellStyle name="Normal 5 4 6 2 2" xfId="30676"/>
    <cellStyle name="Normal 5 4 6 3" xfId="23228"/>
    <cellStyle name="Normal 5 4 7" xfId="8807"/>
    <cellStyle name="Normal 5 4 7 2" xfId="23285"/>
    <cellStyle name="Normal 5 4 8" xfId="31892"/>
    <cellStyle name="Normal 5 4 9" xfId="32936"/>
    <cellStyle name="Normal 5 5" xfId="7629"/>
    <cellStyle name="Normal 5 5 10" xfId="32991"/>
    <cellStyle name="Normal 5 5 2" xfId="7630"/>
    <cellStyle name="Normal 5 5 2 2" xfId="11594"/>
    <cellStyle name="Normal 5 5 2 2 2" xfId="25425"/>
    <cellStyle name="Normal 5 5 2 3" xfId="31898"/>
    <cellStyle name="Normal 5 5 2 4" xfId="32972"/>
    <cellStyle name="Normal 5 5 2 5" xfId="33029"/>
    <cellStyle name="Normal 5 5 3" xfId="7631"/>
    <cellStyle name="Normal 5 5 3 2" xfId="13286"/>
    <cellStyle name="Normal 5 5 3 2 2" xfId="26916"/>
    <cellStyle name="Normal 5 5 3 3" xfId="31899"/>
    <cellStyle name="Normal 5 5 4" xfId="7632"/>
    <cellStyle name="Normal 5 5 4 2" xfId="15722"/>
    <cellStyle name="Normal 5 5 4 2 2" xfId="29208"/>
    <cellStyle name="Normal 5 5 4 3" xfId="31900"/>
    <cellStyle name="Normal 5 5 5" xfId="7633"/>
    <cellStyle name="Normal 5 5 5 2" xfId="15827"/>
    <cellStyle name="Normal 5 5 5 2 2" xfId="29234"/>
    <cellStyle name="Normal 5 5 5 3" xfId="31901"/>
    <cellStyle name="Normal 5 5 6" xfId="8695"/>
    <cellStyle name="Normal 5 5 6 2" xfId="17318"/>
    <cellStyle name="Normal 5 5 6 2 2" xfId="30671"/>
    <cellStyle name="Normal 5 5 6 3" xfId="23223"/>
    <cellStyle name="Normal 5 5 7" xfId="8802"/>
    <cellStyle name="Normal 5 5 7 2" xfId="23280"/>
    <cellStyle name="Normal 5 5 8" xfId="31897"/>
    <cellStyle name="Normal 5 5 9" xfId="32931"/>
    <cellStyle name="Normal 5 6" xfId="7634"/>
    <cellStyle name="Normal 5 6 2" xfId="7635"/>
    <cellStyle name="Normal 5 6 2 2" xfId="11691"/>
    <cellStyle name="Normal 5 6 2 2 2" xfId="25428"/>
    <cellStyle name="Normal 5 6 2 3" xfId="31903"/>
    <cellStyle name="Normal 5 6 2 4" xfId="32973"/>
    <cellStyle name="Normal 5 6 3" xfId="7636"/>
    <cellStyle name="Normal 5 6 3 2" xfId="17347"/>
    <cellStyle name="Normal 5 6 3 3" xfId="31904"/>
    <cellStyle name="Normal 5 6 4" xfId="8743"/>
    <cellStyle name="Normal 5 6 5" xfId="10226"/>
    <cellStyle name="Normal 5 6 6" xfId="31902"/>
    <cellStyle name="Normal 5 6 7" xfId="32920"/>
    <cellStyle name="Normal 5 6 8" xfId="32980"/>
    <cellStyle name="Normal 5 7" xfId="7637"/>
    <cellStyle name="Normal 5 7 2" xfId="7638"/>
    <cellStyle name="Normal 5 7 2 2" xfId="13287"/>
    <cellStyle name="Normal 5 7 2 2 2" xfId="26917"/>
    <cellStyle name="Normal 5 7 2 3" xfId="31906"/>
    <cellStyle name="Normal 5 7 3" xfId="7639"/>
    <cellStyle name="Normal 5 7 3 2" xfId="15723"/>
    <cellStyle name="Normal 5 7 3 2 2" xfId="29209"/>
    <cellStyle name="Normal 5 7 3 3" xfId="31907"/>
    <cellStyle name="Normal 5 7 4" xfId="11590"/>
    <cellStyle name="Normal 5 7 4 2" xfId="25421"/>
    <cellStyle name="Normal 5 7 5" xfId="31905"/>
    <cellStyle name="Normal 5 7 6" xfId="32968"/>
    <cellStyle name="Normal 5 7 7" xfId="33025"/>
    <cellStyle name="Normal 5 8" xfId="7640"/>
    <cellStyle name="Normal 5 8 2" xfId="13282"/>
    <cellStyle name="Normal 5 8 2 2" xfId="26912"/>
    <cellStyle name="Normal 5 8 3" xfId="31908"/>
    <cellStyle name="Normal 5 9" xfId="7641"/>
    <cellStyle name="Normal 5 9 2" xfId="15718"/>
    <cellStyle name="Normal 5 9 2 2" xfId="29204"/>
    <cellStyle name="Normal 5 9 3" xfId="31909"/>
    <cellStyle name="Normal 55" xfId="7642"/>
    <cellStyle name="Normal 55 2" xfId="7643"/>
    <cellStyle name="Normal 55 2 2" xfId="7644"/>
    <cellStyle name="Normal 55 2 2 2" xfId="17050"/>
    <cellStyle name="Normal 55 2 2 2 2" xfId="30449"/>
    <cellStyle name="Normal 55 2 2 3" xfId="31912"/>
    <cellStyle name="Normal 55 2 3" xfId="11595"/>
    <cellStyle name="Normal 55 2 3 2" xfId="25426"/>
    <cellStyle name="Normal 55 2 4" xfId="31911"/>
    <cellStyle name="Normal 55 3" xfId="7645"/>
    <cellStyle name="Normal 55 3 2" xfId="7646"/>
    <cellStyle name="Normal 55 3 2 2" xfId="17005"/>
    <cellStyle name="Normal 55 3 2 2 2" xfId="30412"/>
    <cellStyle name="Normal 55 3 2 3" xfId="31914"/>
    <cellStyle name="Normal 55 3 3" xfId="12394"/>
    <cellStyle name="Normal 55 3 3 2" xfId="26106"/>
    <cellStyle name="Normal 55 3 4" xfId="31913"/>
    <cellStyle name="Normal 55 4" xfId="7647"/>
    <cellStyle name="Normal 55 4 2" xfId="13957"/>
    <cellStyle name="Normal 55 4 2 2" xfId="27506"/>
    <cellStyle name="Normal 55 4 3" xfId="31915"/>
    <cellStyle name="Normal 55 5" xfId="7648"/>
    <cellStyle name="Normal 55 5 2" xfId="14538"/>
    <cellStyle name="Normal 55 5 2 2" xfId="28087"/>
    <cellStyle name="Normal 55 5 3" xfId="31916"/>
    <cellStyle name="Normal 55 6" xfId="7649"/>
    <cellStyle name="Normal 55 6 2" xfId="16424"/>
    <cellStyle name="Normal 55 6 2 2" xfId="29831"/>
    <cellStyle name="Normal 55 6 3" xfId="31917"/>
    <cellStyle name="Normal 55 7" xfId="10227"/>
    <cellStyle name="Normal 55 7 2" xfId="24419"/>
    <cellStyle name="Normal 55 8" xfId="31910"/>
    <cellStyle name="Normal 6" xfId="7650"/>
    <cellStyle name="Normal 6 2" xfId="7651"/>
    <cellStyle name="Normal 6 2 2" xfId="7652"/>
    <cellStyle name="Normal 6 2 2 2" xfId="10229"/>
    <cellStyle name="Normal 6 2 2 3" xfId="31918"/>
    <cellStyle name="Normal 6 2 2 4" xfId="33094"/>
    <cellStyle name="Normal 6 2 3" xfId="7653"/>
    <cellStyle name="Normal 6 2 3 2" xfId="17348"/>
    <cellStyle name="Normal 6 2 3 3" xfId="31919"/>
    <cellStyle name="Normal 6 2 4" xfId="8744"/>
    <cellStyle name="Normal 6 2 5" xfId="10228"/>
    <cellStyle name="Normal 6 2 6" xfId="33042"/>
    <cellStyle name="Normal 6 3" xfId="7654"/>
    <cellStyle name="Normal 6 3 2" xfId="7655"/>
    <cellStyle name="Normal 6 3 2 2" xfId="17371"/>
    <cellStyle name="Normal 6 3 2 3" xfId="31920"/>
    <cellStyle name="Normal 6 3 3" xfId="8745"/>
    <cellStyle name="Normal 6 3 4" xfId="11596"/>
    <cellStyle name="Normal 6 3 5" xfId="33087"/>
    <cellStyle name="Normal 6 4" xfId="8707"/>
    <cellStyle name="Normal 7" xfId="7656"/>
    <cellStyle name="Normal 7 2" xfId="7657"/>
    <cellStyle name="Normal 7 2 2" xfId="7658"/>
    <cellStyle name="Normal 7 2 2 2" xfId="11732"/>
    <cellStyle name="Normal 7 2 2 3" xfId="31923"/>
    <cellStyle name="Normal 7 2 3" xfId="7659"/>
    <cellStyle name="Normal 7 2 3 2" xfId="17349"/>
    <cellStyle name="Normal 7 2 3 3" xfId="31924"/>
    <cellStyle name="Normal 7 2 4" xfId="8746"/>
    <cellStyle name="Normal 7 2 5" xfId="10230"/>
    <cellStyle name="Normal 7 2 6" xfId="31922"/>
    <cellStyle name="Normal 7 3" xfId="7660"/>
    <cellStyle name="Normal 7 3 2" xfId="11597"/>
    <cellStyle name="Normal 7 3 3" xfId="31925"/>
    <cellStyle name="Normal 7 4" xfId="8698"/>
    <cellStyle name="Normal 7 5" xfId="31921"/>
    <cellStyle name="Normal 8" xfId="7661"/>
    <cellStyle name="Normal 8 2" xfId="7662"/>
    <cellStyle name="Normal 8 2 2" xfId="7663"/>
    <cellStyle name="Normal 8 2 2 2" xfId="17350"/>
    <cellStyle name="Normal 8 2 3" xfId="8747"/>
    <cellStyle name="Normal 8 2 4" xfId="10231"/>
    <cellStyle name="Normal 8 3" xfId="7664"/>
    <cellStyle name="Normal 8 3 2" xfId="7665"/>
    <cellStyle name="Normal 8 3 2 2" xfId="11737"/>
    <cellStyle name="Normal 8 3 2 3" xfId="31927"/>
    <cellStyle name="Normal 8 3 3" xfId="10232"/>
    <cellStyle name="Normal 8 3 4" xfId="31926"/>
    <cellStyle name="Normal 8 4" xfId="7666"/>
    <cellStyle name="Normal 8 4 2" xfId="11598"/>
    <cellStyle name="Normal 8 4 3" xfId="31928"/>
    <cellStyle name="Normal 8 5" xfId="8708"/>
    <cellStyle name="Normal 9" xfId="7667"/>
    <cellStyle name="Normal 9 2" xfId="7668"/>
    <cellStyle name="Normal 9 2 2" xfId="7669"/>
    <cellStyle name="Normal 9 2 2 2" xfId="7670"/>
    <cellStyle name="Normal 9 2 2 2 2" xfId="17051"/>
    <cellStyle name="Normal 9 2 2 2 2 2" xfId="30450"/>
    <cellStyle name="Normal 9 2 2 2 3" xfId="31931"/>
    <cellStyle name="Normal 9 2 2 3" xfId="11599"/>
    <cellStyle name="Normal 9 2 2 3 2" xfId="25427"/>
    <cellStyle name="Normal 9 2 2 4" xfId="31930"/>
    <cellStyle name="Normal 9 2 3" xfId="7671"/>
    <cellStyle name="Normal 9 2 3 2" xfId="7672"/>
    <cellStyle name="Normal 9 2 3 2 2" xfId="17003"/>
    <cellStyle name="Normal 9 2 3 2 2 2" xfId="30410"/>
    <cellStyle name="Normal 9 2 3 2 3" xfId="31933"/>
    <cellStyle name="Normal 9 2 3 3" xfId="12392"/>
    <cellStyle name="Normal 9 2 3 3 2" xfId="26104"/>
    <cellStyle name="Normal 9 2 3 4" xfId="31932"/>
    <cellStyle name="Normal 9 2 4" xfId="7673"/>
    <cellStyle name="Normal 9 2 4 2" xfId="13955"/>
    <cellStyle name="Normal 9 2 4 2 2" xfId="27504"/>
    <cellStyle name="Normal 9 2 4 3" xfId="31934"/>
    <cellStyle name="Normal 9 2 5" xfId="7674"/>
    <cellStyle name="Normal 9 2 5 2" xfId="14536"/>
    <cellStyle name="Normal 9 2 5 2 2" xfId="28085"/>
    <cellStyle name="Normal 9 2 5 3" xfId="31935"/>
    <cellStyle name="Normal 9 2 6" xfId="7675"/>
    <cellStyle name="Normal 9 2 6 2" xfId="16422"/>
    <cellStyle name="Normal 9 2 6 2 2" xfId="29829"/>
    <cellStyle name="Normal 9 2 6 3" xfId="31936"/>
    <cellStyle name="Normal 9 2 7" xfId="10234"/>
    <cellStyle name="Normal 9 2 7 2" xfId="24420"/>
    <cellStyle name="Normal 9 2 8" xfId="31929"/>
    <cellStyle name="Normal 9 3" xfId="7676"/>
    <cellStyle name="Normal 9 3 2" xfId="10233"/>
    <cellStyle name="Normal 9 3 3" xfId="31937"/>
    <cellStyle name="Normal 9 4" xfId="8666"/>
    <cellStyle name="Normal_Sheet1" xfId="33111"/>
    <cellStyle name="Note" xfId="33035" builtinId="10" customBuiltin="1"/>
    <cellStyle name="Note 2" xfId="7677"/>
    <cellStyle name="Note 2 10" xfId="7678"/>
    <cellStyle name="Note 2 10 2" xfId="7679"/>
    <cellStyle name="Note 2 10 2 2" xfId="13289"/>
    <cellStyle name="Note 2 10 2 3" xfId="31940"/>
    <cellStyle name="Note 2 10 3" xfId="7680"/>
    <cellStyle name="Note 2 10 3 2" xfId="13288"/>
    <cellStyle name="Note 2 10 3 2 2" xfId="26918"/>
    <cellStyle name="Note 2 10 3 3" xfId="31941"/>
    <cellStyle name="Note 2 10 4" xfId="7681"/>
    <cellStyle name="Note 2 10 4 2" xfId="17111"/>
    <cellStyle name="Note 2 10 4 2 2" xfId="30470"/>
    <cellStyle name="Note 2 10 4 3" xfId="31942"/>
    <cellStyle name="Note 2 10 5" xfId="10236"/>
    <cellStyle name="Note 2 10 6" xfId="31939"/>
    <cellStyle name="Note 2 11" xfId="7682"/>
    <cellStyle name="Note 2 11 2" xfId="7683"/>
    <cellStyle name="Note 2 11 2 2" xfId="17200"/>
    <cellStyle name="Note 2 11 2 2 2" xfId="30559"/>
    <cellStyle name="Note 2 11 2 3" xfId="31944"/>
    <cellStyle name="Note 2 11 3" xfId="10237"/>
    <cellStyle name="Note 2 11 4" xfId="31943"/>
    <cellStyle name="Note 2 12" xfId="7684"/>
    <cellStyle name="Note 2 12 2" xfId="7685"/>
    <cellStyle name="Note 2 12 2 2" xfId="7686"/>
    <cellStyle name="Note 2 12 2 2 2" xfId="11602"/>
    <cellStyle name="Note 2 12 2 2 3" xfId="31947"/>
    <cellStyle name="Note 2 12 2 3" xfId="10239"/>
    <cellStyle name="Note 2 12 2 4" xfId="31946"/>
    <cellStyle name="Note 2 12 3" xfId="7687"/>
    <cellStyle name="Note 2 12 3 2" xfId="11601"/>
    <cellStyle name="Note 2 12 3 3" xfId="31948"/>
    <cellStyle name="Note 2 12 4" xfId="7688"/>
    <cellStyle name="Note 2 12 4 2" xfId="17289"/>
    <cellStyle name="Note 2 12 4 2 2" xfId="30648"/>
    <cellStyle name="Note 2 12 4 3" xfId="31949"/>
    <cellStyle name="Note 2 12 5" xfId="10238"/>
    <cellStyle name="Note 2 12 6" xfId="31945"/>
    <cellStyle name="Note 2 13" xfId="7689"/>
    <cellStyle name="Note 2 13 2" xfId="7690"/>
    <cellStyle name="Note 2 13 2 2" xfId="16441"/>
    <cellStyle name="Note 2 13 2 2 2" xfId="29848"/>
    <cellStyle name="Note 2 13 2 3" xfId="31951"/>
    <cellStyle name="Note 2 13 3" xfId="10240"/>
    <cellStyle name="Note 2 13 4" xfId="31950"/>
    <cellStyle name="Note 2 14" xfId="7691"/>
    <cellStyle name="Note 2 14 2" xfId="7692"/>
    <cellStyle name="Note 2 14 2 2" xfId="11603"/>
    <cellStyle name="Note 2 14 2 3" xfId="31953"/>
    <cellStyle name="Note 2 14 3" xfId="10241"/>
    <cellStyle name="Note 2 14 4" xfId="31952"/>
    <cellStyle name="Note 2 15" xfId="7693"/>
    <cellStyle name="Note 2 15 2" xfId="7694"/>
    <cellStyle name="Note 2 15 2 2" xfId="11604"/>
    <cellStyle name="Note 2 15 2 3" xfId="31955"/>
    <cellStyle name="Note 2 15 3" xfId="10242"/>
    <cellStyle name="Note 2 15 4" xfId="31954"/>
    <cellStyle name="Note 2 16" xfId="7695"/>
    <cellStyle name="Note 2 16 2" xfId="7696"/>
    <cellStyle name="Note 2 16 2 2" xfId="11605"/>
    <cellStyle name="Note 2 16 2 3" xfId="31957"/>
    <cellStyle name="Note 2 16 3" xfId="10243"/>
    <cellStyle name="Note 2 16 4" xfId="31956"/>
    <cellStyle name="Note 2 17" xfId="7697"/>
    <cellStyle name="Note 2 17 2" xfId="7698"/>
    <cellStyle name="Note 2 17 2 2" xfId="11606"/>
    <cellStyle name="Note 2 17 2 3" xfId="31959"/>
    <cellStyle name="Note 2 17 3" xfId="10244"/>
    <cellStyle name="Note 2 17 4" xfId="31958"/>
    <cellStyle name="Note 2 18" xfId="7699"/>
    <cellStyle name="Note 2 18 2" xfId="7700"/>
    <cellStyle name="Note 2 18 2 2" xfId="11607"/>
    <cellStyle name="Note 2 18 2 3" xfId="31961"/>
    <cellStyle name="Note 2 18 3" xfId="10245"/>
    <cellStyle name="Note 2 18 4" xfId="31960"/>
    <cellStyle name="Note 2 19" xfId="7701"/>
    <cellStyle name="Note 2 19 2" xfId="7702"/>
    <cellStyle name="Note 2 19 2 2" xfId="11608"/>
    <cellStyle name="Note 2 19 2 3" xfId="31963"/>
    <cellStyle name="Note 2 19 3" xfId="10246"/>
    <cellStyle name="Note 2 19 4" xfId="31962"/>
    <cellStyle name="Note 2 2" xfId="7703"/>
    <cellStyle name="Note 2 2 10" xfId="7704"/>
    <cellStyle name="Note 2 2 10 2" xfId="11609"/>
    <cellStyle name="Note 2 2 10 3" xfId="31965"/>
    <cellStyle name="Note 2 2 11" xfId="7705"/>
    <cellStyle name="Note 2 2 11 2" xfId="7706"/>
    <cellStyle name="Note 2 2 11 2 2" xfId="15724"/>
    <cellStyle name="Note 2 2 11 2 3" xfId="31967"/>
    <cellStyle name="Note 2 2 11 3" xfId="11861"/>
    <cellStyle name="Note 2 2 11 3 2" xfId="25576"/>
    <cellStyle name="Note 2 2 11 4" xfId="31966"/>
    <cellStyle name="Note 2 2 12" xfId="7707"/>
    <cellStyle name="Note 2 2 12 2" xfId="13450"/>
    <cellStyle name="Note 2 2 12 2 2" xfId="26999"/>
    <cellStyle name="Note 2 2 12 3" xfId="31968"/>
    <cellStyle name="Note 2 2 13" xfId="7708"/>
    <cellStyle name="Note 2 2 13 2" xfId="14031"/>
    <cellStyle name="Note 2 2 13 2 2" xfId="27580"/>
    <cellStyle name="Note 2 2 13 3" xfId="31969"/>
    <cellStyle name="Note 2 2 14" xfId="7709"/>
    <cellStyle name="Note 2 2 14 2" xfId="15917"/>
    <cellStyle name="Note 2 2 14 2 2" xfId="29324"/>
    <cellStyle name="Note 2 2 14 3" xfId="31970"/>
    <cellStyle name="Note 2 2 15" xfId="10247"/>
    <cellStyle name="Note 2 2 16" xfId="31964"/>
    <cellStyle name="Note 2 2 2" xfId="7710"/>
    <cellStyle name="Note 2 2 2 10" xfId="31971"/>
    <cellStyle name="Note 2 2 2 2" xfId="7711"/>
    <cellStyle name="Note 2 2 2 2 2" xfId="7712"/>
    <cellStyle name="Note 2 2 2 2 2 2" xfId="7713"/>
    <cellStyle name="Note 2 2 2 2 2 2 2" xfId="7714"/>
    <cellStyle name="Note 2 2 2 2 2 2 2 2" xfId="11610"/>
    <cellStyle name="Note 2 2 2 2 2 2 2 3" xfId="31975"/>
    <cellStyle name="Note 2 2 2 2 2 2 3" xfId="7715"/>
    <cellStyle name="Note 2 2 2 2 2 2 3 2" xfId="16976"/>
    <cellStyle name="Note 2 2 2 2 2 2 3 2 2" xfId="30383"/>
    <cellStyle name="Note 2 2 2 2 2 2 3 3" xfId="31976"/>
    <cellStyle name="Note 2 2 2 2 2 2 4" xfId="10251"/>
    <cellStyle name="Note 2 2 2 2 2 2 5" xfId="31974"/>
    <cellStyle name="Note 2 2 2 2 2 3" xfId="7716"/>
    <cellStyle name="Note 2 2 2 2 2 3 2" xfId="7717"/>
    <cellStyle name="Note 2 2 2 2 2 3 2 2" xfId="13290"/>
    <cellStyle name="Note 2 2 2 2 2 3 2 3" xfId="31978"/>
    <cellStyle name="Note 2 2 2 2 2 3 3" xfId="12364"/>
    <cellStyle name="Note 2 2 2 2 2 3 3 2" xfId="26076"/>
    <cellStyle name="Note 2 2 2 2 2 3 4" xfId="31977"/>
    <cellStyle name="Note 2 2 2 2 2 4" xfId="7718"/>
    <cellStyle name="Note 2 2 2 2 2 4 2" xfId="7719"/>
    <cellStyle name="Note 2 2 2 2 2 4 2 2" xfId="15725"/>
    <cellStyle name="Note 2 2 2 2 2 4 2 3" xfId="31980"/>
    <cellStyle name="Note 2 2 2 2 2 4 3" xfId="13928"/>
    <cellStyle name="Note 2 2 2 2 2 4 3 2" xfId="27477"/>
    <cellStyle name="Note 2 2 2 2 2 4 4" xfId="31979"/>
    <cellStyle name="Note 2 2 2 2 2 5" xfId="7720"/>
    <cellStyle name="Note 2 2 2 2 2 5 2" xfId="14509"/>
    <cellStyle name="Note 2 2 2 2 2 5 2 2" xfId="28058"/>
    <cellStyle name="Note 2 2 2 2 2 5 3" xfId="31981"/>
    <cellStyle name="Note 2 2 2 2 2 6" xfId="7721"/>
    <cellStyle name="Note 2 2 2 2 2 6 2" xfId="16395"/>
    <cellStyle name="Note 2 2 2 2 2 6 2 2" xfId="29802"/>
    <cellStyle name="Note 2 2 2 2 2 6 3" xfId="31982"/>
    <cellStyle name="Note 2 2 2 2 2 7" xfId="10250"/>
    <cellStyle name="Note 2 2 2 2 2 8" xfId="31973"/>
    <cellStyle name="Note 2 2 2 2 3" xfId="7722"/>
    <cellStyle name="Note 2 2 2 2 3 2" xfId="7723"/>
    <cellStyle name="Note 2 2 2 2 3 2 2" xfId="11611"/>
    <cellStyle name="Note 2 2 2 2 3 2 3" xfId="31984"/>
    <cellStyle name="Note 2 2 2 2 3 3" xfId="7724"/>
    <cellStyle name="Note 2 2 2 2 3 3 2" xfId="16687"/>
    <cellStyle name="Note 2 2 2 2 3 3 2 2" xfId="30094"/>
    <cellStyle name="Note 2 2 2 2 3 3 3" xfId="31985"/>
    <cellStyle name="Note 2 2 2 2 3 4" xfId="10252"/>
    <cellStyle name="Note 2 2 2 2 3 5" xfId="31983"/>
    <cellStyle name="Note 2 2 2 2 4" xfId="7725"/>
    <cellStyle name="Note 2 2 2 2 4 2" xfId="7726"/>
    <cellStyle name="Note 2 2 2 2 4 2 2" xfId="13291"/>
    <cellStyle name="Note 2 2 2 2 4 2 3" xfId="31987"/>
    <cellStyle name="Note 2 2 2 2 4 3" xfId="12064"/>
    <cellStyle name="Note 2 2 2 2 4 3 2" xfId="25779"/>
    <cellStyle name="Note 2 2 2 2 4 4" xfId="31986"/>
    <cellStyle name="Note 2 2 2 2 5" xfId="7727"/>
    <cellStyle name="Note 2 2 2 2 5 2" xfId="7728"/>
    <cellStyle name="Note 2 2 2 2 5 2 2" xfId="15726"/>
    <cellStyle name="Note 2 2 2 2 5 2 3" xfId="31989"/>
    <cellStyle name="Note 2 2 2 2 5 3" xfId="13639"/>
    <cellStyle name="Note 2 2 2 2 5 3 2" xfId="27188"/>
    <cellStyle name="Note 2 2 2 2 5 4" xfId="31988"/>
    <cellStyle name="Note 2 2 2 2 6" xfId="7729"/>
    <cellStyle name="Note 2 2 2 2 6 2" xfId="14220"/>
    <cellStyle name="Note 2 2 2 2 6 2 2" xfId="27769"/>
    <cellStyle name="Note 2 2 2 2 6 3" xfId="31990"/>
    <cellStyle name="Note 2 2 2 2 7" xfId="7730"/>
    <cellStyle name="Note 2 2 2 2 7 2" xfId="16106"/>
    <cellStyle name="Note 2 2 2 2 7 2 2" xfId="29513"/>
    <cellStyle name="Note 2 2 2 2 7 3" xfId="31991"/>
    <cellStyle name="Note 2 2 2 2 8" xfId="10249"/>
    <cellStyle name="Note 2 2 2 2 9" xfId="31972"/>
    <cellStyle name="Note 2 2 2 3" xfId="7731"/>
    <cellStyle name="Note 2 2 2 3 2" xfId="7732"/>
    <cellStyle name="Note 2 2 2 3 2 2" xfId="7733"/>
    <cellStyle name="Note 2 2 2 3 2 2 2" xfId="11612"/>
    <cellStyle name="Note 2 2 2 3 2 2 3" xfId="31994"/>
    <cellStyle name="Note 2 2 2 3 2 3" xfId="7734"/>
    <cellStyle name="Note 2 2 2 3 2 3 2" xfId="16833"/>
    <cellStyle name="Note 2 2 2 3 2 3 2 2" xfId="30240"/>
    <cellStyle name="Note 2 2 2 3 2 3 3" xfId="31995"/>
    <cellStyle name="Note 2 2 2 3 2 4" xfId="10254"/>
    <cellStyle name="Note 2 2 2 3 2 5" xfId="31993"/>
    <cellStyle name="Note 2 2 2 3 3" xfId="7735"/>
    <cellStyle name="Note 2 2 2 3 3 2" xfId="7736"/>
    <cellStyle name="Note 2 2 2 3 3 2 2" xfId="13292"/>
    <cellStyle name="Note 2 2 2 3 3 2 3" xfId="31997"/>
    <cellStyle name="Note 2 2 2 3 3 3" xfId="12221"/>
    <cellStyle name="Note 2 2 2 3 3 3 2" xfId="25933"/>
    <cellStyle name="Note 2 2 2 3 3 4" xfId="31996"/>
    <cellStyle name="Note 2 2 2 3 4" xfId="7737"/>
    <cellStyle name="Note 2 2 2 3 4 2" xfId="7738"/>
    <cellStyle name="Note 2 2 2 3 4 2 2" xfId="15727"/>
    <cellStyle name="Note 2 2 2 3 4 2 3" xfId="31999"/>
    <cellStyle name="Note 2 2 2 3 4 3" xfId="13785"/>
    <cellStyle name="Note 2 2 2 3 4 3 2" xfId="27334"/>
    <cellStyle name="Note 2 2 2 3 4 4" xfId="31998"/>
    <cellStyle name="Note 2 2 2 3 5" xfId="7739"/>
    <cellStyle name="Note 2 2 2 3 5 2" xfId="14366"/>
    <cellStyle name="Note 2 2 2 3 5 2 2" xfId="27915"/>
    <cellStyle name="Note 2 2 2 3 5 3" xfId="32000"/>
    <cellStyle name="Note 2 2 2 3 6" xfId="7740"/>
    <cellStyle name="Note 2 2 2 3 6 2" xfId="16252"/>
    <cellStyle name="Note 2 2 2 3 6 2 2" xfId="29659"/>
    <cellStyle name="Note 2 2 2 3 6 3" xfId="32001"/>
    <cellStyle name="Note 2 2 2 3 7" xfId="10253"/>
    <cellStyle name="Note 2 2 2 3 8" xfId="31992"/>
    <cellStyle name="Note 2 2 2 4" xfId="7741"/>
    <cellStyle name="Note 2 2 2 4 2" xfId="7742"/>
    <cellStyle name="Note 2 2 2 4 2 2" xfId="11613"/>
    <cellStyle name="Note 2 2 2 4 2 3" xfId="32003"/>
    <cellStyle name="Note 2 2 2 4 3" xfId="7743"/>
    <cellStyle name="Note 2 2 2 4 3 2" xfId="17180"/>
    <cellStyle name="Note 2 2 2 4 3 2 2" xfId="30539"/>
    <cellStyle name="Note 2 2 2 4 3 3" xfId="32004"/>
    <cellStyle name="Note 2 2 2 4 4" xfId="10255"/>
    <cellStyle name="Note 2 2 2 4 5" xfId="32002"/>
    <cellStyle name="Note 2 2 2 5" xfId="7744"/>
    <cellStyle name="Note 2 2 2 5 2" xfId="7745"/>
    <cellStyle name="Note 2 2 2 5 2 2" xfId="13293"/>
    <cellStyle name="Note 2 2 2 5 2 3" xfId="32006"/>
    <cellStyle name="Note 2 2 2 5 3" xfId="7746"/>
    <cellStyle name="Note 2 2 2 5 3 2" xfId="17269"/>
    <cellStyle name="Note 2 2 2 5 3 2 2" xfId="30628"/>
    <cellStyle name="Note 2 2 2 5 3 3" xfId="32007"/>
    <cellStyle name="Note 2 2 2 5 4" xfId="11919"/>
    <cellStyle name="Note 2 2 2 5 4 2" xfId="25634"/>
    <cellStyle name="Note 2 2 2 5 5" xfId="32005"/>
    <cellStyle name="Note 2 2 2 6" xfId="7747"/>
    <cellStyle name="Note 2 2 2 6 2" xfId="7748"/>
    <cellStyle name="Note 2 2 2 6 2 2" xfId="15728"/>
    <cellStyle name="Note 2 2 2 6 2 3" xfId="32009"/>
    <cellStyle name="Note 2 2 2 6 3" xfId="7749"/>
    <cellStyle name="Note 2 2 2 6 3 2" xfId="16544"/>
    <cellStyle name="Note 2 2 2 6 3 2 2" xfId="29951"/>
    <cellStyle name="Note 2 2 2 6 3 3" xfId="32010"/>
    <cellStyle name="Note 2 2 2 6 4" xfId="13496"/>
    <cellStyle name="Note 2 2 2 6 4 2" xfId="27045"/>
    <cellStyle name="Note 2 2 2 6 5" xfId="32008"/>
    <cellStyle name="Note 2 2 2 7" xfId="7750"/>
    <cellStyle name="Note 2 2 2 7 2" xfId="14077"/>
    <cellStyle name="Note 2 2 2 7 2 2" xfId="27626"/>
    <cellStyle name="Note 2 2 2 7 3" xfId="32011"/>
    <cellStyle name="Note 2 2 2 8" xfId="7751"/>
    <cellStyle name="Note 2 2 2 8 2" xfId="15963"/>
    <cellStyle name="Note 2 2 2 8 2 2" xfId="29370"/>
    <cellStyle name="Note 2 2 2 8 3" xfId="32012"/>
    <cellStyle name="Note 2 2 2 9" xfId="10248"/>
    <cellStyle name="Note 2 2 3" xfId="7752"/>
    <cellStyle name="Note 2 2 3 2" xfId="7753"/>
    <cellStyle name="Note 2 2 3 2 2" xfId="7754"/>
    <cellStyle name="Note 2 2 3 2 2 2" xfId="7755"/>
    <cellStyle name="Note 2 2 3 2 2 2 2" xfId="11614"/>
    <cellStyle name="Note 2 2 3 2 2 2 3" xfId="32016"/>
    <cellStyle name="Note 2 2 3 2 2 3" xfId="7756"/>
    <cellStyle name="Note 2 2 3 2 2 3 2" xfId="16930"/>
    <cellStyle name="Note 2 2 3 2 2 3 2 2" xfId="30337"/>
    <cellStyle name="Note 2 2 3 2 2 3 3" xfId="32017"/>
    <cellStyle name="Note 2 2 3 2 2 4" xfId="10258"/>
    <cellStyle name="Note 2 2 3 2 2 5" xfId="32015"/>
    <cellStyle name="Note 2 2 3 2 3" xfId="7757"/>
    <cellStyle name="Note 2 2 3 2 3 2" xfId="7758"/>
    <cellStyle name="Note 2 2 3 2 3 2 2" xfId="13294"/>
    <cellStyle name="Note 2 2 3 2 3 2 3" xfId="32019"/>
    <cellStyle name="Note 2 2 3 2 3 3" xfId="12318"/>
    <cellStyle name="Note 2 2 3 2 3 3 2" xfId="26030"/>
    <cellStyle name="Note 2 2 3 2 3 4" xfId="32018"/>
    <cellStyle name="Note 2 2 3 2 4" xfId="7759"/>
    <cellStyle name="Note 2 2 3 2 4 2" xfId="7760"/>
    <cellStyle name="Note 2 2 3 2 4 2 2" xfId="15729"/>
    <cellStyle name="Note 2 2 3 2 4 2 3" xfId="32021"/>
    <cellStyle name="Note 2 2 3 2 4 3" xfId="13882"/>
    <cellStyle name="Note 2 2 3 2 4 3 2" xfId="27431"/>
    <cellStyle name="Note 2 2 3 2 4 4" xfId="32020"/>
    <cellStyle name="Note 2 2 3 2 5" xfId="7761"/>
    <cellStyle name="Note 2 2 3 2 5 2" xfId="14463"/>
    <cellStyle name="Note 2 2 3 2 5 2 2" xfId="28012"/>
    <cellStyle name="Note 2 2 3 2 5 3" xfId="32022"/>
    <cellStyle name="Note 2 2 3 2 6" xfId="7762"/>
    <cellStyle name="Note 2 2 3 2 6 2" xfId="16349"/>
    <cellStyle name="Note 2 2 3 2 6 2 2" xfId="29756"/>
    <cellStyle name="Note 2 2 3 2 6 3" xfId="32023"/>
    <cellStyle name="Note 2 2 3 2 7" xfId="10257"/>
    <cellStyle name="Note 2 2 3 2 8" xfId="32014"/>
    <cellStyle name="Note 2 2 3 3" xfId="7763"/>
    <cellStyle name="Note 2 2 3 3 2" xfId="7764"/>
    <cellStyle name="Note 2 2 3 3 2 2" xfId="11615"/>
    <cellStyle name="Note 2 2 3 3 2 3" xfId="32025"/>
    <cellStyle name="Note 2 2 3 3 3" xfId="7765"/>
    <cellStyle name="Note 2 2 3 3 3 2" xfId="16641"/>
    <cellStyle name="Note 2 2 3 3 3 2 2" xfId="30048"/>
    <cellStyle name="Note 2 2 3 3 3 3" xfId="32026"/>
    <cellStyle name="Note 2 2 3 3 4" xfId="10259"/>
    <cellStyle name="Note 2 2 3 3 5" xfId="32024"/>
    <cellStyle name="Note 2 2 3 4" xfId="7766"/>
    <cellStyle name="Note 2 2 3 4 2" xfId="7767"/>
    <cellStyle name="Note 2 2 3 4 2 2" xfId="13295"/>
    <cellStyle name="Note 2 2 3 4 2 3" xfId="32028"/>
    <cellStyle name="Note 2 2 3 4 3" xfId="12018"/>
    <cellStyle name="Note 2 2 3 4 3 2" xfId="25733"/>
    <cellStyle name="Note 2 2 3 4 4" xfId="32027"/>
    <cellStyle name="Note 2 2 3 5" xfId="7768"/>
    <cellStyle name="Note 2 2 3 5 2" xfId="7769"/>
    <cellStyle name="Note 2 2 3 5 2 2" xfId="15730"/>
    <cellStyle name="Note 2 2 3 5 2 3" xfId="32030"/>
    <cellStyle name="Note 2 2 3 5 3" xfId="13593"/>
    <cellStyle name="Note 2 2 3 5 3 2" xfId="27142"/>
    <cellStyle name="Note 2 2 3 5 4" xfId="32029"/>
    <cellStyle name="Note 2 2 3 6" xfId="7770"/>
    <cellStyle name="Note 2 2 3 6 2" xfId="14174"/>
    <cellStyle name="Note 2 2 3 6 2 2" xfId="27723"/>
    <cellStyle name="Note 2 2 3 6 3" xfId="32031"/>
    <cellStyle name="Note 2 2 3 7" xfId="7771"/>
    <cellStyle name="Note 2 2 3 7 2" xfId="16060"/>
    <cellStyle name="Note 2 2 3 7 2 2" xfId="29467"/>
    <cellStyle name="Note 2 2 3 7 3" xfId="32032"/>
    <cellStyle name="Note 2 2 3 8" xfId="10256"/>
    <cellStyle name="Note 2 2 3 9" xfId="32013"/>
    <cellStyle name="Note 2 2 4" xfId="7772"/>
    <cellStyle name="Note 2 2 4 2" xfId="7773"/>
    <cellStyle name="Note 2 2 4 2 2" xfId="7774"/>
    <cellStyle name="Note 2 2 4 2 2 2" xfId="11616"/>
    <cellStyle name="Note 2 2 4 2 2 3" xfId="32035"/>
    <cellStyle name="Note 2 2 4 2 3" xfId="7775"/>
    <cellStyle name="Note 2 2 4 2 3 2" xfId="16787"/>
    <cellStyle name="Note 2 2 4 2 3 2 2" xfId="30194"/>
    <cellStyle name="Note 2 2 4 2 3 3" xfId="32036"/>
    <cellStyle name="Note 2 2 4 2 4" xfId="10261"/>
    <cellStyle name="Note 2 2 4 2 5" xfId="32034"/>
    <cellStyle name="Note 2 2 4 3" xfId="7776"/>
    <cellStyle name="Note 2 2 4 3 2" xfId="7777"/>
    <cellStyle name="Note 2 2 4 3 2 2" xfId="13296"/>
    <cellStyle name="Note 2 2 4 3 2 3" xfId="32038"/>
    <cellStyle name="Note 2 2 4 3 3" xfId="12175"/>
    <cellStyle name="Note 2 2 4 3 3 2" xfId="25887"/>
    <cellStyle name="Note 2 2 4 3 4" xfId="32037"/>
    <cellStyle name="Note 2 2 4 4" xfId="7778"/>
    <cellStyle name="Note 2 2 4 4 2" xfId="7779"/>
    <cellStyle name="Note 2 2 4 4 2 2" xfId="15731"/>
    <cellStyle name="Note 2 2 4 4 2 3" xfId="32040"/>
    <cellStyle name="Note 2 2 4 4 3" xfId="13739"/>
    <cellStyle name="Note 2 2 4 4 3 2" xfId="27288"/>
    <cellStyle name="Note 2 2 4 4 4" xfId="32039"/>
    <cellStyle name="Note 2 2 4 5" xfId="7780"/>
    <cellStyle name="Note 2 2 4 5 2" xfId="14320"/>
    <cellStyle name="Note 2 2 4 5 2 2" xfId="27869"/>
    <cellStyle name="Note 2 2 4 5 3" xfId="32041"/>
    <cellStyle name="Note 2 2 4 6" xfId="7781"/>
    <cellStyle name="Note 2 2 4 6 2" xfId="16206"/>
    <cellStyle name="Note 2 2 4 6 2 2" xfId="29613"/>
    <cellStyle name="Note 2 2 4 6 3" xfId="32042"/>
    <cellStyle name="Note 2 2 4 7" xfId="10260"/>
    <cellStyle name="Note 2 2 4 8" xfId="32033"/>
    <cellStyle name="Note 2 2 5" xfId="7782"/>
    <cellStyle name="Note 2 2 5 2" xfId="7783"/>
    <cellStyle name="Note 2 2 5 2 2" xfId="7784"/>
    <cellStyle name="Note 2 2 5 2 2 2" xfId="11618"/>
    <cellStyle name="Note 2 2 5 2 2 3" xfId="32045"/>
    <cellStyle name="Note 2 2 5 2 3" xfId="10263"/>
    <cellStyle name="Note 2 2 5 2 4" xfId="32044"/>
    <cellStyle name="Note 2 2 5 3" xfId="7785"/>
    <cellStyle name="Note 2 2 5 3 2" xfId="11617"/>
    <cellStyle name="Note 2 2 5 3 3" xfId="32046"/>
    <cellStyle name="Note 2 2 5 4" xfId="7786"/>
    <cellStyle name="Note 2 2 5 4 2" xfId="17053"/>
    <cellStyle name="Note 2 2 5 4 2 2" xfId="30452"/>
    <cellStyle name="Note 2 2 5 4 3" xfId="32047"/>
    <cellStyle name="Note 2 2 5 5" xfId="10262"/>
    <cellStyle name="Note 2 2 5 6" xfId="32043"/>
    <cellStyle name="Note 2 2 6" xfId="7787"/>
    <cellStyle name="Note 2 2 6 2" xfId="7788"/>
    <cellStyle name="Note 2 2 6 2 2" xfId="17134"/>
    <cellStyle name="Note 2 2 6 2 2 2" xfId="30493"/>
    <cellStyle name="Note 2 2 6 2 3" xfId="32049"/>
    <cellStyle name="Note 2 2 6 3" xfId="10264"/>
    <cellStyle name="Note 2 2 6 4" xfId="32048"/>
    <cellStyle name="Note 2 2 7" xfId="7789"/>
    <cellStyle name="Note 2 2 7 2" xfId="7790"/>
    <cellStyle name="Note 2 2 7 2 2" xfId="11619"/>
    <cellStyle name="Note 2 2 7 2 3" xfId="32051"/>
    <cellStyle name="Note 2 2 7 3" xfId="7791"/>
    <cellStyle name="Note 2 2 7 3 2" xfId="17223"/>
    <cellStyle name="Note 2 2 7 3 2 2" xfId="30582"/>
    <cellStyle name="Note 2 2 7 3 3" xfId="32052"/>
    <cellStyle name="Note 2 2 7 4" xfId="10265"/>
    <cellStyle name="Note 2 2 7 5" xfId="32050"/>
    <cellStyle name="Note 2 2 8" xfId="7792"/>
    <cellStyle name="Note 2 2 8 2" xfId="7793"/>
    <cellStyle name="Note 2 2 8 2 2" xfId="11620"/>
    <cellStyle name="Note 2 2 8 2 3" xfId="32054"/>
    <cellStyle name="Note 2 2 8 3" xfId="7794"/>
    <cellStyle name="Note 2 2 8 3 2" xfId="16498"/>
    <cellStyle name="Note 2 2 8 3 2 2" xfId="29905"/>
    <cellStyle name="Note 2 2 8 3 3" xfId="32055"/>
    <cellStyle name="Note 2 2 8 4" xfId="10266"/>
    <cellStyle name="Note 2 2 8 5" xfId="32053"/>
    <cellStyle name="Note 2 2 9" xfId="7795"/>
    <cellStyle name="Note 2 2 9 2" xfId="7796"/>
    <cellStyle name="Note 2 2 9 2 2" xfId="13297"/>
    <cellStyle name="Note 2 2 9 2 2 2" xfId="26919"/>
    <cellStyle name="Note 2 2 9 2 3" xfId="32057"/>
    <cellStyle name="Note 2 2 9 3" xfId="7797"/>
    <cellStyle name="Note 2 2 9 3 2" xfId="15732"/>
    <cellStyle name="Note 2 2 9 3 3" xfId="32058"/>
    <cellStyle name="Note 2 2 9 4" xfId="10543"/>
    <cellStyle name="Note 2 2 9 4 2" xfId="24485"/>
    <cellStyle name="Note 2 2 9 5" xfId="32056"/>
    <cellStyle name="Note 2 20" xfId="7798"/>
    <cellStyle name="Note 2 20 2" xfId="7799"/>
    <cellStyle name="Note 2 20 2 2" xfId="11725"/>
    <cellStyle name="Note 2 20 2 2 2" xfId="25445"/>
    <cellStyle name="Note 2 20 2 3" xfId="32060"/>
    <cellStyle name="Note 2 20 3" xfId="7800"/>
    <cellStyle name="Note 2 20 3 2" xfId="13298"/>
    <cellStyle name="Note 2 20 3 2 2" xfId="26920"/>
    <cellStyle name="Note 2 20 3 3" xfId="32061"/>
    <cellStyle name="Note 2 20 4" xfId="7801"/>
    <cellStyle name="Note 2 20 4 2" xfId="15733"/>
    <cellStyle name="Note 2 20 4 3" xfId="32062"/>
    <cellStyle name="Note 2 20 5" xfId="10498"/>
    <cellStyle name="Note 2 20 5 2" xfId="24449"/>
    <cellStyle name="Note 2 20 6" xfId="32059"/>
    <cellStyle name="Note 2 21" xfId="7802"/>
    <cellStyle name="Note 2 21 2" xfId="7803"/>
    <cellStyle name="Note 2 21 2 2" xfId="13299"/>
    <cellStyle name="Note 2 21 2 2 2" xfId="26921"/>
    <cellStyle name="Note 2 21 2 3" xfId="32064"/>
    <cellStyle name="Note 2 21 3" xfId="7804"/>
    <cellStyle name="Note 2 21 3 2" xfId="15734"/>
    <cellStyle name="Note 2 21 3 3" xfId="32065"/>
    <cellStyle name="Note 2 21 4" xfId="10526"/>
    <cellStyle name="Note 2 21 4 2" xfId="24468"/>
    <cellStyle name="Note 2 21 5" xfId="32063"/>
    <cellStyle name="Note 2 22" xfId="7805"/>
    <cellStyle name="Note 2 22 2" xfId="11600"/>
    <cellStyle name="Note 2 22 3" xfId="32066"/>
    <cellStyle name="Note 2 23" xfId="7806"/>
    <cellStyle name="Note 2 23 2" xfId="11789"/>
    <cellStyle name="Note 2 23 2 2" xfId="25504"/>
    <cellStyle name="Note 2 23 3" xfId="32067"/>
    <cellStyle name="Note 2 24" xfId="7807"/>
    <cellStyle name="Note 2 24 2" xfId="13393"/>
    <cellStyle name="Note 2 24 2 2" xfId="26942"/>
    <cellStyle name="Note 2 24 3" xfId="32068"/>
    <cellStyle name="Note 2 25" xfId="7808"/>
    <cellStyle name="Note 2 25 2" xfId="13974"/>
    <cellStyle name="Note 2 25 2 2" xfId="27523"/>
    <cellStyle name="Note 2 25 3" xfId="32069"/>
    <cellStyle name="Note 2 26" xfId="7809"/>
    <cellStyle name="Note 2 26 2" xfId="15843"/>
    <cellStyle name="Note 2 26 2 2" xfId="29250"/>
    <cellStyle name="Note 2 26 3" xfId="32070"/>
    <cellStyle name="Note 2 27" xfId="7810"/>
    <cellStyle name="Note 2 27 2" xfId="15860"/>
    <cellStyle name="Note 2 27 2 2" xfId="29267"/>
    <cellStyle name="Note 2 27 3" xfId="32071"/>
    <cellStyle name="Note 2 28" xfId="10235"/>
    <cellStyle name="Note 2 29" xfId="31938"/>
    <cellStyle name="Note 2 3" xfId="7811"/>
    <cellStyle name="Note 2 3 10" xfId="10267"/>
    <cellStyle name="Note 2 3 11" xfId="32072"/>
    <cellStyle name="Note 2 3 2" xfId="7812"/>
    <cellStyle name="Note 2 3 2 2" xfId="7813"/>
    <cellStyle name="Note 2 3 2 2 2" xfId="7814"/>
    <cellStyle name="Note 2 3 2 2 2 2" xfId="7815"/>
    <cellStyle name="Note 2 3 2 2 2 2 2" xfId="11621"/>
    <cellStyle name="Note 2 3 2 2 2 2 3" xfId="32076"/>
    <cellStyle name="Note 2 3 2 2 2 3" xfId="7816"/>
    <cellStyle name="Note 2 3 2 2 2 3 2" xfId="16953"/>
    <cellStyle name="Note 2 3 2 2 2 3 2 2" xfId="30360"/>
    <cellStyle name="Note 2 3 2 2 2 3 3" xfId="32077"/>
    <cellStyle name="Note 2 3 2 2 2 4" xfId="10270"/>
    <cellStyle name="Note 2 3 2 2 2 5" xfId="32075"/>
    <cellStyle name="Note 2 3 2 2 3" xfId="7817"/>
    <cellStyle name="Note 2 3 2 2 3 2" xfId="7818"/>
    <cellStyle name="Note 2 3 2 2 3 2 2" xfId="13300"/>
    <cellStyle name="Note 2 3 2 2 3 2 3" xfId="32079"/>
    <cellStyle name="Note 2 3 2 2 3 3" xfId="12341"/>
    <cellStyle name="Note 2 3 2 2 3 3 2" xfId="26053"/>
    <cellStyle name="Note 2 3 2 2 3 4" xfId="32078"/>
    <cellStyle name="Note 2 3 2 2 4" xfId="7819"/>
    <cellStyle name="Note 2 3 2 2 4 2" xfId="7820"/>
    <cellStyle name="Note 2 3 2 2 4 2 2" xfId="15735"/>
    <cellStyle name="Note 2 3 2 2 4 2 3" xfId="32081"/>
    <cellStyle name="Note 2 3 2 2 4 3" xfId="13905"/>
    <cellStyle name="Note 2 3 2 2 4 3 2" xfId="27454"/>
    <cellStyle name="Note 2 3 2 2 4 4" xfId="32080"/>
    <cellStyle name="Note 2 3 2 2 5" xfId="7821"/>
    <cellStyle name="Note 2 3 2 2 5 2" xfId="14486"/>
    <cellStyle name="Note 2 3 2 2 5 2 2" xfId="28035"/>
    <cellStyle name="Note 2 3 2 2 5 3" xfId="32082"/>
    <cellStyle name="Note 2 3 2 2 6" xfId="7822"/>
    <cellStyle name="Note 2 3 2 2 6 2" xfId="16372"/>
    <cellStyle name="Note 2 3 2 2 6 2 2" xfId="29779"/>
    <cellStyle name="Note 2 3 2 2 6 3" xfId="32083"/>
    <cellStyle name="Note 2 3 2 2 7" xfId="10269"/>
    <cellStyle name="Note 2 3 2 2 8" xfId="32074"/>
    <cellStyle name="Note 2 3 2 3" xfId="7823"/>
    <cellStyle name="Note 2 3 2 3 2" xfId="7824"/>
    <cellStyle name="Note 2 3 2 3 2 2" xfId="11622"/>
    <cellStyle name="Note 2 3 2 3 2 3" xfId="32085"/>
    <cellStyle name="Note 2 3 2 3 3" xfId="7825"/>
    <cellStyle name="Note 2 3 2 3 3 2" xfId="16664"/>
    <cellStyle name="Note 2 3 2 3 3 2 2" xfId="30071"/>
    <cellStyle name="Note 2 3 2 3 3 3" xfId="32086"/>
    <cellStyle name="Note 2 3 2 3 4" xfId="10271"/>
    <cellStyle name="Note 2 3 2 3 5" xfId="32084"/>
    <cellStyle name="Note 2 3 2 4" xfId="7826"/>
    <cellStyle name="Note 2 3 2 4 2" xfId="7827"/>
    <cellStyle name="Note 2 3 2 4 2 2" xfId="13301"/>
    <cellStyle name="Note 2 3 2 4 2 3" xfId="32088"/>
    <cellStyle name="Note 2 3 2 4 3" xfId="12041"/>
    <cellStyle name="Note 2 3 2 4 3 2" xfId="25756"/>
    <cellStyle name="Note 2 3 2 4 4" xfId="32087"/>
    <cellStyle name="Note 2 3 2 5" xfId="7828"/>
    <cellStyle name="Note 2 3 2 5 2" xfId="7829"/>
    <cellStyle name="Note 2 3 2 5 2 2" xfId="15736"/>
    <cellStyle name="Note 2 3 2 5 2 3" xfId="32090"/>
    <cellStyle name="Note 2 3 2 5 3" xfId="13616"/>
    <cellStyle name="Note 2 3 2 5 3 2" xfId="27165"/>
    <cellStyle name="Note 2 3 2 5 4" xfId="32089"/>
    <cellStyle name="Note 2 3 2 6" xfId="7830"/>
    <cellStyle name="Note 2 3 2 6 2" xfId="14197"/>
    <cellStyle name="Note 2 3 2 6 2 2" xfId="27746"/>
    <cellStyle name="Note 2 3 2 6 3" xfId="32091"/>
    <cellStyle name="Note 2 3 2 7" xfId="7831"/>
    <cellStyle name="Note 2 3 2 7 2" xfId="16083"/>
    <cellStyle name="Note 2 3 2 7 2 2" xfId="29490"/>
    <cellStyle name="Note 2 3 2 7 3" xfId="32092"/>
    <cellStyle name="Note 2 3 2 8" xfId="10268"/>
    <cellStyle name="Note 2 3 2 9" xfId="32073"/>
    <cellStyle name="Note 2 3 3" xfId="7832"/>
    <cellStyle name="Note 2 3 3 2" xfId="7833"/>
    <cellStyle name="Note 2 3 3 2 2" xfId="7834"/>
    <cellStyle name="Note 2 3 3 2 2 2" xfId="11623"/>
    <cellStyle name="Note 2 3 3 2 2 3" xfId="32095"/>
    <cellStyle name="Note 2 3 3 2 3" xfId="7835"/>
    <cellStyle name="Note 2 3 3 2 3 2" xfId="16810"/>
    <cellStyle name="Note 2 3 3 2 3 2 2" xfId="30217"/>
    <cellStyle name="Note 2 3 3 2 3 3" xfId="32096"/>
    <cellStyle name="Note 2 3 3 2 4" xfId="10273"/>
    <cellStyle name="Note 2 3 3 2 5" xfId="32094"/>
    <cellStyle name="Note 2 3 3 3" xfId="7836"/>
    <cellStyle name="Note 2 3 3 3 2" xfId="7837"/>
    <cellStyle name="Note 2 3 3 3 2 2" xfId="13302"/>
    <cellStyle name="Note 2 3 3 3 2 3" xfId="32098"/>
    <cellStyle name="Note 2 3 3 3 3" xfId="12198"/>
    <cellStyle name="Note 2 3 3 3 3 2" xfId="25910"/>
    <cellStyle name="Note 2 3 3 3 4" xfId="32097"/>
    <cellStyle name="Note 2 3 3 4" xfId="7838"/>
    <cellStyle name="Note 2 3 3 4 2" xfId="7839"/>
    <cellStyle name="Note 2 3 3 4 2 2" xfId="15737"/>
    <cellStyle name="Note 2 3 3 4 2 3" xfId="32100"/>
    <cellStyle name="Note 2 3 3 4 3" xfId="13762"/>
    <cellStyle name="Note 2 3 3 4 3 2" xfId="27311"/>
    <cellStyle name="Note 2 3 3 4 4" xfId="32099"/>
    <cellStyle name="Note 2 3 3 5" xfId="7840"/>
    <cellStyle name="Note 2 3 3 5 2" xfId="14343"/>
    <cellStyle name="Note 2 3 3 5 2 2" xfId="27892"/>
    <cellStyle name="Note 2 3 3 5 3" xfId="32101"/>
    <cellStyle name="Note 2 3 3 6" xfId="7841"/>
    <cellStyle name="Note 2 3 3 6 2" xfId="16229"/>
    <cellStyle name="Note 2 3 3 6 2 2" xfId="29636"/>
    <cellStyle name="Note 2 3 3 6 3" xfId="32102"/>
    <cellStyle name="Note 2 3 3 7" xfId="10272"/>
    <cellStyle name="Note 2 3 3 8" xfId="32093"/>
    <cellStyle name="Note 2 3 4" xfId="7842"/>
    <cellStyle name="Note 2 3 4 2" xfId="7843"/>
    <cellStyle name="Note 2 3 4 2 2" xfId="17157"/>
    <cellStyle name="Note 2 3 4 2 2 2" xfId="30516"/>
    <cellStyle name="Note 2 3 4 2 3" xfId="32104"/>
    <cellStyle name="Note 2 3 4 3" xfId="10274"/>
    <cellStyle name="Note 2 3 4 4" xfId="32103"/>
    <cellStyle name="Note 2 3 5" xfId="7844"/>
    <cellStyle name="Note 2 3 5 2" xfId="7845"/>
    <cellStyle name="Note 2 3 5 2 2" xfId="11624"/>
    <cellStyle name="Note 2 3 5 2 3" xfId="32106"/>
    <cellStyle name="Note 2 3 5 3" xfId="7846"/>
    <cellStyle name="Note 2 3 5 3 2" xfId="17246"/>
    <cellStyle name="Note 2 3 5 3 2 2" xfId="30605"/>
    <cellStyle name="Note 2 3 5 3 3" xfId="32107"/>
    <cellStyle name="Note 2 3 5 4" xfId="10275"/>
    <cellStyle name="Note 2 3 5 5" xfId="32105"/>
    <cellStyle name="Note 2 3 6" xfId="7847"/>
    <cellStyle name="Note 2 3 6 2" xfId="7848"/>
    <cellStyle name="Note 2 3 6 2 2" xfId="13303"/>
    <cellStyle name="Note 2 3 6 2 3" xfId="32109"/>
    <cellStyle name="Note 2 3 6 3" xfId="7849"/>
    <cellStyle name="Note 2 3 6 3 2" xfId="16521"/>
    <cellStyle name="Note 2 3 6 3 2 2" xfId="29928"/>
    <cellStyle name="Note 2 3 6 3 3" xfId="32110"/>
    <cellStyle name="Note 2 3 6 4" xfId="11896"/>
    <cellStyle name="Note 2 3 6 4 2" xfId="25611"/>
    <cellStyle name="Note 2 3 6 5" xfId="32108"/>
    <cellStyle name="Note 2 3 7" xfId="7850"/>
    <cellStyle name="Note 2 3 7 2" xfId="7851"/>
    <cellStyle name="Note 2 3 7 2 2" xfId="15738"/>
    <cellStyle name="Note 2 3 7 2 3" xfId="32112"/>
    <cellStyle name="Note 2 3 7 3" xfId="13473"/>
    <cellStyle name="Note 2 3 7 3 2" xfId="27022"/>
    <cellStyle name="Note 2 3 7 4" xfId="32111"/>
    <cellStyle name="Note 2 3 8" xfId="7852"/>
    <cellStyle name="Note 2 3 8 2" xfId="14054"/>
    <cellStyle name="Note 2 3 8 2 2" xfId="27603"/>
    <cellStyle name="Note 2 3 8 3" xfId="32113"/>
    <cellStyle name="Note 2 3 9" xfId="7853"/>
    <cellStyle name="Note 2 3 9 2" xfId="15940"/>
    <cellStyle name="Note 2 3 9 2 2" xfId="29347"/>
    <cellStyle name="Note 2 3 9 3" xfId="32114"/>
    <cellStyle name="Note 2 30" xfId="33058"/>
    <cellStyle name="Note 2 4" xfId="7854"/>
    <cellStyle name="Note 2 4 10" xfId="32115"/>
    <cellStyle name="Note 2 4 2" xfId="7855"/>
    <cellStyle name="Note 2 4 2 2" xfId="7856"/>
    <cellStyle name="Note 2 4 2 2 2" xfId="7857"/>
    <cellStyle name="Note 2 4 2 2 2 2" xfId="7858"/>
    <cellStyle name="Note 2 4 2 2 2 2 2" xfId="11625"/>
    <cellStyle name="Note 2 4 2 2 2 2 3" xfId="32119"/>
    <cellStyle name="Note 2 4 2 2 2 3" xfId="7859"/>
    <cellStyle name="Note 2 4 2 2 2 3 2" xfId="16907"/>
    <cellStyle name="Note 2 4 2 2 2 3 2 2" xfId="30314"/>
    <cellStyle name="Note 2 4 2 2 2 3 3" xfId="32120"/>
    <cellStyle name="Note 2 4 2 2 2 4" xfId="10279"/>
    <cellStyle name="Note 2 4 2 2 2 5" xfId="32118"/>
    <cellStyle name="Note 2 4 2 2 3" xfId="7860"/>
    <cellStyle name="Note 2 4 2 2 3 2" xfId="7861"/>
    <cellStyle name="Note 2 4 2 2 3 2 2" xfId="13304"/>
    <cellStyle name="Note 2 4 2 2 3 2 3" xfId="32122"/>
    <cellStyle name="Note 2 4 2 2 3 3" xfId="12295"/>
    <cellStyle name="Note 2 4 2 2 3 3 2" xfId="26007"/>
    <cellStyle name="Note 2 4 2 2 3 4" xfId="32121"/>
    <cellStyle name="Note 2 4 2 2 4" xfId="7862"/>
    <cellStyle name="Note 2 4 2 2 4 2" xfId="7863"/>
    <cellStyle name="Note 2 4 2 2 4 2 2" xfId="15739"/>
    <cellStyle name="Note 2 4 2 2 4 2 3" xfId="32124"/>
    <cellStyle name="Note 2 4 2 2 4 3" xfId="13859"/>
    <cellStyle name="Note 2 4 2 2 4 3 2" xfId="27408"/>
    <cellStyle name="Note 2 4 2 2 4 4" xfId="32123"/>
    <cellStyle name="Note 2 4 2 2 5" xfId="7864"/>
    <cellStyle name="Note 2 4 2 2 5 2" xfId="14440"/>
    <cellStyle name="Note 2 4 2 2 5 2 2" xfId="27989"/>
    <cellStyle name="Note 2 4 2 2 5 3" xfId="32125"/>
    <cellStyle name="Note 2 4 2 2 6" xfId="7865"/>
    <cellStyle name="Note 2 4 2 2 6 2" xfId="16326"/>
    <cellStyle name="Note 2 4 2 2 6 2 2" xfId="29733"/>
    <cellStyle name="Note 2 4 2 2 6 3" xfId="32126"/>
    <cellStyle name="Note 2 4 2 2 7" xfId="10278"/>
    <cellStyle name="Note 2 4 2 2 8" xfId="32117"/>
    <cellStyle name="Note 2 4 2 3" xfId="7866"/>
    <cellStyle name="Note 2 4 2 3 2" xfId="7867"/>
    <cellStyle name="Note 2 4 2 3 2 2" xfId="11626"/>
    <cellStyle name="Note 2 4 2 3 2 3" xfId="32128"/>
    <cellStyle name="Note 2 4 2 3 3" xfId="7868"/>
    <cellStyle name="Note 2 4 2 3 3 2" xfId="16618"/>
    <cellStyle name="Note 2 4 2 3 3 2 2" xfId="30025"/>
    <cellStyle name="Note 2 4 2 3 3 3" xfId="32129"/>
    <cellStyle name="Note 2 4 2 3 4" xfId="10280"/>
    <cellStyle name="Note 2 4 2 3 5" xfId="32127"/>
    <cellStyle name="Note 2 4 2 4" xfId="7869"/>
    <cellStyle name="Note 2 4 2 4 2" xfId="7870"/>
    <cellStyle name="Note 2 4 2 4 2 2" xfId="13305"/>
    <cellStyle name="Note 2 4 2 4 2 3" xfId="32131"/>
    <cellStyle name="Note 2 4 2 4 3" xfId="11995"/>
    <cellStyle name="Note 2 4 2 4 3 2" xfId="25710"/>
    <cellStyle name="Note 2 4 2 4 4" xfId="32130"/>
    <cellStyle name="Note 2 4 2 5" xfId="7871"/>
    <cellStyle name="Note 2 4 2 5 2" xfId="7872"/>
    <cellStyle name="Note 2 4 2 5 2 2" xfId="15740"/>
    <cellStyle name="Note 2 4 2 5 2 3" xfId="32133"/>
    <cellStyle name="Note 2 4 2 5 3" xfId="13570"/>
    <cellStyle name="Note 2 4 2 5 3 2" xfId="27119"/>
    <cellStyle name="Note 2 4 2 5 4" xfId="32132"/>
    <cellStyle name="Note 2 4 2 6" xfId="7873"/>
    <cellStyle name="Note 2 4 2 6 2" xfId="14151"/>
    <cellStyle name="Note 2 4 2 6 2 2" xfId="27700"/>
    <cellStyle name="Note 2 4 2 6 3" xfId="32134"/>
    <cellStyle name="Note 2 4 2 7" xfId="7874"/>
    <cellStyle name="Note 2 4 2 7 2" xfId="16037"/>
    <cellStyle name="Note 2 4 2 7 2 2" xfId="29444"/>
    <cellStyle name="Note 2 4 2 7 3" xfId="32135"/>
    <cellStyle name="Note 2 4 2 8" xfId="10277"/>
    <cellStyle name="Note 2 4 2 9" xfId="32116"/>
    <cellStyle name="Note 2 4 3" xfId="7875"/>
    <cellStyle name="Note 2 4 3 2" xfId="7876"/>
    <cellStyle name="Note 2 4 3 2 2" xfId="7877"/>
    <cellStyle name="Note 2 4 3 2 2 2" xfId="11627"/>
    <cellStyle name="Note 2 4 3 2 2 3" xfId="32138"/>
    <cellStyle name="Note 2 4 3 2 3" xfId="7878"/>
    <cellStyle name="Note 2 4 3 2 3 2" xfId="16767"/>
    <cellStyle name="Note 2 4 3 2 3 2 2" xfId="30174"/>
    <cellStyle name="Note 2 4 3 2 3 3" xfId="32139"/>
    <cellStyle name="Note 2 4 3 2 4" xfId="10282"/>
    <cellStyle name="Note 2 4 3 2 5" xfId="32137"/>
    <cellStyle name="Note 2 4 3 3" xfId="7879"/>
    <cellStyle name="Note 2 4 3 3 2" xfId="7880"/>
    <cellStyle name="Note 2 4 3 3 2 2" xfId="13306"/>
    <cellStyle name="Note 2 4 3 3 2 3" xfId="32141"/>
    <cellStyle name="Note 2 4 3 3 3" xfId="12155"/>
    <cellStyle name="Note 2 4 3 3 3 2" xfId="25867"/>
    <cellStyle name="Note 2 4 3 3 4" xfId="32140"/>
    <cellStyle name="Note 2 4 3 4" xfId="7881"/>
    <cellStyle name="Note 2 4 3 4 2" xfId="7882"/>
    <cellStyle name="Note 2 4 3 4 2 2" xfId="15741"/>
    <cellStyle name="Note 2 4 3 4 2 3" xfId="32143"/>
    <cellStyle name="Note 2 4 3 4 3" xfId="13719"/>
    <cellStyle name="Note 2 4 3 4 3 2" xfId="27268"/>
    <cellStyle name="Note 2 4 3 4 4" xfId="32142"/>
    <cellStyle name="Note 2 4 3 5" xfId="7883"/>
    <cellStyle name="Note 2 4 3 5 2" xfId="14300"/>
    <cellStyle name="Note 2 4 3 5 2 2" xfId="27849"/>
    <cellStyle name="Note 2 4 3 5 3" xfId="32144"/>
    <cellStyle name="Note 2 4 3 6" xfId="7884"/>
    <cellStyle name="Note 2 4 3 6 2" xfId="16186"/>
    <cellStyle name="Note 2 4 3 6 2 2" xfId="29593"/>
    <cellStyle name="Note 2 4 3 6 3" xfId="32145"/>
    <cellStyle name="Note 2 4 3 7" xfId="10281"/>
    <cellStyle name="Note 2 4 3 8" xfId="32136"/>
    <cellStyle name="Note 2 4 4" xfId="7885"/>
    <cellStyle name="Note 2 4 4 2" xfId="7886"/>
    <cellStyle name="Note 2 4 4 2 2" xfId="11628"/>
    <cellStyle name="Note 2 4 4 2 3" xfId="32147"/>
    <cellStyle name="Note 2 4 4 3" xfId="7887"/>
    <cellStyle name="Note 2 4 4 3 2" xfId="16475"/>
    <cellStyle name="Note 2 4 4 3 2 2" xfId="29882"/>
    <cellStyle name="Note 2 4 4 3 3" xfId="32148"/>
    <cellStyle name="Note 2 4 4 4" xfId="10283"/>
    <cellStyle name="Note 2 4 4 5" xfId="32146"/>
    <cellStyle name="Note 2 4 5" xfId="7888"/>
    <cellStyle name="Note 2 4 5 2" xfId="7889"/>
    <cellStyle name="Note 2 4 5 2 2" xfId="13307"/>
    <cellStyle name="Note 2 4 5 2 3" xfId="32150"/>
    <cellStyle name="Note 2 4 5 3" xfId="11826"/>
    <cellStyle name="Note 2 4 5 3 2" xfId="25541"/>
    <cellStyle name="Note 2 4 5 4" xfId="32149"/>
    <cellStyle name="Note 2 4 6" xfId="7890"/>
    <cellStyle name="Note 2 4 6 2" xfId="7891"/>
    <cellStyle name="Note 2 4 6 2 2" xfId="15742"/>
    <cellStyle name="Note 2 4 6 2 3" xfId="32152"/>
    <cellStyle name="Note 2 4 6 3" xfId="13427"/>
    <cellStyle name="Note 2 4 6 3 2" xfId="26976"/>
    <cellStyle name="Note 2 4 6 4" xfId="32151"/>
    <cellStyle name="Note 2 4 7" xfId="7892"/>
    <cellStyle name="Note 2 4 7 2" xfId="14008"/>
    <cellStyle name="Note 2 4 7 2 2" xfId="27557"/>
    <cellStyle name="Note 2 4 7 3" xfId="32153"/>
    <cellStyle name="Note 2 4 8" xfId="7893"/>
    <cellStyle name="Note 2 4 8 2" xfId="15894"/>
    <cellStyle name="Note 2 4 8 2 2" xfId="29301"/>
    <cellStyle name="Note 2 4 8 3" xfId="32154"/>
    <cellStyle name="Note 2 4 9" xfId="10276"/>
    <cellStyle name="Note 2 5" xfId="7894"/>
    <cellStyle name="Note 2 5 10" xfId="32155"/>
    <cellStyle name="Note 2 5 2" xfId="7895"/>
    <cellStyle name="Note 2 5 2 2" xfId="7896"/>
    <cellStyle name="Note 2 5 2 2 2" xfId="7897"/>
    <cellStyle name="Note 2 5 2 2 2 2" xfId="7898"/>
    <cellStyle name="Note 2 5 2 2 2 2 2" xfId="11629"/>
    <cellStyle name="Note 2 5 2 2 2 2 3" xfId="32159"/>
    <cellStyle name="Note 2 5 2 2 2 3" xfId="7899"/>
    <cellStyle name="Note 2 5 2 2 2 3 2" xfId="16890"/>
    <cellStyle name="Note 2 5 2 2 2 3 2 2" xfId="30297"/>
    <cellStyle name="Note 2 5 2 2 2 3 3" xfId="32160"/>
    <cellStyle name="Note 2 5 2 2 2 4" xfId="10287"/>
    <cellStyle name="Note 2 5 2 2 2 5" xfId="32158"/>
    <cellStyle name="Note 2 5 2 2 3" xfId="7900"/>
    <cellStyle name="Note 2 5 2 2 3 2" xfId="7901"/>
    <cellStyle name="Note 2 5 2 2 3 2 2" xfId="13308"/>
    <cellStyle name="Note 2 5 2 2 3 2 3" xfId="32162"/>
    <cellStyle name="Note 2 5 2 2 3 3" xfId="12278"/>
    <cellStyle name="Note 2 5 2 2 3 3 2" xfId="25990"/>
    <cellStyle name="Note 2 5 2 2 3 4" xfId="32161"/>
    <cellStyle name="Note 2 5 2 2 4" xfId="7902"/>
    <cellStyle name="Note 2 5 2 2 4 2" xfId="7903"/>
    <cellStyle name="Note 2 5 2 2 4 2 2" xfId="15743"/>
    <cellStyle name="Note 2 5 2 2 4 2 3" xfId="32164"/>
    <cellStyle name="Note 2 5 2 2 4 3" xfId="13842"/>
    <cellStyle name="Note 2 5 2 2 4 3 2" xfId="27391"/>
    <cellStyle name="Note 2 5 2 2 4 4" xfId="32163"/>
    <cellStyle name="Note 2 5 2 2 5" xfId="7904"/>
    <cellStyle name="Note 2 5 2 2 5 2" xfId="14423"/>
    <cellStyle name="Note 2 5 2 2 5 2 2" xfId="27972"/>
    <cellStyle name="Note 2 5 2 2 5 3" xfId="32165"/>
    <cellStyle name="Note 2 5 2 2 6" xfId="7905"/>
    <cellStyle name="Note 2 5 2 2 6 2" xfId="16309"/>
    <cellStyle name="Note 2 5 2 2 6 2 2" xfId="29716"/>
    <cellStyle name="Note 2 5 2 2 6 3" xfId="32166"/>
    <cellStyle name="Note 2 5 2 2 7" xfId="10286"/>
    <cellStyle name="Note 2 5 2 2 8" xfId="32157"/>
    <cellStyle name="Note 2 5 2 3" xfId="7906"/>
    <cellStyle name="Note 2 5 2 3 2" xfId="7907"/>
    <cellStyle name="Note 2 5 2 3 2 2" xfId="11630"/>
    <cellStyle name="Note 2 5 2 3 2 3" xfId="32168"/>
    <cellStyle name="Note 2 5 2 3 3" xfId="7908"/>
    <cellStyle name="Note 2 5 2 3 3 2" xfId="16601"/>
    <cellStyle name="Note 2 5 2 3 3 2 2" xfId="30008"/>
    <cellStyle name="Note 2 5 2 3 3 3" xfId="32169"/>
    <cellStyle name="Note 2 5 2 3 4" xfId="10288"/>
    <cellStyle name="Note 2 5 2 3 5" xfId="32167"/>
    <cellStyle name="Note 2 5 2 4" xfId="7909"/>
    <cellStyle name="Note 2 5 2 4 2" xfId="7910"/>
    <cellStyle name="Note 2 5 2 4 2 2" xfId="13309"/>
    <cellStyle name="Note 2 5 2 4 2 3" xfId="32171"/>
    <cellStyle name="Note 2 5 2 4 3" xfId="11978"/>
    <cellStyle name="Note 2 5 2 4 3 2" xfId="25693"/>
    <cellStyle name="Note 2 5 2 4 4" xfId="32170"/>
    <cellStyle name="Note 2 5 2 5" xfId="7911"/>
    <cellStyle name="Note 2 5 2 5 2" xfId="7912"/>
    <cellStyle name="Note 2 5 2 5 2 2" xfId="15744"/>
    <cellStyle name="Note 2 5 2 5 2 3" xfId="32173"/>
    <cellStyle name="Note 2 5 2 5 3" xfId="13553"/>
    <cellStyle name="Note 2 5 2 5 3 2" xfId="27102"/>
    <cellStyle name="Note 2 5 2 5 4" xfId="32172"/>
    <cellStyle name="Note 2 5 2 6" xfId="7913"/>
    <cellStyle name="Note 2 5 2 6 2" xfId="14134"/>
    <cellStyle name="Note 2 5 2 6 2 2" xfId="27683"/>
    <cellStyle name="Note 2 5 2 6 3" xfId="32174"/>
    <cellStyle name="Note 2 5 2 7" xfId="7914"/>
    <cellStyle name="Note 2 5 2 7 2" xfId="16020"/>
    <cellStyle name="Note 2 5 2 7 2 2" xfId="29427"/>
    <cellStyle name="Note 2 5 2 7 3" xfId="32175"/>
    <cellStyle name="Note 2 5 2 8" xfId="10285"/>
    <cellStyle name="Note 2 5 2 9" xfId="32156"/>
    <cellStyle name="Note 2 5 3" xfId="7915"/>
    <cellStyle name="Note 2 5 3 2" xfId="7916"/>
    <cellStyle name="Note 2 5 3 2 2" xfId="7917"/>
    <cellStyle name="Note 2 5 3 2 2 2" xfId="11631"/>
    <cellStyle name="Note 2 5 3 2 2 3" xfId="32178"/>
    <cellStyle name="Note 2 5 3 2 3" xfId="7918"/>
    <cellStyle name="Note 2 5 3 2 3 2" xfId="16750"/>
    <cellStyle name="Note 2 5 3 2 3 2 2" xfId="30157"/>
    <cellStyle name="Note 2 5 3 2 3 3" xfId="32179"/>
    <cellStyle name="Note 2 5 3 2 4" xfId="10290"/>
    <cellStyle name="Note 2 5 3 2 5" xfId="32177"/>
    <cellStyle name="Note 2 5 3 3" xfId="7919"/>
    <cellStyle name="Note 2 5 3 3 2" xfId="7920"/>
    <cellStyle name="Note 2 5 3 3 2 2" xfId="13310"/>
    <cellStyle name="Note 2 5 3 3 2 3" xfId="32181"/>
    <cellStyle name="Note 2 5 3 3 3" xfId="12138"/>
    <cellStyle name="Note 2 5 3 3 3 2" xfId="25850"/>
    <cellStyle name="Note 2 5 3 3 4" xfId="32180"/>
    <cellStyle name="Note 2 5 3 4" xfId="7921"/>
    <cellStyle name="Note 2 5 3 4 2" xfId="7922"/>
    <cellStyle name="Note 2 5 3 4 2 2" xfId="15745"/>
    <cellStyle name="Note 2 5 3 4 2 3" xfId="32183"/>
    <cellStyle name="Note 2 5 3 4 3" xfId="13702"/>
    <cellStyle name="Note 2 5 3 4 3 2" xfId="27251"/>
    <cellStyle name="Note 2 5 3 4 4" xfId="32182"/>
    <cellStyle name="Note 2 5 3 5" xfId="7923"/>
    <cellStyle name="Note 2 5 3 5 2" xfId="14283"/>
    <cellStyle name="Note 2 5 3 5 2 2" xfId="27832"/>
    <cellStyle name="Note 2 5 3 5 3" xfId="32184"/>
    <cellStyle name="Note 2 5 3 6" xfId="7924"/>
    <cellStyle name="Note 2 5 3 6 2" xfId="16169"/>
    <cellStyle name="Note 2 5 3 6 2 2" xfId="29576"/>
    <cellStyle name="Note 2 5 3 6 3" xfId="32185"/>
    <cellStyle name="Note 2 5 3 7" xfId="10289"/>
    <cellStyle name="Note 2 5 3 8" xfId="32176"/>
    <cellStyle name="Note 2 5 4" xfId="7925"/>
    <cellStyle name="Note 2 5 4 2" xfId="7926"/>
    <cellStyle name="Note 2 5 4 2 2" xfId="11632"/>
    <cellStyle name="Note 2 5 4 2 3" xfId="32187"/>
    <cellStyle name="Note 2 5 4 3" xfId="7927"/>
    <cellStyle name="Note 2 5 4 3 2" xfId="16458"/>
    <cellStyle name="Note 2 5 4 3 2 2" xfId="29865"/>
    <cellStyle name="Note 2 5 4 3 3" xfId="32188"/>
    <cellStyle name="Note 2 5 4 4" xfId="10291"/>
    <cellStyle name="Note 2 5 4 5" xfId="32186"/>
    <cellStyle name="Note 2 5 5" xfId="7928"/>
    <cellStyle name="Note 2 5 5 2" xfId="7929"/>
    <cellStyle name="Note 2 5 5 2 2" xfId="13311"/>
    <cellStyle name="Note 2 5 5 2 3" xfId="32190"/>
    <cellStyle name="Note 2 5 5 3" xfId="11809"/>
    <cellStyle name="Note 2 5 5 3 2" xfId="25524"/>
    <cellStyle name="Note 2 5 5 4" xfId="32189"/>
    <cellStyle name="Note 2 5 6" xfId="7930"/>
    <cellStyle name="Note 2 5 6 2" xfId="7931"/>
    <cellStyle name="Note 2 5 6 2 2" xfId="15746"/>
    <cellStyle name="Note 2 5 6 2 3" xfId="32192"/>
    <cellStyle name="Note 2 5 6 3" xfId="13410"/>
    <cellStyle name="Note 2 5 6 3 2" xfId="26959"/>
    <cellStyle name="Note 2 5 6 4" xfId="32191"/>
    <cellStyle name="Note 2 5 7" xfId="7932"/>
    <cellStyle name="Note 2 5 7 2" xfId="13991"/>
    <cellStyle name="Note 2 5 7 2 2" xfId="27540"/>
    <cellStyle name="Note 2 5 7 3" xfId="32193"/>
    <cellStyle name="Note 2 5 8" xfId="7933"/>
    <cellStyle name="Note 2 5 8 2" xfId="15877"/>
    <cellStyle name="Note 2 5 8 2 2" xfId="29284"/>
    <cellStyle name="Note 2 5 8 3" xfId="32194"/>
    <cellStyle name="Note 2 5 9" xfId="10284"/>
    <cellStyle name="Note 2 6" xfId="7934"/>
    <cellStyle name="Note 2 6 10" xfId="32195"/>
    <cellStyle name="Note 2 6 2" xfId="7935"/>
    <cellStyle name="Note 2 6 2 2" xfId="7936"/>
    <cellStyle name="Note 2 6 2 2 2" xfId="7937"/>
    <cellStyle name="Note 2 6 2 2 2 2" xfId="7938"/>
    <cellStyle name="Note 2 6 2 2 2 2 2" xfId="11633"/>
    <cellStyle name="Note 2 6 2 2 2 2 3" xfId="32199"/>
    <cellStyle name="Note 2 6 2 2 2 3" xfId="7939"/>
    <cellStyle name="Note 2 6 2 2 2 3 2" xfId="16996"/>
    <cellStyle name="Note 2 6 2 2 2 3 2 2" xfId="30403"/>
    <cellStyle name="Note 2 6 2 2 2 3 3" xfId="32200"/>
    <cellStyle name="Note 2 6 2 2 2 4" xfId="10295"/>
    <cellStyle name="Note 2 6 2 2 2 5" xfId="32198"/>
    <cellStyle name="Note 2 6 2 2 3" xfId="7940"/>
    <cellStyle name="Note 2 6 2 2 3 2" xfId="7941"/>
    <cellStyle name="Note 2 6 2 2 3 2 2" xfId="13312"/>
    <cellStyle name="Note 2 6 2 2 3 2 3" xfId="32202"/>
    <cellStyle name="Note 2 6 2 2 3 3" xfId="12384"/>
    <cellStyle name="Note 2 6 2 2 3 3 2" xfId="26096"/>
    <cellStyle name="Note 2 6 2 2 3 4" xfId="32201"/>
    <cellStyle name="Note 2 6 2 2 4" xfId="7942"/>
    <cellStyle name="Note 2 6 2 2 4 2" xfId="7943"/>
    <cellStyle name="Note 2 6 2 2 4 2 2" xfId="15747"/>
    <cellStyle name="Note 2 6 2 2 4 2 3" xfId="32204"/>
    <cellStyle name="Note 2 6 2 2 4 3" xfId="13948"/>
    <cellStyle name="Note 2 6 2 2 4 3 2" xfId="27497"/>
    <cellStyle name="Note 2 6 2 2 4 4" xfId="32203"/>
    <cellStyle name="Note 2 6 2 2 5" xfId="7944"/>
    <cellStyle name="Note 2 6 2 2 5 2" xfId="14529"/>
    <cellStyle name="Note 2 6 2 2 5 2 2" xfId="28078"/>
    <cellStyle name="Note 2 6 2 2 5 3" xfId="32205"/>
    <cellStyle name="Note 2 6 2 2 6" xfId="7945"/>
    <cellStyle name="Note 2 6 2 2 6 2" xfId="16415"/>
    <cellStyle name="Note 2 6 2 2 6 2 2" xfId="29822"/>
    <cellStyle name="Note 2 6 2 2 6 3" xfId="32206"/>
    <cellStyle name="Note 2 6 2 2 7" xfId="10294"/>
    <cellStyle name="Note 2 6 2 2 8" xfId="32197"/>
    <cellStyle name="Note 2 6 2 3" xfId="7946"/>
    <cellStyle name="Note 2 6 2 3 2" xfId="7947"/>
    <cellStyle name="Note 2 6 2 3 2 2" xfId="11634"/>
    <cellStyle name="Note 2 6 2 3 2 3" xfId="32208"/>
    <cellStyle name="Note 2 6 2 3 3" xfId="7948"/>
    <cellStyle name="Note 2 6 2 3 3 2" xfId="16707"/>
    <cellStyle name="Note 2 6 2 3 3 2 2" xfId="30114"/>
    <cellStyle name="Note 2 6 2 3 3 3" xfId="32209"/>
    <cellStyle name="Note 2 6 2 3 4" xfId="10296"/>
    <cellStyle name="Note 2 6 2 3 5" xfId="32207"/>
    <cellStyle name="Note 2 6 2 4" xfId="7949"/>
    <cellStyle name="Note 2 6 2 4 2" xfId="7950"/>
    <cellStyle name="Note 2 6 2 4 2 2" xfId="13313"/>
    <cellStyle name="Note 2 6 2 4 2 3" xfId="32211"/>
    <cellStyle name="Note 2 6 2 4 3" xfId="12084"/>
    <cellStyle name="Note 2 6 2 4 3 2" xfId="25799"/>
    <cellStyle name="Note 2 6 2 4 4" xfId="32210"/>
    <cellStyle name="Note 2 6 2 5" xfId="7951"/>
    <cellStyle name="Note 2 6 2 5 2" xfId="7952"/>
    <cellStyle name="Note 2 6 2 5 2 2" xfId="15748"/>
    <cellStyle name="Note 2 6 2 5 2 3" xfId="32213"/>
    <cellStyle name="Note 2 6 2 5 3" xfId="13659"/>
    <cellStyle name="Note 2 6 2 5 3 2" xfId="27208"/>
    <cellStyle name="Note 2 6 2 5 4" xfId="32212"/>
    <cellStyle name="Note 2 6 2 6" xfId="7953"/>
    <cellStyle name="Note 2 6 2 6 2" xfId="14240"/>
    <cellStyle name="Note 2 6 2 6 2 2" xfId="27789"/>
    <cellStyle name="Note 2 6 2 6 3" xfId="32214"/>
    <cellStyle name="Note 2 6 2 7" xfId="7954"/>
    <cellStyle name="Note 2 6 2 7 2" xfId="16126"/>
    <cellStyle name="Note 2 6 2 7 2 2" xfId="29533"/>
    <cellStyle name="Note 2 6 2 7 3" xfId="32215"/>
    <cellStyle name="Note 2 6 2 8" xfId="10293"/>
    <cellStyle name="Note 2 6 2 9" xfId="32196"/>
    <cellStyle name="Note 2 6 3" xfId="7955"/>
    <cellStyle name="Note 2 6 3 2" xfId="7956"/>
    <cellStyle name="Note 2 6 3 2 2" xfId="7957"/>
    <cellStyle name="Note 2 6 3 2 2 2" xfId="11635"/>
    <cellStyle name="Note 2 6 3 2 2 3" xfId="32218"/>
    <cellStyle name="Note 2 6 3 2 3" xfId="7958"/>
    <cellStyle name="Note 2 6 3 2 3 2" xfId="16853"/>
    <cellStyle name="Note 2 6 3 2 3 2 2" xfId="30260"/>
    <cellStyle name="Note 2 6 3 2 3 3" xfId="32219"/>
    <cellStyle name="Note 2 6 3 2 4" xfId="10298"/>
    <cellStyle name="Note 2 6 3 2 5" xfId="32217"/>
    <cellStyle name="Note 2 6 3 3" xfId="7959"/>
    <cellStyle name="Note 2 6 3 3 2" xfId="7960"/>
    <cellStyle name="Note 2 6 3 3 2 2" xfId="13314"/>
    <cellStyle name="Note 2 6 3 3 2 3" xfId="32221"/>
    <cellStyle name="Note 2 6 3 3 3" xfId="12241"/>
    <cellStyle name="Note 2 6 3 3 3 2" xfId="25953"/>
    <cellStyle name="Note 2 6 3 3 4" xfId="32220"/>
    <cellStyle name="Note 2 6 3 4" xfId="7961"/>
    <cellStyle name="Note 2 6 3 4 2" xfId="7962"/>
    <cellStyle name="Note 2 6 3 4 2 2" xfId="15749"/>
    <cellStyle name="Note 2 6 3 4 2 3" xfId="32223"/>
    <cellStyle name="Note 2 6 3 4 3" xfId="13805"/>
    <cellStyle name="Note 2 6 3 4 3 2" xfId="27354"/>
    <cellStyle name="Note 2 6 3 4 4" xfId="32222"/>
    <cellStyle name="Note 2 6 3 5" xfId="7963"/>
    <cellStyle name="Note 2 6 3 5 2" xfId="14386"/>
    <cellStyle name="Note 2 6 3 5 2 2" xfId="27935"/>
    <cellStyle name="Note 2 6 3 5 3" xfId="32224"/>
    <cellStyle name="Note 2 6 3 6" xfId="7964"/>
    <cellStyle name="Note 2 6 3 6 2" xfId="16272"/>
    <cellStyle name="Note 2 6 3 6 2 2" xfId="29679"/>
    <cellStyle name="Note 2 6 3 6 3" xfId="32225"/>
    <cellStyle name="Note 2 6 3 7" xfId="10297"/>
    <cellStyle name="Note 2 6 3 8" xfId="32216"/>
    <cellStyle name="Note 2 6 4" xfId="7965"/>
    <cellStyle name="Note 2 6 4 2" xfId="7966"/>
    <cellStyle name="Note 2 6 4 2 2" xfId="11636"/>
    <cellStyle name="Note 2 6 4 2 3" xfId="32227"/>
    <cellStyle name="Note 2 6 4 3" xfId="7967"/>
    <cellStyle name="Note 2 6 4 3 2" xfId="16564"/>
    <cellStyle name="Note 2 6 4 3 2 2" xfId="29971"/>
    <cellStyle name="Note 2 6 4 3 3" xfId="32228"/>
    <cellStyle name="Note 2 6 4 4" xfId="10299"/>
    <cellStyle name="Note 2 6 4 5" xfId="32226"/>
    <cellStyle name="Note 2 6 5" xfId="7968"/>
    <cellStyle name="Note 2 6 5 2" xfId="7969"/>
    <cellStyle name="Note 2 6 5 2 2" xfId="13315"/>
    <cellStyle name="Note 2 6 5 2 3" xfId="32230"/>
    <cellStyle name="Note 2 6 5 3" xfId="11939"/>
    <cellStyle name="Note 2 6 5 3 2" xfId="25654"/>
    <cellStyle name="Note 2 6 5 4" xfId="32229"/>
    <cellStyle name="Note 2 6 6" xfId="7970"/>
    <cellStyle name="Note 2 6 6 2" xfId="7971"/>
    <cellStyle name="Note 2 6 6 2 2" xfId="15750"/>
    <cellStyle name="Note 2 6 6 2 3" xfId="32232"/>
    <cellStyle name="Note 2 6 6 3" xfId="13516"/>
    <cellStyle name="Note 2 6 6 3 2" xfId="27065"/>
    <cellStyle name="Note 2 6 6 4" xfId="32231"/>
    <cellStyle name="Note 2 6 7" xfId="7972"/>
    <cellStyle name="Note 2 6 7 2" xfId="14097"/>
    <cellStyle name="Note 2 6 7 2 2" xfId="27646"/>
    <cellStyle name="Note 2 6 7 3" xfId="32233"/>
    <cellStyle name="Note 2 6 8" xfId="7973"/>
    <cellStyle name="Note 2 6 8 2" xfId="15983"/>
    <cellStyle name="Note 2 6 8 2 2" xfId="29390"/>
    <cellStyle name="Note 2 6 8 3" xfId="32234"/>
    <cellStyle name="Note 2 6 9" xfId="10292"/>
    <cellStyle name="Note 2 7" xfId="7974"/>
    <cellStyle name="Note 2 7 2" xfId="7975"/>
    <cellStyle name="Note 2 7 2 2" xfId="7976"/>
    <cellStyle name="Note 2 7 2 2 2" xfId="7977"/>
    <cellStyle name="Note 2 7 2 2 2 2" xfId="11637"/>
    <cellStyle name="Note 2 7 2 2 2 3" xfId="32238"/>
    <cellStyle name="Note 2 7 2 2 3" xfId="7978"/>
    <cellStyle name="Note 2 7 2 2 3 2" xfId="16873"/>
    <cellStyle name="Note 2 7 2 2 3 2 2" xfId="30280"/>
    <cellStyle name="Note 2 7 2 2 3 3" xfId="32239"/>
    <cellStyle name="Note 2 7 2 2 4" xfId="10302"/>
    <cellStyle name="Note 2 7 2 2 5" xfId="32237"/>
    <cellStyle name="Note 2 7 2 3" xfId="7979"/>
    <cellStyle name="Note 2 7 2 3 2" xfId="7980"/>
    <cellStyle name="Note 2 7 2 3 2 2" xfId="13316"/>
    <cellStyle name="Note 2 7 2 3 2 3" xfId="32241"/>
    <cellStyle name="Note 2 7 2 3 3" xfId="12261"/>
    <cellStyle name="Note 2 7 2 3 3 2" xfId="25973"/>
    <cellStyle name="Note 2 7 2 3 4" xfId="32240"/>
    <cellStyle name="Note 2 7 2 4" xfId="7981"/>
    <cellStyle name="Note 2 7 2 4 2" xfId="7982"/>
    <cellStyle name="Note 2 7 2 4 2 2" xfId="15751"/>
    <cellStyle name="Note 2 7 2 4 2 3" xfId="32243"/>
    <cellStyle name="Note 2 7 2 4 3" xfId="13825"/>
    <cellStyle name="Note 2 7 2 4 3 2" xfId="27374"/>
    <cellStyle name="Note 2 7 2 4 4" xfId="32242"/>
    <cellStyle name="Note 2 7 2 5" xfId="7983"/>
    <cellStyle name="Note 2 7 2 5 2" xfId="14406"/>
    <cellStyle name="Note 2 7 2 5 2 2" xfId="27955"/>
    <cellStyle name="Note 2 7 2 5 3" xfId="32244"/>
    <cellStyle name="Note 2 7 2 6" xfId="7984"/>
    <cellStyle name="Note 2 7 2 6 2" xfId="16292"/>
    <cellStyle name="Note 2 7 2 6 2 2" xfId="29699"/>
    <cellStyle name="Note 2 7 2 6 3" xfId="32245"/>
    <cellStyle name="Note 2 7 2 7" xfId="10301"/>
    <cellStyle name="Note 2 7 2 8" xfId="32236"/>
    <cellStyle name="Note 2 7 3" xfId="7985"/>
    <cellStyle name="Note 2 7 3 2" xfId="7986"/>
    <cellStyle name="Note 2 7 3 2 2" xfId="11638"/>
    <cellStyle name="Note 2 7 3 2 3" xfId="32247"/>
    <cellStyle name="Note 2 7 3 3" xfId="7987"/>
    <cellStyle name="Note 2 7 3 3 2" xfId="16584"/>
    <cellStyle name="Note 2 7 3 3 2 2" xfId="29991"/>
    <cellStyle name="Note 2 7 3 3 3" xfId="32248"/>
    <cellStyle name="Note 2 7 3 4" xfId="10303"/>
    <cellStyle name="Note 2 7 3 5" xfId="32246"/>
    <cellStyle name="Note 2 7 4" xfId="7988"/>
    <cellStyle name="Note 2 7 4 2" xfId="7989"/>
    <cellStyle name="Note 2 7 4 2 2" xfId="13317"/>
    <cellStyle name="Note 2 7 4 2 3" xfId="32250"/>
    <cellStyle name="Note 2 7 4 3" xfId="11961"/>
    <cellStyle name="Note 2 7 4 3 2" xfId="25676"/>
    <cellStyle name="Note 2 7 4 4" xfId="32249"/>
    <cellStyle name="Note 2 7 5" xfId="7990"/>
    <cellStyle name="Note 2 7 5 2" xfId="7991"/>
    <cellStyle name="Note 2 7 5 2 2" xfId="15752"/>
    <cellStyle name="Note 2 7 5 2 3" xfId="32252"/>
    <cellStyle name="Note 2 7 5 3" xfId="13536"/>
    <cellStyle name="Note 2 7 5 3 2" xfId="27085"/>
    <cellStyle name="Note 2 7 5 4" xfId="32251"/>
    <cellStyle name="Note 2 7 6" xfId="7992"/>
    <cellStyle name="Note 2 7 6 2" xfId="14117"/>
    <cellStyle name="Note 2 7 6 2 2" xfId="27666"/>
    <cellStyle name="Note 2 7 6 3" xfId="32253"/>
    <cellStyle name="Note 2 7 7" xfId="7993"/>
    <cellStyle name="Note 2 7 7 2" xfId="16003"/>
    <cellStyle name="Note 2 7 7 2 2" xfId="29410"/>
    <cellStyle name="Note 2 7 7 3" xfId="32254"/>
    <cellStyle name="Note 2 7 8" xfId="10300"/>
    <cellStyle name="Note 2 7 9" xfId="32235"/>
    <cellStyle name="Note 2 8" xfId="7994"/>
    <cellStyle name="Note 2 8 2" xfId="7995"/>
    <cellStyle name="Note 2 8 2 2" xfId="7996"/>
    <cellStyle name="Note 2 8 2 2 2" xfId="11639"/>
    <cellStyle name="Note 2 8 2 2 3" xfId="32257"/>
    <cellStyle name="Note 2 8 2 3" xfId="7997"/>
    <cellStyle name="Note 2 8 2 3 2" xfId="16729"/>
    <cellStyle name="Note 2 8 2 3 2 2" xfId="30136"/>
    <cellStyle name="Note 2 8 2 3 3" xfId="32258"/>
    <cellStyle name="Note 2 8 2 4" xfId="10305"/>
    <cellStyle name="Note 2 8 2 5" xfId="32256"/>
    <cellStyle name="Note 2 8 3" xfId="7998"/>
    <cellStyle name="Note 2 8 3 2" xfId="7999"/>
    <cellStyle name="Note 2 8 3 2 2" xfId="13318"/>
    <cellStyle name="Note 2 8 3 2 3" xfId="32260"/>
    <cellStyle name="Note 2 8 3 3" xfId="12117"/>
    <cellStyle name="Note 2 8 3 3 2" xfId="25829"/>
    <cellStyle name="Note 2 8 3 4" xfId="32259"/>
    <cellStyle name="Note 2 8 4" xfId="8000"/>
    <cellStyle name="Note 2 8 4 2" xfId="8001"/>
    <cellStyle name="Note 2 8 4 2 2" xfId="15753"/>
    <cellStyle name="Note 2 8 4 2 3" xfId="32262"/>
    <cellStyle name="Note 2 8 4 3" xfId="13681"/>
    <cellStyle name="Note 2 8 4 3 2" xfId="27230"/>
    <cellStyle name="Note 2 8 4 4" xfId="32261"/>
    <cellStyle name="Note 2 8 5" xfId="8002"/>
    <cellStyle name="Note 2 8 5 2" xfId="14262"/>
    <cellStyle name="Note 2 8 5 2 2" xfId="27811"/>
    <cellStyle name="Note 2 8 5 3" xfId="32263"/>
    <cellStyle name="Note 2 8 6" xfId="8003"/>
    <cellStyle name="Note 2 8 6 2" xfId="16148"/>
    <cellStyle name="Note 2 8 6 2 2" xfId="29555"/>
    <cellStyle name="Note 2 8 6 3" xfId="32264"/>
    <cellStyle name="Note 2 8 7" xfId="10304"/>
    <cellStyle name="Note 2 8 8" xfId="32255"/>
    <cellStyle name="Note 2 9" xfId="8004"/>
    <cellStyle name="Note 2 9 2" xfId="8005"/>
    <cellStyle name="Note 2 9 2 2" xfId="13319"/>
    <cellStyle name="Note 2 9 2 3" xfId="32266"/>
    <cellStyle name="Note 2 9 3" xfId="8006"/>
    <cellStyle name="Note 2 9 3 2" xfId="17052"/>
    <cellStyle name="Note 2 9 3 2 2" xfId="30451"/>
    <cellStyle name="Note 2 9 3 3" xfId="32267"/>
    <cellStyle name="Note 2 9 4" xfId="10306"/>
    <cellStyle name="Note 2 9 5" xfId="32265"/>
    <cellStyle name="Note 3" xfId="8007"/>
    <cellStyle name="Note 3 10" xfId="10307"/>
    <cellStyle name="Note 3 11" xfId="32268"/>
    <cellStyle name="Note 3 2" xfId="8008"/>
    <cellStyle name="Note 3 2 10" xfId="32269"/>
    <cellStyle name="Note 3 2 2" xfId="8009"/>
    <cellStyle name="Note 3 2 2 2" xfId="8010"/>
    <cellStyle name="Note 3 2 2 2 2" xfId="8011"/>
    <cellStyle name="Note 3 2 2 2 2 2" xfId="8012"/>
    <cellStyle name="Note 3 2 2 2 2 2 2" xfId="11640"/>
    <cellStyle name="Note 3 2 2 2 2 2 3" xfId="32273"/>
    <cellStyle name="Note 3 2 2 2 2 3" xfId="8013"/>
    <cellStyle name="Note 3 2 2 2 2 3 2" xfId="16960"/>
    <cellStyle name="Note 3 2 2 2 2 3 2 2" xfId="30367"/>
    <cellStyle name="Note 3 2 2 2 2 3 3" xfId="32274"/>
    <cellStyle name="Note 3 2 2 2 2 4" xfId="10311"/>
    <cellStyle name="Note 3 2 2 2 2 5" xfId="32272"/>
    <cellStyle name="Note 3 2 2 2 3" xfId="8014"/>
    <cellStyle name="Note 3 2 2 2 3 2" xfId="8015"/>
    <cellStyle name="Note 3 2 2 2 3 2 2" xfId="13320"/>
    <cellStyle name="Note 3 2 2 2 3 2 3" xfId="32276"/>
    <cellStyle name="Note 3 2 2 2 3 3" xfId="12348"/>
    <cellStyle name="Note 3 2 2 2 3 3 2" xfId="26060"/>
    <cellStyle name="Note 3 2 2 2 3 4" xfId="32275"/>
    <cellStyle name="Note 3 2 2 2 4" xfId="8016"/>
    <cellStyle name="Note 3 2 2 2 4 2" xfId="8017"/>
    <cellStyle name="Note 3 2 2 2 4 2 2" xfId="15754"/>
    <cellStyle name="Note 3 2 2 2 4 2 3" xfId="32278"/>
    <cellStyle name="Note 3 2 2 2 4 3" xfId="13912"/>
    <cellStyle name="Note 3 2 2 2 4 3 2" xfId="27461"/>
    <cellStyle name="Note 3 2 2 2 4 4" xfId="32277"/>
    <cellStyle name="Note 3 2 2 2 5" xfId="8018"/>
    <cellStyle name="Note 3 2 2 2 5 2" xfId="14493"/>
    <cellStyle name="Note 3 2 2 2 5 2 2" xfId="28042"/>
    <cellStyle name="Note 3 2 2 2 5 3" xfId="32279"/>
    <cellStyle name="Note 3 2 2 2 6" xfId="8019"/>
    <cellStyle name="Note 3 2 2 2 6 2" xfId="16379"/>
    <cellStyle name="Note 3 2 2 2 6 2 2" xfId="29786"/>
    <cellStyle name="Note 3 2 2 2 6 3" xfId="32280"/>
    <cellStyle name="Note 3 2 2 2 7" xfId="10310"/>
    <cellStyle name="Note 3 2 2 2 8" xfId="32271"/>
    <cellStyle name="Note 3 2 2 3" xfId="8020"/>
    <cellStyle name="Note 3 2 2 3 2" xfId="8021"/>
    <cellStyle name="Note 3 2 2 3 2 2" xfId="11641"/>
    <cellStyle name="Note 3 2 2 3 2 3" xfId="32282"/>
    <cellStyle name="Note 3 2 2 3 3" xfId="8022"/>
    <cellStyle name="Note 3 2 2 3 3 2" xfId="16671"/>
    <cellStyle name="Note 3 2 2 3 3 2 2" xfId="30078"/>
    <cellStyle name="Note 3 2 2 3 3 3" xfId="32283"/>
    <cellStyle name="Note 3 2 2 3 4" xfId="10312"/>
    <cellStyle name="Note 3 2 2 3 5" xfId="32281"/>
    <cellStyle name="Note 3 2 2 4" xfId="8023"/>
    <cellStyle name="Note 3 2 2 4 2" xfId="8024"/>
    <cellStyle name="Note 3 2 2 4 2 2" xfId="13321"/>
    <cellStyle name="Note 3 2 2 4 2 3" xfId="32285"/>
    <cellStyle name="Note 3 2 2 4 3" xfId="12048"/>
    <cellStyle name="Note 3 2 2 4 3 2" xfId="25763"/>
    <cellStyle name="Note 3 2 2 4 4" xfId="32284"/>
    <cellStyle name="Note 3 2 2 5" xfId="8025"/>
    <cellStyle name="Note 3 2 2 5 2" xfId="8026"/>
    <cellStyle name="Note 3 2 2 5 2 2" xfId="15755"/>
    <cellStyle name="Note 3 2 2 5 2 3" xfId="32287"/>
    <cellStyle name="Note 3 2 2 5 3" xfId="13623"/>
    <cellStyle name="Note 3 2 2 5 3 2" xfId="27172"/>
    <cellStyle name="Note 3 2 2 5 4" xfId="32286"/>
    <cellStyle name="Note 3 2 2 6" xfId="8027"/>
    <cellStyle name="Note 3 2 2 6 2" xfId="14204"/>
    <cellStyle name="Note 3 2 2 6 2 2" xfId="27753"/>
    <cellStyle name="Note 3 2 2 6 3" xfId="32288"/>
    <cellStyle name="Note 3 2 2 7" xfId="8028"/>
    <cellStyle name="Note 3 2 2 7 2" xfId="16090"/>
    <cellStyle name="Note 3 2 2 7 2 2" xfId="29497"/>
    <cellStyle name="Note 3 2 2 7 3" xfId="32289"/>
    <cellStyle name="Note 3 2 2 8" xfId="10309"/>
    <cellStyle name="Note 3 2 2 9" xfId="32270"/>
    <cellStyle name="Note 3 2 3" xfId="8029"/>
    <cellStyle name="Note 3 2 3 2" xfId="8030"/>
    <cellStyle name="Note 3 2 3 2 2" xfId="8031"/>
    <cellStyle name="Note 3 2 3 2 2 2" xfId="11642"/>
    <cellStyle name="Note 3 2 3 2 2 3" xfId="32292"/>
    <cellStyle name="Note 3 2 3 2 3" xfId="8032"/>
    <cellStyle name="Note 3 2 3 2 3 2" xfId="16817"/>
    <cellStyle name="Note 3 2 3 2 3 2 2" xfId="30224"/>
    <cellStyle name="Note 3 2 3 2 3 3" xfId="32293"/>
    <cellStyle name="Note 3 2 3 2 4" xfId="10314"/>
    <cellStyle name="Note 3 2 3 2 5" xfId="32291"/>
    <cellStyle name="Note 3 2 3 3" xfId="8033"/>
    <cellStyle name="Note 3 2 3 3 2" xfId="8034"/>
    <cellStyle name="Note 3 2 3 3 2 2" xfId="13322"/>
    <cellStyle name="Note 3 2 3 3 2 3" xfId="32295"/>
    <cellStyle name="Note 3 2 3 3 3" xfId="12205"/>
    <cellStyle name="Note 3 2 3 3 3 2" xfId="25917"/>
    <cellStyle name="Note 3 2 3 3 4" xfId="32294"/>
    <cellStyle name="Note 3 2 3 4" xfId="8035"/>
    <cellStyle name="Note 3 2 3 4 2" xfId="8036"/>
    <cellStyle name="Note 3 2 3 4 2 2" xfId="15756"/>
    <cellStyle name="Note 3 2 3 4 2 3" xfId="32297"/>
    <cellStyle name="Note 3 2 3 4 3" xfId="13769"/>
    <cellStyle name="Note 3 2 3 4 3 2" xfId="27318"/>
    <cellStyle name="Note 3 2 3 4 4" xfId="32296"/>
    <cellStyle name="Note 3 2 3 5" xfId="8037"/>
    <cellStyle name="Note 3 2 3 5 2" xfId="14350"/>
    <cellStyle name="Note 3 2 3 5 2 2" xfId="27899"/>
    <cellStyle name="Note 3 2 3 5 3" xfId="32298"/>
    <cellStyle name="Note 3 2 3 6" xfId="8038"/>
    <cellStyle name="Note 3 2 3 6 2" xfId="16236"/>
    <cellStyle name="Note 3 2 3 6 2 2" xfId="29643"/>
    <cellStyle name="Note 3 2 3 6 3" xfId="32299"/>
    <cellStyle name="Note 3 2 3 7" xfId="10313"/>
    <cellStyle name="Note 3 2 3 8" xfId="32290"/>
    <cellStyle name="Note 3 2 4" xfId="8039"/>
    <cellStyle name="Note 3 2 4 2" xfId="8040"/>
    <cellStyle name="Note 3 2 4 2 2" xfId="11643"/>
    <cellStyle name="Note 3 2 4 2 3" xfId="32301"/>
    <cellStyle name="Note 3 2 4 3" xfId="8041"/>
    <cellStyle name="Note 3 2 4 3 2" xfId="17164"/>
    <cellStyle name="Note 3 2 4 3 2 2" xfId="30523"/>
    <cellStyle name="Note 3 2 4 3 3" xfId="32302"/>
    <cellStyle name="Note 3 2 4 4" xfId="10315"/>
    <cellStyle name="Note 3 2 4 5" xfId="32300"/>
    <cellStyle name="Note 3 2 5" xfId="8042"/>
    <cellStyle name="Note 3 2 5 2" xfId="8043"/>
    <cellStyle name="Note 3 2 5 2 2" xfId="13323"/>
    <cellStyle name="Note 3 2 5 2 3" xfId="32304"/>
    <cellStyle name="Note 3 2 5 3" xfId="8044"/>
    <cellStyle name="Note 3 2 5 3 2" xfId="17253"/>
    <cellStyle name="Note 3 2 5 3 2 2" xfId="30612"/>
    <cellStyle name="Note 3 2 5 3 3" xfId="32305"/>
    <cellStyle name="Note 3 2 5 4" xfId="11903"/>
    <cellStyle name="Note 3 2 5 4 2" xfId="25618"/>
    <cellStyle name="Note 3 2 5 5" xfId="32303"/>
    <cellStyle name="Note 3 2 6" xfId="8045"/>
    <cellStyle name="Note 3 2 6 2" xfId="8046"/>
    <cellStyle name="Note 3 2 6 2 2" xfId="15757"/>
    <cellStyle name="Note 3 2 6 2 3" xfId="32307"/>
    <cellStyle name="Note 3 2 6 3" xfId="8047"/>
    <cellStyle name="Note 3 2 6 3 2" xfId="16528"/>
    <cellStyle name="Note 3 2 6 3 2 2" xfId="29935"/>
    <cellStyle name="Note 3 2 6 3 3" xfId="32308"/>
    <cellStyle name="Note 3 2 6 4" xfId="13480"/>
    <cellStyle name="Note 3 2 6 4 2" xfId="27029"/>
    <cellStyle name="Note 3 2 6 5" xfId="32306"/>
    <cellStyle name="Note 3 2 7" xfId="8048"/>
    <cellStyle name="Note 3 2 7 2" xfId="14061"/>
    <cellStyle name="Note 3 2 7 2 2" xfId="27610"/>
    <cellStyle name="Note 3 2 7 3" xfId="32309"/>
    <cellStyle name="Note 3 2 8" xfId="8049"/>
    <cellStyle name="Note 3 2 8 2" xfId="15947"/>
    <cellStyle name="Note 3 2 8 2 2" xfId="29354"/>
    <cellStyle name="Note 3 2 8 3" xfId="32310"/>
    <cellStyle name="Note 3 2 9" xfId="10308"/>
    <cellStyle name="Note 3 3" xfId="8050"/>
    <cellStyle name="Note 3 3 2" xfId="8051"/>
    <cellStyle name="Note 3 3 2 2" xfId="8052"/>
    <cellStyle name="Note 3 3 2 2 2" xfId="8053"/>
    <cellStyle name="Note 3 3 2 2 2 2" xfId="11644"/>
    <cellStyle name="Note 3 3 2 2 2 3" xfId="32314"/>
    <cellStyle name="Note 3 3 2 2 3" xfId="8054"/>
    <cellStyle name="Note 3 3 2 2 3 2" xfId="16914"/>
    <cellStyle name="Note 3 3 2 2 3 2 2" xfId="30321"/>
    <cellStyle name="Note 3 3 2 2 3 3" xfId="32315"/>
    <cellStyle name="Note 3 3 2 2 4" xfId="10318"/>
    <cellStyle name="Note 3 3 2 2 5" xfId="32313"/>
    <cellStyle name="Note 3 3 2 3" xfId="8055"/>
    <cellStyle name="Note 3 3 2 3 2" xfId="8056"/>
    <cellStyle name="Note 3 3 2 3 2 2" xfId="13324"/>
    <cellStyle name="Note 3 3 2 3 2 3" xfId="32317"/>
    <cellStyle name="Note 3 3 2 3 3" xfId="12302"/>
    <cellStyle name="Note 3 3 2 3 3 2" xfId="26014"/>
    <cellStyle name="Note 3 3 2 3 4" xfId="32316"/>
    <cellStyle name="Note 3 3 2 4" xfId="8057"/>
    <cellStyle name="Note 3 3 2 4 2" xfId="8058"/>
    <cellStyle name="Note 3 3 2 4 2 2" xfId="15758"/>
    <cellStyle name="Note 3 3 2 4 2 3" xfId="32319"/>
    <cellStyle name="Note 3 3 2 4 3" xfId="13866"/>
    <cellStyle name="Note 3 3 2 4 3 2" xfId="27415"/>
    <cellStyle name="Note 3 3 2 4 4" xfId="32318"/>
    <cellStyle name="Note 3 3 2 5" xfId="8059"/>
    <cellStyle name="Note 3 3 2 5 2" xfId="14447"/>
    <cellStyle name="Note 3 3 2 5 2 2" xfId="27996"/>
    <cellStyle name="Note 3 3 2 5 3" xfId="32320"/>
    <cellStyle name="Note 3 3 2 6" xfId="8060"/>
    <cellStyle name="Note 3 3 2 6 2" xfId="16333"/>
    <cellStyle name="Note 3 3 2 6 2 2" xfId="29740"/>
    <cellStyle name="Note 3 3 2 6 3" xfId="32321"/>
    <cellStyle name="Note 3 3 2 7" xfId="10317"/>
    <cellStyle name="Note 3 3 2 8" xfId="32312"/>
    <cellStyle name="Note 3 3 3" xfId="8061"/>
    <cellStyle name="Note 3 3 3 2" xfId="8062"/>
    <cellStyle name="Note 3 3 3 2 2" xfId="11645"/>
    <cellStyle name="Note 3 3 3 2 3" xfId="32323"/>
    <cellStyle name="Note 3 3 3 3" xfId="8063"/>
    <cellStyle name="Note 3 3 3 3 2" xfId="16625"/>
    <cellStyle name="Note 3 3 3 3 2 2" xfId="30032"/>
    <cellStyle name="Note 3 3 3 3 3" xfId="32324"/>
    <cellStyle name="Note 3 3 3 4" xfId="10319"/>
    <cellStyle name="Note 3 3 3 5" xfId="32322"/>
    <cellStyle name="Note 3 3 4" xfId="8064"/>
    <cellStyle name="Note 3 3 4 2" xfId="8065"/>
    <cellStyle name="Note 3 3 4 2 2" xfId="13325"/>
    <cellStyle name="Note 3 3 4 2 3" xfId="32326"/>
    <cellStyle name="Note 3 3 4 3" xfId="12002"/>
    <cellStyle name="Note 3 3 4 3 2" xfId="25717"/>
    <cellStyle name="Note 3 3 4 4" xfId="32325"/>
    <cellStyle name="Note 3 3 5" xfId="8066"/>
    <cellStyle name="Note 3 3 5 2" xfId="8067"/>
    <cellStyle name="Note 3 3 5 2 2" xfId="15759"/>
    <cellStyle name="Note 3 3 5 2 3" xfId="32328"/>
    <cellStyle name="Note 3 3 5 3" xfId="13577"/>
    <cellStyle name="Note 3 3 5 3 2" xfId="27126"/>
    <cellStyle name="Note 3 3 5 4" xfId="32327"/>
    <cellStyle name="Note 3 3 6" xfId="8068"/>
    <cellStyle name="Note 3 3 6 2" xfId="14158"/>
    <cellStyle name="Note 3 3 6 2 2" xfId="27707"/>
    <cellStyle name="Note 3 3 6 3" xfId="32329"/>
    <cellStyle name="Note 3 3 7" xfId="8069"/>
    <cellStyle name="Note 3 3 7 2" xfId="16044"/>
    <cellStyle name="Note 3 3 7 2 2" xfId="29451"/>
    <cellStyle name="Note 3 3 7 3" xfId="32330"/>
    <cellStyle name="Note 3 3 8" xfId="10316"/>
    <cellStyle name="Note 3 3 9" xfId="32311"/>
    <cellStyle name="Note 3 4" xfId="8070"/>
    <cellStyle name="Note 3 4 2" xfId="8071"/>
    <cellStyle name="Note 3 4 2 2" xfId="8072"/>
    <cellStyle name="Note 3 4 2 2 2" xfId="11646"/>
    <cellStyle name="Note 3 4 2 2 3" xfId="32333"/>
    <cellStyle name="Note 3 4 2 3" xfId="8073"/>
    <cellStyle name="Note 3 4 2 3 2" xfId="16771"/>
    <cellStyle name="Note 3 4 2 3 2 2" xfId="30178"/>
    <cellStyle name="Note 3 4 2 3 3" xfId="32334"/>
    <cellStyle name="Note 3 4 2 4" xfId="10321"/>
    <cellStyle name="Note 3 4 2 5" xfId="32332"/>
    <cellStyle name="Note 3 4 3" xfId="8074"/>
    <cellStyle name="Note 3 4 3 2" xfId="8075"/>
    <cellStyle name="Note 3 4 3 2 2" xfId="13326"/>
    <cellStyle name="Note 3 4 3 2 3" xfId="32336"/>
    <cellStyle name="Note 3 4 3 3" xfId="12159"/>
    <cellStyle name="Note 3 4 3 3 2" xfId="25871"/>
    <cellStyle name="Note 3 4 3 4" xfId="32335"/>
    <cellStyle name="Note 3 4 4" xfId="8076"/>
    <cellStyle name="Note 3 4 4 2" xfId="8077"/>
    <cellStyle name="Note 3 4 4 2 2" xfId="15760"/>
    <cellStyle name="Note 3 4 4 2 3" xfId="32338"/>
    <cellStyle name="Note 3 4 4 3" xfId="13723"/>
    <cellStyle name="Note 3 4 4 3 2" xfId="27272"/>
    <cellStyle name="Note 3 4 4 4" xfId="32337"/>
    <cellStyle name="Note 3 4 5" xfId="8078"/>
    <cellStyle name="Note 3 4 5 2" xfId="14304"/>
    <cellStyle name="Note 3 4 5 2 2" xfId="27853"/>
    <cellStyle name="Note 3 4 5 3" xfId="32339"/>
    <cellStyle name="Note 3 4 6" xfId="8079"/>
    <cellStyle name="Note 3 4 6 2" xfId="16190"/>
    <cellStyle name="Note 3 4 6 2 2" xfId="29597"/>
    <cellStyle name="Note 3 4 6 3" xfId="32340"/>
    <cellStyle name="Note 3 4 7" xfId="10320"/>
    <cellStyle name="Note 3 4 8" xfId="32331"/>
    <cellStyle name="Note 3 5" xfId="8080"/>
    <cellStyle name="Note 3 5 2" xfId="8081"/>
    <cellStyle name="Note 3 5 2 2" xfId="11647"/>
    <cellStyle name="Note 3 5 2 3" xfId="32342"/>
    <cellStyle name="Note 3 5 3" xfId="8082"/>
    <cellStyle name="Note 3 5 3 2" xfId="17118"/>
    <cellStyle name="Note 3 5 3 2 2" xfId="30477"/>
    <cellStyle name="Note 3 5 3 3" xfId="32343"/>
    <cellStyle name="Note 3 5 4" xfId="10322"/>
    <cellStyle name="Note 3 5 5" xfId="32341"/>
    <cellStyle name="Note 3 6" xfId="8083"/>
    <cellStyle name="Note 3 6 2" xfId="8084"/>
    <cellStyle name="Note 3 6 2 2" xfId="13327"/>
    <cellStyle name="Note 3 6 2 3" xfId="32345"/>
    <cellStyle name="Note 3 6 3" xfId="8085"/>
    <cellStyle name="Note 3 6 3 2" xfId="17207"/>
    <cellStyle name="Note 3 6 3 2 2" xfId="30566"/>
    <cellStyle name="Note 3 6 3 3" xfId="32346"/>
    <cellStyle name="Note 3 6 4" xfId="11834"/>
    <cellStyle name="Note 3 6 4 2" xfId="25549"/>
    <cellStyle name="Note 3 6 5" xfId="32344"/>
    <cellStyle name="Note 3 7" xfId="8086"/>
    <cellStyle name="Note 3 7 2" xfId="8087"/>
    <cellStyle name="Note 3 7 2 2" xfId="15761"/>
    <cellStyle name="Note 3 7 2 3" xfId="32348"/>
    <cellStyle name="Note 3 7 3" xfId="8088"/>
    <cellStyle name="Note 3 7 3 2" xfId="16482"/>
    <cellStyle name="Note 3 7 3 2 2" xfId="29889"/>
    <cellStyle name="Note 3 7 3 3" xfId="32349"/>
    <cellStyle name="Note 3 7 4" xfId="13434"/>
    <cellStyle name="Note 3 7 4 2" xfId="26983"/>
    <cellStyle name="Note 3 7 5" xfId="32347"/>
    <cellStyle name="Note 3 8" xfId="8089"/>
    <cellStyle name="Note 3 8 2" xfId="14015"/>
    <cellStyle name="Note 3 8 2 2" xfId="27564"/>
    <cellStyle name="Note 3 8 3" xfId="32350"/>
    <cellStyle name="Note 3 9" xfId="8090"/>
    <cellStyle name="Note 3 9 2" xfId="15901"/>
    <cellStyle name="Note 3 9 2 2" xfId="29308"/>
    <cellStyle name="Note 3 9 3" xfId="32351"/>
    <cellStyle name="Note 4" xfId="17373"/>
    <cellStyle name="Note 4 2" xfId="30689"/>
    <cellStyle name="Note 5" xfId="17294"/>
    <cellStyle name="Note 5 2" xfId="30653"/>
    <cellStyle name="Output" xfId="23" builtinId="21" customBuiltin="1"/>
    <cellStyle name="Output 10" xfId="8091"/>
    <cellStyle name="Output 10 2" xfId="10324"/>
    <cellStyle name="Output 10 3" xfId="32352"/>
    <cellStyle name="Output 11" xfId="8092"/>
    <cellStyle name="Output 11 2" xfId="10325"/>
    <cellStyle name="Output 11 3" xfId="32353"/>
    <cellStyle name="Output 12" xfId="8093"/>
    <cellStyle name="Output 12 2" xfId="8094"/>
    <cellStyle name="Output 12 2 2" xfId="15762"/>
    <cellStyle name="Output 12 2 3" xfId="32355"/>
    <cellStyle name="Output 12 3" xfId="10499"/>
    <cellStyle name="Output 12 4" xfId="32354"/>
    <cellStyle name="Output 13" xfId="8095"/>
    <cellStyle name="Output 13 2" xfId="11648"/>
    <cellStyle name="Output 13 3" xfId="32356"/>
    <cellStyle name="Output 14" xfId="8096"/>
    <cellStyle name="Output 14 2" xfId="10323"/>
    <cellStyle name="Output 14 3" xfId="32357"/>
    <cellStyle name="Output 2" xfId="8097"/>
    <cellStyle name="Output 2 2" xfId="10326"/>
    <cellStyle name="Output 2 3" xfId="32358"/>
    <cellStyle name="Output 2 4" xfId="33053"/>
    <cellStyle name="Output 3" xfId="8098"/>
    <cellStyle name="Output 3 2" xfId="8099"/>
    <cellStyle name="Output 3 2 2" xfId="10328"/>
    <cellStyle name="Output 3 2 3" xfId="32360"/>
    <cellStyle name="Output 3 3" xfId="10327"/>
    <cellStyle name="Output 3 4" xfId="32359"/>
    <cellStyle name="Output 4" xfId="8100"/>
    <cellStyle name="Output 4 2" xfId="8101"/>
    <cellStyle name="Output 4 2 2" xfId="13329"/>
    <cellStyle name="Output 4 2 3" xfId="32362"/>
    <cellStyle name="Output 4 3" xfId="8102"/>
    <cellStyle name="Output 4 3 2" xfId="13328"/>
    <cellStyle name="Output 4 3 3" xfId="32363"/>
    <cellStyle name="Output 4 4" xfId="10329"/>
    <cellStyle name="Output 4 5" xfId="32361"/>
    <cellStyle name="Output 5" xfId="8103"/>
    <cellStyle name="Output 5 2" xfId="8104"/>
    <cellStyle name="Output 5 2 2" xfId="10331"/>
    <cellStyle name="Output 5 2 3" xfId="32365"/>
    <cellStyle name="Output 5 3" xfId="10330"/>
    <cellStyle name="Output 5 4" xfId="32364"/>
    <cellStyle name="Output 6" xfId="8105"/>
    <cellStyle name="Output 6 2" xfId="10332"/>
    <cellStyle name="Output 6 3" xfId="32366"/>
    <cellStyle name="Output 7" xfId="8106"/>
    <cellStyle name="Output 7 2" xfId="10333"/>
    <cellStyle name="Output 7 3" xfId="32367"/>
    <cellStyle name="Output 8" xfId="8107"/>
    <cellStyle name="Output 8 2" xfId="10334"/>
    <cellStyle name="Output 8 3" xfId="32368"/>
    <cellStyle name="Output 9" xfId="8108"/>
    <cellStyle name="Output 9 2" xfId="10335"/>
    <cellStyle name="Output 9 3" xfId="32369"/>
    <cellStyle name="Percent" xfId="9" builtinId="5"/>
    <cellStyle name="Percent 10" xfId="10336"/>
    <cellStyle name="Percent 11" xfId="17374"/>
    <cellStyle name="Percent 11 2" xfId="30690"/>
    <cellStyle name="Percent 12" xfId="8787"/>
    <cellStyle name="Percent 13" xfId="51"/>
    <cellStyle name="Percent 2" xfId="10"/>
    <cellStyle name="Percent 2 10" xfId="8110"/>
    <cellStyle name="Percent 2 10 2" xfId="10338"/>
    <cellStyle name="Percent 2 10 3" xfId="32370"/>
    <cellStyle name="Percent 2 11" xfId="8111"/>
    <cellStyle name="Percent 2 11 2" xfId="8112"/>
    <cellStyle name="Percent 2 11 2 2" xfId="13330"/>
    <cellStyle name="Percent 2 11 2 3" xfId="32372"/>
    <cellStyle name="Percent 2 11 3" xfId="8113"/>
    <cellStyle name="Percent 2 11 3 2" xfId="17054"/>
    <cellStyle name="Percent 2 11 3 2 2" xfId="30453"/>
    <cellStyle name="Percent 2 11 3 3" xfId="32373"/>
    <cellStyle name="Percent 2 11 4" xfId="10339"/>
    <cellStyle name="Percent 2 11 5" xfId="32371"/>
    <cellStyle name="Percent 2 12" xfId="8114"/>
    <cellStyle name="Percent 2 12 2" xfId="8115"/>
    <cellStyle name="Percent 2 12 2 2" xfId="13332"/>
    <cellStyle name="Percent 2 12 2 3" xfId="32375"/>
    <cellStyle name="Percent 2 12 3" xfId="8116"/>
    <cellStyle name="Percent 2 12 3 2" xfId="13331"/>
    <cellStyle name="Percent 2 12 3 2 2" xfId="26922"/>
    <cellStyle name="Percent 2 12 3 3" xfId="32376"/>
    <cellStyle name="Percent 2 12 4" xfId="8117"/>
    <cellStyle name="Percent 2 12 4 2" xfId="17112"/>
    <cellStyle name="Percent 2 12 4 2 2" xfId="30471"/>
    <cellStyle name="Percent 2 12 4 3" xfId="32377"/>
    <cellStyle name="Percent 2 12 5" xfId="10340"/>
    <cellStyle name="Percent 2 12 6" xfId="32374"/>
    <cellStyle name="Percent 2 13" xfId="8118"/>
    <cellStyle name="Percent 2 13 2" xfId="8119"/>
    <cellStyle name="Percent 2 13 2 2" xfId="17201"/>
    <cellStyle name="Percent 2 13 2 2 2" xfId="30560"/>
    <cellStyle name="Percent 2 13 2 3" xfId="32379"/>
    <cellStyle name="Percent 2 13 3" xfId="10341"/>
    <cellStyle name="Percent 2 13 4" xfId="32378"/>
    <cellStyle name="Percent 2 14" xfId="8120"/>
    <cellStyle name="Percent 2 14 2" xfId="8121"/>
    <cellStyle name="Percent 2 14 2 2" xfId="8122"/>
    <cellStyle name="Percent 2 14 2 2 2" xfId="11651"/>
    <cellStyle name="Percent 2 14 2 2 3" xfId="32382"/>
    <cellStyle name="Percent 2 14 2 3" xfId="10343"/>
    <cellStyle name="Percent 2 14 2 4" xfId="32381"/>
    <cellStyle name="Percent 2 14 3" xfId="8123"/>
    <cellStyle name="Percent 2 14 3 2" xfId="11650"/>
    <cellStyle name="Percent 2 14 3 3" xfId="32383"/>
    <cellStyle name="Percent 2 14 4" xfId="8124"/>
    <cellStyle name="Percent 2 14 4 2" xfId="17290"/>
    <cellStyle name="Percent 2 14 4 2 2" xfId="30649"/>
    <cellStyle name="Percent 2 14 4 3" xfId="32384"/>
    <cellStyle name="Percent 2 14 5" xfId="10342"/>
    <cellStyle name="Percent 2 14 6" xfId="32380"/>
    <cellStyle name="Percent 2 15" xfId="8125"/>
    <cellStyle name="Percent 2 15 2" xfId="8126"/>
    <cellStyle name="Percent 2 15 2 2" xfId="11652"/>
    <cellStyle name="Percent 2 15 2 3" xfId="32386"/>
    <cellStyle name="Percent 2 15 3" xfId="8127"/>
    <cellStyle name="Percent 2 15 3 2" xfId="16442"/>
    <cellStyle name="Percent 2 15 3 2 2" xfId="29849"/>
    <cellStyle name="Percent 2 15 3 3" xfId="32387"/>
    <cellStyle name="Percent 2 15 4" xfId="10344"/>
    <cellStyle name="Percent 2 15 5" xfId="32385"/>
    <cellStyle name="Percent 2 16" xfId="8128"/>
    <cellStyle name="Percent 2 16 2" xfId="8129"/>
    <cellStyle name="Percent 2 16 2 2" xfId="11653"/>
    <cellStyle name="Percent 2 16 2 3" xfId="32389"/>
    <cellStyle name="Percent 2 16 3" xfId="10345"/>
    <cellStyle name="Percent 2 16 4" xfId="32388"/>
    <cellStyle name="Percent 2 17" xfId="8130"/>
    <cellStyle name="Percent 2 17 2" xfId="8131"/>
    <cellStyle name="Percent 2 17 2 2" xfId="11654"/>
    <cellStyle name="Percent 2 17 2 3" xfId="32391"/>
    <cellStyle name="Percent 2 17 3" xfId="10346"/>
    <cellStyle name="Percent 2 17 4" xfId="32390"/>
    <cellStyle name="Percent 2 18" xfId="8132"/>
    <cellStyle name="Percent 2 18 2" xfId="8133"/>
    <cellStyle name="Percent 2 18 2 2" xfId="11655"/>
    <cellStyle name="Percent 2 18 2 3" xfId="32393"/>
    <cellStyle name="Percent 2 18 3" xfId="10347"/>
    <cellStyle name="Percent 2 18 4" xfId="32392"/>
    <cellStyle name="Percent 2 19" xfId="8134"/>
    <cellStyle name="Percent 2 19 2" xfId="8135"/>
    <cellStyle name="Percent 2 19 2 2" xfId="11656"/>
    <cellStyle name="Percent 2 19 2 3" xfId="32395"/>
    <cellStyle name="Percent 2 19 3" xfId="10348"/>
    <cellStyle name="Percent 2 19 4" xfId="32394"/>
    <cellStyle name="Percent 2 2" xfId="8136"/>
    <cellStyle name="Percent 2 2 10" xfId="8137"/>
    <cellStyle name="Percent 2 2 10 2" xfId="11657"/>
    <cellStyle name="Percent 2 2 10 3" xfId="32397"/>
    <cellStyle name="Percent 2 2 11" xfId="8138"/>
    <cellStyle name="Percent 2 2 11 2" xfId="8139"/>
    <cellStyle name="Percent 2 2 11 2 2" xfId="13333"/>
    <cellStyle name="Percent 2 2 11 2 2 2" xfId="26923"/>
    <cellStyle name="Percent 2 2 11 2 3" xfId="32399"/>
    <cellStyle name="Percent 2 2 11 3" xfId="8140"/>
    <cellStyle name="Percent 2 2 11 3 2" xfId="15763"/>
    <cellStyle name="Percent 2 2 11 3 3" xfId="32400"/>
    <cellStyle name="Percent 2 2 11 4" xfId="11733"/>
    <cellStyle name="Percent 2 2 11 5" xfId="32398"/>
    <cellStyle name="Percent 2 2 12" xfId="8141"/>
    <cellStyle name="Percent 2 2 12 2" xfId="11863"/>
    <cellStyle name="Percent 2 2 12 2 2" xfId="25578"/>
    <cellStyle name="Percent 2 2 12 3" xfId="32401"/>
    <cellStyle name="Percent 2 2 13" xfId="8142"/>
    <cellStyle name="Percent 2 2 13 2" xfId="13451"/>
    <cellStyle name="Percent 2 2 13 2 2" xfId="27000"/>
    <cellStyle name="Percent 2 2 13 3" xfId="32402"/>
    <cellStyle name="Percent 2 2 14" xfId="8143"/>
    <cellStyle name="Percent 2 2 14 2" xfId="14032"/>
    <cellStyle name="Percent 2 2 14 2 2" xfId="27581"/>
    <cellStyle name="Percent 2 2 14 3" xfId="32403"/>
    <cellStyle name="Percent 2 2 15" xfId="8144"/>
    <cellStyle name="Percent 2 2 15 2" xfId="15918"/>
    <cellStyle name="Percent 2 2 15 2 2" xfId="29325"/>
    <cellStyle name="Percent 2 2 15 3" xfId="32404"/>
    <cellStyle name="Percent 2 2 16" xfId="8145"/>
    <cellStyle name="Percent 2 2 16 2" xfId="10349"/>
    <cellStyle name="Percent 2 2 16 3" xfId="32405"/>
    <cellStyle name="Percent 2 2 17" xfId="8709"/>
    <cellStyle name="Percent 2 2 18" xfId="32396"/>
    <cellStyle name="Percent 2 2 2" xfId="8146"/>
    <cellStyle name="Percent 2 2 2 10" xfId="10350"/>
    <cellStyle name="Percent 2 2 2 11" xfId="32406"/>
    <cellStyle name="Percent 2 2 2 2" xfId="8147"/>
    <cellStyle name="Percent 2 2 2 2 2" xfId="8148"/>
    <cellStyle name="Percent 2 2 2 2 2 2" xfId="8149"/>
    <cellStyle name="Percent 2 2 2 2 2 2 2" xfId="8150"/>
    <cellStyle name="Percent 2 2 2 2 2 2 2 2" xfId="11658"/>
    <cellStyle name="Percent 2 2 2 2 2 2 2 3" xfId="32410"/>
    <cellStyle name="Percent 2 2 2 2 2 2 3" xfId="8151"/>
    <cellStyle name="Percent 2 2 2 2 2 2 3 2" xfId="16977"/>
    <cellStyle name="Percent 2 2 2 2 2 2 3 2 2" xfId="30384"/>
    <cellStyle name="Percent 2 2 2 2 2 2 3 3" xfId="32411"/>
    <cellStyle name="Percent 2 2 2 2 2 2 4" xfId="10353"/>
    <cellStyle name="Percent 2 2 2 2 2 2 5" xfId="32409"/>
    <cellStyle name="Percent 2 2 2 2 2 3" xfId="8152"/>
    <cellStyle name="Percent 2 2 2 2 2 3 2" xfId="8153"/>
    <cellStyle name="Percent 2 2 2 2 2 3 2 2" xfId="13334"/>
    <cellStyle name="Percent 2 2 2 2 2 3 2 3" xfId="32413"/>
    <cellStyle name="Percent 2 2 2 2 2 3 3" xfId="12365"/>
    <cellStyle name="Percent 2 2 2 2 2 3 3 2" xfId="26077"/>
    <cellStyle name="Percent 2 2 2 2 2 3 4" xfId="32412"/>
    <cellStyle name="Percent 2 2 2 2 2 4" xfId="8154"/>
    <cellStyle name="Percent 2 2 2 2 2 4 2" xfId="8155"/>
    <cellStyle name="Percent 2 2 2 2 2 4 2 2" xfId="15764"/>
    <cellStyle name="Percent 2 2 2 2 2 4 2 3" xfId="32415"/>
    <cellStyle name="Percent 2 2 2 2 2 4 3" xfId="13929"/>
    <cellStyle name="Percent 2 2 2 2 2 4 3 2" xfId="27478"/>
    <cellStyle name="Percent 2 2 2 2 2 4 4" xfId="32414"/>
    <cellStyle name="Percent 2 2 2 2 2 5" xfId="8156"/>
    <cellStyle name="Percent 2 2 2 2 2 5 2" xfId="14510"/>
    <cellStyle name="Percent 2 2 2 2 2 5 2 2" xfId="28059"/>
    <cellStyle name="Percent 2 2 2 2 2 5 3" xfId="32416"/>
    <cellStyle name="Percent 2 2 2 2 2 6" xfId="8157"/>
    <cellStyle name="Percent 2 2 2 2 2 6 2" xfId="16396"/>
    <cellStyle name="Percent 2 2 2 2 2 6 2 2" xfId="29803"/>
    <cellStyle name="Percent 2 2 2 2 2 6 3" xfId="32417"/>
    <cellStyle name="Percent 2 2 2 2 2 7" xfId="10352"/>
    <cellStyle name="Percent 2 2 2 2 2 8" xfId="32408"/>
    <cellStyle name="Percent 2 2 2 2 3" xfId="8158"/>
    <cellStyle name="Percent 2 2 2 2 3 2" xfId="8159"/>
    <cellStyle name="Percent 2 2 2 2 3 2 2" xfId="11659"/>
    <cellStyle name="Percent 2 2 2 2 3 2 3" xfId="32419"/>
    <cellStyle name="Percent 2 2 2 2 3 3" xfId="8160"/>
    <cellStyle name="Percent 2 2 2 2 3 3 2" xfId="16688"/>
    <cellStyle name="Percent 2 2 2 2 3 3 2 2" xfId="30095"/>
    <cellStyle name="Percent 2 2 2 2 3 3 3" xfId="32420"/>
    <cellStyle name="Percent 2 2 2 2 3 4" xfId="10354"/>
    <cellStyle name="Percent 2 2 2 2 3 5" xfId="32418"/>
    <cellStyle name="Percent 2 2 2 2 4" xfId="8161"/>
    <cellStyle name="Percent 2 2 2 2 4 2" xfId="8162"/>
    <cellStyle name="Percent 2 2 2 2 4 2 2" xfId="13335"/>
    <cellStyle name="Percent 2 2 2 2 4 2 3" xfId="32422"/>
    <cellStyle name="Percent 2 2 2 2 4 3" xfId="12065"/>
    <cellStyle name="Percent 2 2 2 2 4 3 2" xfId="25780"/>
    <cellStyle name="Percent 2 2 2 2 4 4" xfId="32421"/>
    <cellStyle name="Percent 2 2 2 2 5" xfId="8163"/>
    <cellStyle name="Percent 2 2 2 2 5 2" xfId="8164"/>
    <cellStyle name="Percent 2 2 2 2 5 2 2" xfId="15765"/>
    <cellStyle name="Percent 2 2 2 2 5 2 3" xfId="32424"/>
    <cellStyle name="Percent 2 2 2 2 5 3" xfId="13640"/>
    <cellStyle name="Percent 2 2 2 2 5 3 2" xfId="27189"/>
    <cellStyle name="Percent 2 2 2 2 5 4" xfId="32423"/>
    <cellStyle name="Percent 2 2 2 2 6" xfId="8165"/>
    <cellStyle name="Percent 2 2 2 2 6 2" xfId="14221"/>
    <cellStyle name="Percent 2 2 2 2 6 2 2" xfId="27770"/>
    <cellStyle name="Percent 2 2 2 2 6 3" xfId="32425"/>
    <cellStyle name="Percent 2 2 2 2 7" xfId="8166"/>
    <cellStyle name="Percent 2 2 2 2 7 2" xfId="16107"/>
    <cellStyle name="Percent 2 2 2 2 7 2 2" xfId="29514"/>
    <cellStyle name="Percent 2 2 2 2 7 3" xfId="32426"/>
    <cellStyle name="Percent 2 2 2 2 8" xfId="10351"/>
    <cellStyle name="Percent 2 2 2 2 9" xfId="32407"/>
    <cellStyle name="Percent 2 2 2 3" xfId="8167"/>
    <cellStyle name="Percent 2 2 2 3 2" xfId="8168"/>
    <cellStyle name="Percent 2 2 2 3 2 2" xfId="8169"/>
    <cellStyle name="Percent 2 2 2 3 2 2 2" xfId="11660"/>
    <cellStyle name="Percent 2 2 2 3 2 2 3" xfId="32429"/>
    <cellStyle name="Percent 2 2 2 3 2 3" xfId="8170"/>
    <cellStyle name="Percent 2 2 2 3 2 3 2" xfId="16834"/>
    <cellStyle name="Percent 2 2 2 3 2 3 2 2" xfId="30241"/>
    <cellStyle name="Percent 2 2 2 3 2 3 3" xfId="32430"/>
    <cellStyle name="Percent 2 2 2 3 2 4" xfId="10356"/>
    <cellStyle name="Percent 2 2 2 3 2 5" xfId="32428"/>
    <cellStyle name="Percent 2 2 2 3 3" xfId="8171"/>
    <cellStyle name="Percent 2 2 2 3 3 2" xfId="8172"/>
    <cellStyle name="Percent 2 2 2 3 3 2 2" xfId="13336"/>
    <cellStyle name="Percent 2 2 2 3 3 2 3" xfId="32432"/>
    <cellStyle name="Percent 2 2 2 3 3 3" xfId="12222"/>
    <cellStyle name="Percent 2 2 2 3 3 3 2" xfId="25934"/>
    <cellStyle name="Percent 2 2 2 3 3 4" xfId="32431"/>
    <cellStyle name="Percent 2 2 2 3 4" xfId="8173"/>
    <cellStyle name="Percent 2 2 2 3 4 2" xfId="8174"/>
    <cellStyle name="Percent 2 2 2 3 4 2 2" xfId="15766"/>
    <cellStyle name="Percent 2 2 2 3 4 2 3" xfId="32434"/>
    <cellStyle name="Percent 2 2 2 3 4 3" xfId="13786"/>
    <cellStyle name="Percent 2 2 2 3 4 3 2" xfId="27335"/>
    <cellStyle name="Percent 2 2 2 3 4 4" xfId="32433"/>
    <cellStyle name="Percent 2 2 2 3 5" xfId="8175"/>
    <cellStyle name="Percent 2 2 2 3 5 2" xfId="14367"/>
    <cellStyle name="Percent 2 2 2 3 5 2 2" xfId="27916"/>
    <cellStyle name="Percent 2 2 2 3 5 3" xfId="32435"/>
    <cellStyle name="Percent 2 2 2 3 6" xfId="8176"/>
    <cellStyle name="Percent 2 2 2 3 6 2" xfId="16253"/>
    <cellStyle name="Percent 2 2 2 3 6 2 2" xfId="29660"/>
    <cellStyle name="Percent 2 2 2 3 6 3" xfId="32436"/>
    <cellStyle name="Percent 2 2 2 3 7" xfId="10355"/>
    <cellStyle name="Percent 2 2 2 3 8" xfId="32427"/>
    <cellStyle name="Percent 2 2 2 4" xfId="8177"/>
    <cellStyle name="Percent 2 2 2 4 2" xfId="8178"/>
    <cellStyle name="Percent 2 2 2 4 2 2" xfId="17181"/>
    <cellStyle name="Percent 2 2 2 4 2 2 2" xfId="30540"/>
    <cellStyle name="Percent 2 2 2 4 2 3" xfId="32438"/>
    <cellStyle name="Percent 2 2 2 4 3" xfId="10357"/>
    <cellStyle name="Percent 2 2 2 4 4" xfId="32437"/>
    <cellStyle name="Percent 2 2 2 5" xfId="8179"/>
    <cellStyle name="Percent 2 2 2 5 2" xfId="8180"/>
    <cellStyle name="Percent 2 2 2 5 2 2" xfId="11661"/>
    <cellStyle name="Percent 2 2 2 5 2 3" xfId="32440"/>
    <cellStyle name="Percent 2 2 2 5 3" xfId="8181"/>
    <cellStyle name="Percent 2 2 2 5 3 2" xfId="17270"/>
    <cellStyle name="Percent 2 2 2 5 3 2 2" xfId="30629"/>
    <cellStyle name="Percent 2 2 2 5 3 3" xfId="32441"/>
    <cellStyle name="Percent 2 2 2 5 4" xfId="10358"/>
    <cellStyle name="Percent 2 2 2 5 5" xfId="32439"/>
    <cellStyle name="Percent 2 2 2 6" xfId="8182"/>
    <cellStyle name="Percent 2 2 2 6 2" xfId="8183"/>
    <cellStyle name="Percent 2 2 2 6 2 2" xfId="13337"/>
    <cellStyle name="Percent 2 2 2 6 2 3" xfId="32443"/>
    <cellStyle name="Percent 2 2 2 6 3" xfId="8184"/>
    <cellStyle name="Percent 2 2 2 6 3 2" xfId="16545"/>
    <cellStyle name="Percent 2 2 2 6 3 2 2" xfId="29952"/>
    <cellStyle name="Percent 2 2 2 6 3 3" xfId="32444"/>
    <cellStyle name="Percent 2 2 2 6 4" xfId="11920"/>
    <cellStyle name="Percent 2 2 2 6 4 2" xfId="25635"/>
    <cellStyle name="Percent 2 2 2 6 5" xfId="32442"/>
    <cellStyle name="Percent 2 2 2 7" xfId="8185"/>
    <cellStyle name="Percent 2 2 2 7 2" xfId="8186"/>
    <cellStyle name="Percent 2 2 2 7 2 2" xfId="15767"/>
    <cellStyle name="Percent 2 2 2 7 2 3" xfId="32446"/>
    <cellStyle name="Percent 2 2 2 7 3" xfId="13497"/>
    <cellStyle name="Percent 2 2 2 7 3 2" xfId="27046"/>
    <cellStyle name="Percent 2 2 2 7 4" xfId="32445"/>
    <cellStyle name="Percent 2 2 2 8" xfId="8187"/>
    <cellStyle name="Percent 2 2 2 8 2" xfId="14078"/>
    <cellStyle name="Percent 2 2 2 8 2 2" xfId="27627"/>
    <cellStyle name="Percent 2 2 2 8 3" xfId="32447"/>
    <cellStyle name="Percent 2 2 2 9" xfId="8188"/>
    <cellStyle name="Percent 2 2 2 9 2" xfId="15964"/>
    <cellStyle name="Percent 2 2 2 9 2 2" xfId="29371"/>
    <cellStyle name="Percent 2 2 2 9 3" xfId="32448"/>
    <cellStyle name="Percent 2 2 3" xfId="8189"/>
    <cellStyle name="Percent 2 2 3 2" xfId="8190"/>
    <cellStyle name="Percent 2 2 3 2 2" xfId="8191"/>
    <cellStyle name="Percent 2 2 3 2 2 2" xfId="8192"/>
    <cellStyle name="Percent 2 2 3 2 2 2 2" xfId="11662"/>
    <cellStyle name="Percent 2 2 3 2 2 2 3" xfId="32452"/>
    <cellStyle name="Percent 2 2 3 2 2 3" xfId="8193"/>
    <cellStyle name="Percent 2 2 3 2 2 3 2" xfId="16931"/>
    <cellStyle name="Percent 2 2 3 2 2 3 2 2" xfId="30338"/>
    <cellStyle name="Percent 2 2 3 2 2 3 3" xfId="32453"/>
    <cellStyle name="Percent 2 2 3 2 2 4" xfId="10361"/>
    <cellStyle name="Percent 2 2 3 2 2 5" xfId="32451"/>
    <cellStyle name="Percent 2 2 3 2 3" xfId="8194"/>
    <cellStyle name="Percent 2 2 3 2 3 2" xfId="8195"/>
    <cellStyle name="Percent 2 2 3 2 3 2 2" xfId="13338"/>
    <cellStyle name="Percent 2 2 3 2 3 2 3" xfId="32455"/>
    <cellStyle name="Percent 2 2 3 2 3 3" xfId="12319"/>
    <cellStyle name="Percent 2 2 3 2 3 3 2" xfId="26031"/>
    <cellStyle name="Percent 2 2 3 2 3 4" xfId="32454"/>
    <cellStyle name="Percent 2 2 3 2 4" xfId="8196"/>
    <cellStyle name="Percent 2 2 3 2 4 2" xfId="8197"/>
    <cellStyle name="Percent 2 2 3 2 4 2 2" xfId="15768"/>
    <cellStyle name="Percent 2 2 3 2 4 2 3" xfId="32457"/>
    <cellStyle name="Percent 2 2 3 2 4 3" xfId="13883"/>
    <cellStyle name="Percent 2 2 3 2 4 3 2" xfId="27432"/>
    <cellStyle name="Percent 2 2 3 2 4 4" xfId="32456"/>
    <cellStyle name="Percent 2 2 3 2 5" xfId="8198"/>
    <cellStyle name="Percent 2 2 3 2 5 2" xfId="14464"/>
    <cellStyle name="Percent 2 2 3 2 5 2 2" xfId="28013"/>
    <cellStyle name="Percent 2 2 3 2 5 3" xfId="32458"/>
    <cellStyle name="Percent 2 2 3 2 6" xfId="8199"/>
    <cellStyle name="Percent 2 2 3 2 6 2" xfId="16350"/>
    <cellStyle name="Percent 2 2 3 2 6 2 2" xfId="29757"/>
    <cellStyle name="Percent 2 2 3 2 6 3" xfId="32459"/>
    <cellStyle name="Percent 2 2 3 2 7" xfId="10360"/>
    <cellStyle name="Percent 2 2 3 2 8" xfId="32450"/>
    <cellStyle name="Percent 2 2 3 3" xfId="8200"/>
    <cellStyle name="Percent 2 2 3 3 2" xfId="8201"/>
    <cellStyle name="Percent 2 2 3 3 2 2" xfId="11663"/>
    <cellStyle name="Percent 2 2 3 3 2 3" xfId="32461"/>
    <cellStyle name="Percent 2 2 3 3 3" xfId="8202"/>
    <cellStyle name="Percent 2 2 3 3 3 2" xfId="16642"/>
    <cellStyle name="Percent 2 2 3 3 3 2 2" xfId="30049"/>
    <cellStyle name="Percent 2 2 3 3 3 3" xfId="32462"/>
    <cellStyle name="Percent 2 2 3 3 4" xfId="10362"/>
    <cellStyle name="Percent 2 2 3 3 5" xfId="32460"/>
    <cellStyle name="Percent 2 2 3 4" xfId="8203"/>
    <cellStyle name="Percent 2 2 3 4 2" xfId="8204"/>
    <cellStyle name="Percent 2 2 3 4 2 2" xfId="13339"/>
    <cellStyle name="Percent 2 2 3 4 2 3" xfId="32464"/>
    <cellStyle name="Percent 2 2 3 4 3" xfId="12019"/>
    <cellStyle name="Percent 2 2 3 4 3 2" xfId="25734"/>
    <cellStyle name="Percent 2 2 3 4 4" xfId="32463"/>
    <cellStyle name="Percent 2 2 3 5" xfId="8205"/>
    <cellStyle name="Percent 2 2 3 5 2" xfId="8206"/>
    <cellStyle name="Percent 2 2 3 5 2 2" xfId="15769"/>
    <cellStyle name="Percent 2 2 3 5 2 3" xfId="32466"/>
    <cellStyle name="Percent 2 2 3 5 3" xfId="13594"/>
    <cellStyle name="Percent 2 2 3 5 3 2" xfId="27143"/>
    <cellStyle name="Percent 2 2 3 5 4" xfId="32465"/>
    <cellStyle name="Percent 2 2 3 6" xfId="8207"/>
    <cellStyle name="Percent 2 2 3 6 2" xfId="14175"/>
    <cellStyle name="Percent 2 2 3 6 2 2" xfId="27724"/>
    <cellStyle name="Percent 2 2 3 6 3" xfId="32467"/>
    <cellStyle name="Percent 2 2 3 7" xfId="8208"/>
    <cellStyle name="Percent 2 2 3 7 2" xfId="16061"/>
    <cellStyle name="Percent 2 2 3 7 2 2" xfId="29468"/>
    <cellStyle name="Percent 2 2 3 7 3" xfId="32468"/>
    <cellStyle name="Percent 2 2 3 8" xfId="10359"/>
    <cellStyle name="Percent 2 2 3 9" xfId="32449"/>
    <cellStyle name="Percent 2 2 4" xfId="8209"/>
    <cellStyle name="Percent 2 2 4 2" xfId="8210"/>
    <cellStyle name="Percent 2 2 4 2 2" xfId="8211"/>
    <cellStyle name="Percent 2 2 4 2 2 2" xfId="11665"/>
    <cellStyle name="Percent 2 2 4 2 2 3" xfId="32471"/>
    <cellStyle name="Percent 2 2 4 2 3" xfId="8212"/>
    <cellStyle name="Percent 2 2 4 2 3 2" xfId="16788"/>
    <cellStyle name="Percent 2 2 4 2 3 2 2" xfId="30195"/>
    <cellStyle name="Percent 2 2 4 2 3 3" xfId="32472"/>
    <cellStyle name="Percent 2 2 4 2 4" xfId="10364"/>
    <cellStyle name="Percent 2 2 4 2 5" xfId="32470"/>
    <cellStyle name="Percent 2 2 4 3" xfId="8213"/>
    <cellStyle name="Percent 2 2 4 3 2" xfId="8214"/>
    <cellStyle name="Percent 2 2 4 3 2 2" xfId="13340"/>
    <cellStyle name="Percent 2 2 4 3 2 3" xfId="32474"/>
    <cellStyle name="Percent 2 2 4 3 3" xfId="12176"/>
    <cellStyle name="Percent 2 2 4 3 3 2" xfId="25888"/>
    <cellStyle name="Percent 2 2 4 3 4" xfId="32473"/>
    <cellStyle name="Percent 2 2 4 4" xfId="8215"/>
    <cellStyle name="Percent 2 2 4 4 2" xfId="8216"/>
    <cellStyle name="Percent 2 2 4 4 2 2" xfId="15770"/>
    <cellStyle name="Percent 2 2 4 4 2 3" xfId="32476"/>
    <cellStyle name="Percent 2 2 4 4 3" xfId="13740"/>
    <cellStyle name="Percent 2 2 4 4 3 2" xfId="27289"/>
    <cellStyle name="Percent 2 2 4 4 4" xfId="32475"/>
    <cellStyle name="Percent 2 2 4 5" xfId="8217"/>
    <cellStyle name="Percent 2 2 4 5 2" xfId="14321"/>
    <cellStyle name="Percent 2 2 4 5 2 2" xfId="27870"/>
    <cellStyle name="Percent 2 2 4 5 3" xfId="32477"/>
    <cellStyle name="Percent 2 2 4 6" xfId="8218"/>
    <cellStyle name="Percent 2 2 4 6 2" xfId="16207"/>
    <cellStyle name="Percent 2 2 4 6 2 2" xfId="29614"/>
    <cellStyle name="Percent 2 2 4 6 3" xfId="32478"/>
    <cellStyle name="Percent 2 2 4 7" xfId="10363"/>
    <cellStyle name="Percent 2 2 4 8" xfId="32469"/>
    <cellStyle name="Percent 2 2 5" xfId="8219"/>
    <cellStyle name="Percent 2 2 5 2" xfId="8220"/>
    <cellStyle name="Percent 2 2 5 2 2" xfId="8221"/>
    <cellStyle name="Percent 2 2 5 2 2 2" xfId="11667"/>
    <cellStyle name="Percent 2 2 5 2 2 3" xfId="32481"/>
    <cellStyle name="Percent 2 2 5 2 3" xfId="10366"/>
    <cellStyle name="Percent 2 2 5 2 4" xfId="32480"/>
    <cellStyle name="Percent 2 2 5 3" xfId="8222"/>
    <cellStyle name="Percent 2 2 5 3 2" xfId="11666"/>
    <cellStyle name="Percent 2 2 5 3 3" xfId="32482"/>
    <cellStyle name="Percent 2 2 5 4" xfId="8223"/>
    <cellStyle name="Percent 2 2 5 4 2" xfId="17055"/>
    <cellStyle name="Percent 2 2 5 4 2 2" xfId="30454"/>
    <cellStyle name="Percent 2 2 5 4 3" xfId="32483"/>
    <cellStyle name="Percent 2 2 5 5" xfId="10365"/>
    <cellStyle name="Percent 2 2 5 6" xfId="32479"/>
    <cellStyle name="Percent 2 2 6" xfId="8224"/>
    <cellStyle name="Percent 2 2 6 2" xfId="8225"/>
    <cellStyle name="Percent 2 2 6 2 2" xfId="17135"/>
    <cellStyle name="Percent 2 2 6 2 2 2" xfId="30494"/>
    <cellStyle name="Percent 2 2 6 2 3" xfId="32485"/>
    <cellStyle name="Percent 2 2 6 3" xfId="10367"/>
    <cellStyle name="Percent 2 2 6 4" xfId="32484"/>
    <cellStyle name="Percent 2 2 7" xfId="8226"/>
    <cellStyle name="Percent 2 2 7 2" xfId="8227"/>
    <cellStyle name="Percent 2 2 7 2 2" xfId="11668"/>
    <cellStyle name="Percent 2 2 7 2 3" xfId="32487"/>
    <cellStyle name="Percent 2 2 7 3" xfId="8228"/>
    <cellStyle name="Percent 2 2 7 3 2" xfId="17224"/>
    <cellStyle name="Percent 2 2 7 3 2 2" xfId="30583"/>
    <cellStyle name="Percent 2 2 7 3 3" xfId="32488"/>
    <cellStyle name="Percent 2 2 7 4" xfId="10368"/>
    <cellStyle name="Percent 2 2 7 5" xfId="32486"/>
    <cellStyle name="Percent 2 2 8" xfId="8229"/>
    <cellStyle name="Percent 2 2 8 2" xfId="8230"/>
    <cellStyle name="Percent 2 2 8 2 2" xfId="11669"/>
    <cellStyle name="Percent 2 2 8 2 3" xfId="32490"/>
    <cellStyle name="Percent 2 2 8 3" xfId="8231"/>
    <cellStyle name="Percent 2 2 8 3 2" xfId="16499"/>
    <cellStyle name="Percent 2 2 8 3 2 2" xfId="29906"/>
    <cellStyle name="Percent 2 2 8 3 3" xfId="32491"/>
    <cellStyle name="Percent 2 2 8 4" xfId="10369"/>
    <cellStyle name="Percent 2 2 8 5" xfId="32489"/>
    <cellStyle name="Percent 2 2 9" xfId="8232"/>
    <cellStyle name="Percent 2 2 9 2" xfId="8233"/>
    <cellStyle name="Percent 2 2 9 2 2" xfId="13341"/>
    <cellStyle name="Percent 2 2 9 2 2 2" xfId="26924"/>
    <cellStyle name="Percent 2 2 9 2 3" xfId="32493"/>
    <cellStyle name="Percent 2 2 9 3" xfId="8234"/>
    <cellStyle name="Percent 2 2 9 3 2" xfId="15771"/>
    <cellStyle name="Percent 2 2 9 3 3" xfId="32494"/>
    <cellStyle name="Percent 2 2 9 4" xfId="10544"/>
    <cellStyle name="Percent 2 2 9 4 2" xfId="24486"/>
    <cellStyle name="Percent 2 2 9 5" xfId="32492"/>
    <cellStyle name="Percent 2 20" xfId="8235"/>
    <cellStyle name="Percent 2 20 2" xfId="8236"/>
    <cellStyle name="Percent 2 20 2 2" xfId="11670"/>
    <cellStyle name="Percent 2 20 2 3" xfId="32496"/>
    <cellStyle name="Percent 2 20 3" xfId="10370"/>
    <cellStyle name="Percent 2 20 4" xfId="32495"/>
    <cellStyle name="Percent 2 21" xfId="8237"/>
    <cellStyle name="Percent 2 21 2" xfId="8238"/>
    <cellStyle name="Percent 2 21 2 2" xfId="11726"/>
    <cellStyle name="Percent 2 21 2 2 2" xfId="25446"/>
    <cellStyle name="Percent 2 21 2 3" xfId="32498"/>
    <cellStyle name="Percent 2 21 3" xfId="8239"/>
    <cellStyle name="Percent 2 21 3 2" xfId="13342"/>
    <cellStyle name="Percent 2 21 3 2 2" xfId="26925"/>
    <cellStyle name="Percent 2 21 3 3" xfId="32499"/>
    <cellStyle name="Percent 2 21 4" xfId="8240"/>
    <cellStyle name="Percent 2 21 4 2" xfId="15772"/>
    <cellStyle name="Percent 2 21 4 3" xfId="32500"/>
    <cellStyle name="Percent 2 21 5" xfId="10500"/>
    <cellStyle name="Percent 2 21 5 2" xfId="24450"/>
    <cellStyle name="Percent 2 21 6" xfId="32497"/>
    <cellStyle name="Percent 2 22" xfId="8241"/>
    <cellStyle name="Percent 2 22 2" xfId="8242"/>
    <cellStyle name="Percent 2 22 2 2" xfId="13343"/>
    <cellStyle name="Percent 2 22 2 2 2" xfId="26926"/>
    <cellStyle name="Percent 2 22 2 3" xfId="32502"/>
    <cellStyle name="Percent 2 22 3" xfId="8243"/>
    <cellStyle name="Percent 2 22 3 2" xfId="15773"/>
    <cellStyle name="Percent 2 22 3 3" xfId="32503"/>
    <cellStyle name="Percent 2 22 4" xfId="10527"/>
    <cellStyle name="Percent 2 22 4 2" xfId="24469"/>
    <cellStyle name="Percent 2 22 5" xfId="32501"/>
    <cellStyle name="Percent 2 23" xfId="8244"/>
    <cellStyle name="Percent 2 23 2" xfId="11649"/>
    <cellStyle name="Percent 2 23 3" xfId="32504"/>
    <cellStyle name="Percent 2 24" xfId="8245"/>
    <cellStyle name="Percent 2 24 2" xfId="11791"/>
    <cellStyle name="Percent 2 24 2 2" xfId="25506"/>
    <cellStyle name="Percent 2 24 3" xfId="32505"/>
    <cellStyle name="Percent 2 25" xfId="8246"/>
    <cellStyle name="Percent 2 25 2" xfId="13394"/>
    <cellStyle name="Percent 2 25 2 2" xfId="26943"/>
    <cellStyle name="Percent 2 25 3" xfId="32506"/>
    <cellStyle name="Percent 2 26" xfId="8247"/>
    <cellStyle name="Percent 2 26 2" xfId="13975"/>
    <cellStyle name="Percent 2 26 2 2" xfId="27524"/>
    <cellStyle name="Percent 2 26 3" xfId="32507"/>
    <cellStyle name="Percent 2 27" xfId="8248"/>
    <cellStyle name="Percent 2 27 2" xfId="15844"/>
    <cellStyle name="Percent 2 27 2 2" xfId="29251"/>
    <cellStyle name="Percent 2 27 3" xfId="32508"/>
    <cellStyle name="Percent 2 28" xfId="8249"/>
    <cellStyle name="Percent 2 28 2" xfId="15861"/>
    <cellStyle name="Percent 2 28 2 2" xfId="29268"/>
    <cellStyle name="Percent 2 28 3" xfId="32509"/>
    <cellStyle name="Percent 2 29" xfId="8654"/>
    <cellStyle name="Percent 2 29 2" xfId="10337"/>
    <cellStyle name="Percent 2 3" xfId="8250"/>
    <cellStyle name="Percent 2 3 10" xfId="8251"/>
    <cellStyle name="Percent 2 3 10 2" xfId="17351"/>
    <cellStyle name="Percent 2 3 10 3" xfId="32510"/>
    <cellStyle name="Percent 2 3 11" xfId="8748"/>
    <cellStyle name="Percent 2 3 12" xfId="10371"/>
    <cellStyle name="Percent 2 3 2" xfId="8252"/>
    <cellStyle name="Percent 2 3 2 2" xfId="8253"/>
    <cellStyle name="Percent 2 3 2 2 2" xfId="8254"/>
    <cellStyle name="Percent 2 3 2 2 2 2" xfId="8255"/>
    <cellStyle name="Percent 2 3 2 2 2 2 2" xfId="11671"/>
    <cellStyle name="Percent 2 3 2 2 2 2 3" xfId="32514"/>
    <cellStyle name="Percent 2 3 2 2 2 3" xfId="8256"/>
    <cellStyle name="Percent 2 3 2 2 2 3 2" xfId="16954"/>
    <cellStyle name="Percent 2 3 2 2 2 3 2 2" xfId="30361"/>
    <cellStyle name="Percent 2 3 2 2 2 3 3" xfId="32515"/>
    <cellStyle name="Percent 2 3 2 2 2 4" xfId="10374"/>
    <cellStyle name="Percent 2 3 2 2 2 5" xfId="32513"/>
    <cellStyle name="Percent 2 3 2 2 3" xfId="8257"/>
    <cellStyle name="Percent 2 3 2 2 3 2" xfId="8258"/>
    <cellStyle name="Percent 2 3 2 2 3 2 2" xfId="13344"/>
    <cellStyle name="Percent 2 3 2 2 3 2 3" xfId="32517"/>
    <cellStyle name="Percent 2 3 2 2 3 3" xfId="12342"/>
    <cellStyle name="Percent 2 3 2 2 3 3 2" xfId="26054"/>
    <cellStyle name="Percent 2 3 2 2 3 4" xfId="32516"/>
    <cellStyle name="Percent 2 3 2 2 4" xfId="8259"/>
    <cellStyle name="Percent 2 3 2 2 4 2" xfId="8260"/>
    <cellStyle name="Percent 2 3 2 2 4 2 2" xfId="15774"/>
    <cellStyle name="Percent 2 3 2 2 4 2 3" xfId="32519"/>
    <cellStyle name="Percent 2 3 2 2 4 3" xfId="13906"/>
    <cellStyle name="Percent 2 3 2 2 4 3 2" xfId="27455"/>
    <cellStyle name="Percent 2 3 2 2 4 4" xfId="32518"/>
    <cellStyle name="Percent 2 3 2 2 5" xfId="8261"/>
    <cellStyle name="Percent 2 3 2 2 5 2" xfId="14487"/>
    <cellStyle name="Percent 2 3 2 2 5 2 2" xfId="28036"/>
    <cellStyle name="Percent 2 3 2 2 5 3" xfId="32520"/>
    <cellStyle name="Percent 2 3 2 2 6" xfId="8262"/>
    <cellStyle name="Percent 2 3 2 2 6 2" xfId="16373"/>
    <cellStyle name="Percent 2 3 2 2 6 2 2" xfId="29780"/>
    <cellStyle name="Percent 2 3 2 2 6 3" xfId="32521"/>
    <cellStyle name="Percent 2 3 2 2 7" xfId="10373"/>
    <cellStyle name="Percent 2 3 2 2 8" xfId="32512"/>
    <cellStyle name="Percent 2 3 2 3" xfId="8263"/>
    <cellStyle name="Percent 2 3 2 3 2" xfId="8264"/>
    <cellStyle name="Percent 2 3 2 3 2 2" xfId="11672"/>
    <cellStyle name="Percent 2 3 2 3 2 3" xfId="32523"/>
    <cellStyle name="Percent 2 3 2 3 3" xfId="8265"/>
    <cellStyle name="Percent 2 3 2 3 3 2" xfId="16665"/>
    <cellStyle name="Percent 2 3 2 3 3 2 2" xfId="30072"/>
    <cellStyle name="Percent 2 3 2 3 3 3" xfId="32524"/>
    <cellStyle name="Percent 2 3 2 3 4" xfId="10375"/>
    <cellStyle name="Percent 2 3 2 3 5" xfId="32522"/>
    <cellStyle name="Percent 2 3 2 4" xfId="8266"/>
    <cellStyle name="Percent 2 3 2 4 2" xfId="8267"/>
    <cellStyle name="Percent 2 3 2 4 2 2" xfId="13345"/>
    <cellStyle name="Percent 2 3 2 4 2 3" xfId="32526"/>
    <cellStyle name="Percent 2 3 2 4 3" xfId="12042"/>
    <cellStyle name="Percent 2 3 2 4 3 2" xfId="25757"/>
    <cellStyle name="Percent 2 3 2 4 4" xfId="32525"/>
    <cellStyle name="Percent 2 3 2 5" xfId="8268"/>
    <cellStyle name="Percent 2 3 2 5 2" xfId="8269"/>
    <cellStyle name="Percent 2 3 2 5 2 2" xfId="15775"/>
    <cellStyle name="Percent 2 3 2 5 2 3" xfId="32528"/>
    <cellStyle name="Percent 2 3 2 5 3" xfId="13617"/>
    <cellStyle name="Percent 2 3 2 5 3 2" xfId="27166"/>
    <cellStyle name="Percent 2 3 2 5 4" xfId="32527"/>
    <cellStyle name="Percent 2 3 2 6" xfId="8270"/>
    <cellStyle name="Percent 2 3 2 6 2" xfId="14198"/>
    <cellStyle name="Percent 2 3 2 6 2 2" xfId="27747"/>
    <cellStyle name="Percent 2 3 2 6 3" xfId="32529"/>
    <cellStyle name="Percent 2 3 2 7" xfId="8271"/>
    <cellStyle name="Percent 2 3 2 7 2" xfId="16084"/>
    <cellStyle name="Percent 2 3 2 7 2 2" xfId="29491"/>
    <cellStyle name="Percent 2 3 2 7 3" xfId="32530"/>
    <cellStyle name="Percent 2 3 2 8" xfId="10372"/>
    <cellStyle name="Percent 2 3 2 9" xfId="32511"/>
    <cellStyle name="Percent 2 3 3" xfId="8272"/>
    <cellStyle name="Percent 2 3 3 2" xfId="8273"/>
    <cellStyle name="Percent 2 3 3 2 2" xfId="8274"/>
    <cellStyle name="Percent 2 3 3 2 2 2" xfId="11673"/>
    <cellStyle name="Percent 2 3 3 2 2 3" xfId="32533"/>
    <cellStyle name="Percent 2 3 3 2 3" xfId="8275"/>
    <cellStyle name="Percent 2 3 3 2 3 2" xfId="16811"/>
    <cellStyle name="Percent 2 3 3 2 3 2 2" xfId="30218"/>
    <cellStyle name="Percent 2 3 3 2 3 3" xfId="32534"/>
    <cellStyle name="Percent 2 3 3 2 4" xfId="10377"/>
    <cellStyle name="Percent 2 3 3 2 5" xfId="32532"/>
    <cellStyle name="Percent 2 3 3 3" xfId="8276"/>
    <cellStyle name="Percent 2 3 3 3 2" xfId="8277"/>
    <cellStyle name="Percent 2 3 3 3 2 2" xfId="13346"/>
    <cellStyle name="Percent 2 3 3 3 2 3" xfId="32536"/>
    <cellStyle name="Percent 2 3 3 3 3" xfId="12199"/>
    <cellStyle name="Percent 2 3 3 3 3 2" xfId="25911"/>
    <cellStyle name="Percent 2 3 3 3 4" xfId="32535"/>
    <cellStyle name="Percent 2 3 3 4" xfId="8278"/>
    <cellStyle name="Percent 2 3 3 4 2" xfId="8279"/>
    <cellStyle name="Percent 2 3 3 4 2 2" xfId="15776"/>
    <cellStyle name="Percent 2 3 3 4 2 3" xfId="32538"/>
    <cellStyle name="Percent 2 3 3 4 3" xfId="13763"/>
    <cellStyle name="Percent 2 3 3 4 3 2" xfId="27312"/>
    <cellStyle name="Percent 2 3 3 4 4" xfId="32537"/>
    <cellStyle name="Percent 2 3 3 5" xfId="8280"/>
    <cellStyle name="Percent 2 3 3 5 2" xfId="14344"/>
    <cellStyle name="Percent 2 3 3 5 2 2" xfId="27893"/>
    <cellStyle name="Percent 2 3 3 5 3" xfId="32539"/>
    <cellStyle name="Percent 2 3 3 6" xfId="8281"/>
    <cellStyle name="Percent 2 3 3 6 2" xfId="16230"/>
    <cellStyle name="Percent 2 3 3 6 2 2" xfId="29637"/>
    <cellStyle name="Percent 2 3 3 6 3" xfId="32540"/>
    <cellStyle name="Percent 2 3 3 7" xfId="10376"/>
    <cellStyle name="Percent 2 3 3 8" xfId="32531"/>
    <cellStyle name="Percent 2 3 4" xfId="8282"/>
    <cellStyle name="Percent 2 3 4 2" xfId="8283"/>
    <cellStyle name="Percent 2 3 4 2 2" xfId="13347"/>
    <cellStyle name="Percent 2 3 4 2 3" xfId="32542"/>
    <cellStyle name="Percent 2 3 4 3" xfId="8284"/>
    <cellStyle name="Percent 2 3 4 3 2" xfId="17158"/>
    <cellStyle name="Percent 2 3 4 3 2 2" xfId="30517"/>
    <cellStyle name="Percent 2 3 4 3 3" xfId="32543"/>
    <cellStyle name="Percent 2 3 4 4" xfId="10378"/>
    <cellStyle name="Percent 2 3 4 5" xfId="32541"/>
    <cellStyle name="Percent 2 3 5" xfId="8285"/>
    <cellStyle name="Percent 2 3 5 2" xfId="8286"/>
    <cellStyle name="Percent 2 3 5 2 2" xfId="11674"/>
    <cellStyle name="Percent 2 3 5 2 3" xfId="32545"/>
    <cellStyle name="Percent 2 3 5 3" xfId="8287"/>
    <cellStyle name="Percent 2 3 5 3 2" xfId="17247"/>
    <cellStyle name="Percent 2 3 5 3 2 2" xfId="30606"/>
    <cellStyle name="Percent 2 3 5 3 3" xfId="32546"/>
    <cellStyle name="Percent 2 3 5 4" xfId="10379"/>
    <cellStyle name="Percent 2 3 5 5" xfId="32544"/>
    <cellStyle name="Percent 2 3 6" xfId="8288"/>
    <cellStyle name="Percent 2 3 6 2" xfId="8289"/>
    <cellStyle name="Percent 2 3 6 2 2" xfId="15777"/>
    <cellStyle name="Percent 2 3 6 2 3" xfId="32548"/>
    <cellStyle name="Percent 2 3 6 3" xfId="8290"/>
    <cellStyle name="Percent 2 3 6 3 2" xfId="16522"/>
    <cellStyle name="Percent 2 3 6 3 2 2" xfId="29929"/>
    <cellStyle name="Percent 2 3 6 3 3" xfId="32549"/>
    <cellStyle name="Percent 2 3 6 4" xfId="11897"/>
    <cellStyle name="Percent 2 3 6 4 2" xfId="25612"/>
    <cellStyle name="Percent 2 3 6 5" xfId="32547"/>
    <cellStyle name="Percent 2 3 7" xfId="8291"/>
    <cellStyle name="Percent 2 3 7 2" xfId="13474"/>
    <cellStyle name="Percent 2 3 7 2 2" xfId="27023"/>
    <cellStyle name="Percent 2 3 7 3" xfId="32550"/>
    <cellStyle name="Percent 2 3 8" xfId="8292"/>
    <cellStyle name="Percent 2 3 8 2" xfId="14055"/>
    <cellStyle name="Percent 2 3 8 2 2" xfId="27604"/>
    <cellStyle name="Percent 2 3 8 3" xfId="32551"/>
    <cellStyle name="Percent 2 3 9" xfId="8293"/>
    <cellStyle name="Percent 2 3 9 2" xfId="15941"/>
    <cellStyle name="Percent 2 3 9 2 2" xfId="29348"/>
    <cellStyle name="Percent 2 3 9 3" xfId="32552"/>
    <cellStyle name="Percent 2 30" xfId="33030"/>
    <cellStyle name="Percent 2 31" xfId="8109"/>
    <cellStyle name="Percent 2 4" xfId="8294"/>
    <cellStyle name="Percent 2 4 10" xfId="10380"/>
    <cellStyle name="Percent 2 4 11" xfId="32553"/>
    <cellStyle name="Percent 2 4 2" xfId="8295"/>
    <cellStyle name="Percent 2 4 2 2" xfId="8296"/>
    <cellStyle name="Percent 2 4 2 2 2" xfId="8297"/>
    <cellStyle name="Percent 2 4 2 2 2 2" xfId="8298"/>
    <cellStyle name="Percent 2 4 2 2 2 2 2" xfId="11675"/>
    <cellStyle name="Percent 2 4 2 2 2 2 3" xfId="32557"/>
    <cellStyle name="Percent 2 4 2 2 2 3" xfId="8299"/>
    <cellStyle name="Percent 2 4 2 2 2 3 2" xfId="16908"/>
    <cellStyle name="Percent 2 4 2 2 2 3 2 2" xfId="30315"/>
    <cellStyle name="Percent 2 4 2 2 2 3 3" xfId="32558"/>
    <cellStyle name="Percent 2 4 2 2 2 4" xfId="10383"/>
    <cellStyle name="Percent 2 4 2 2 2 5" xfId="32556"/>
    <cellStyle name="Percent 2 4 2 2 3" xfId="8300"/>
    <cellStyle name="Percent 2 4 2 2 3 2" xfId="8301"/>
    <cellStyle name="Percent 2 4 2 2 3 2 2" xfId="13348"/>
    <cellStyle name="Percent 2 4 2 2 3 2 3" xfId="32560"/>
    <cellStyle name="Percent 2 4 2 2 3 3" xfId="12296"/>
    <cellStyle name="Percent 2 4 2 2 3 3 2" xfId="26008"/>
    <cellStyle name="Percent 2 4 2 2 3 4" xfId="32559"/>
    <cellStyle name="Percent 2 4 2 2 4" xfId="8302"/>
    <cellStyle name="Percent 2 4 2 2 4 2" xfId="8303"/>
    <cellStyle name="Percent 2 4 2 2 4 2 2" xfId="15778"/>
    <cellStyle name="Percent 2 4 2 2 4 2 3" xfId="32562"/>
    <cellStyle name="Percent 2 4 2 2 4 3" xfId="13860"/>
    <cellStyle name="Percent 2 4 2 2 4 3 2" xfId="27409"/>
    <cellStyle name="Percent 2 4 2 2 4 4" xfId="32561"/>
    <cellStyle name="Percent 2 4 2 2 5" xfId="8304"/>
    <cellStyle name="Percent 2 4 2 2 5 2" xfId="14441"/>
    <cellStyle name="Percent 2 4 2 2 5 2 2" xfId="27990"/>
    <cellStyle name="Percent 2 4 2 2 5 3" xfId="32563"/>
    <cellStyle name="Percent 2 4 2 2 6" xfId="8305"/>
    <cellStyle name="Percent 2 4 2 2 6 2" xfId="16327"/>
    <cellStyle name="Percent 2 4 2 2 6 2 2" xfId="29734"/>
    <cellStyle name="Percent 2 4 2 2 6 3" xfId="32564"/>
    <cellStyle name="Percent 2 4 2 2 7" xfId="10382"/>
    <cellStyle name="Percent 2 4 2 2 8" xfId="32555"/>
    <cellStyle name="Percent 2 4 2 3" xfId="8306"/>
    <cellStyle name="Percent 2 4 2 3 2" xfId="8307"/>
    <cellStyle name="Percent 2 4 2 3 2 2" xfId="11676"/>
    <cellStyle name="Percent 2 4 2 3 2 3" xfId="32566"/>
    <cellStyle name="Percent 2 4 2 3 3" xfId="8308"/>
    <cellStyle name="Percent 2 4 2 3 3 2" xfId="16619"/>
    <cellStyle name="Percent 2 4 2 3 3 2 2" xfId="30026"/>
    <cellStyle name="Percent 2 4 2 3 3 3" xfId="32567"/>
    <cellStyle name="Percent 2 4 2 3 4" xfId="10384"/>
    <cellStyle name="Percent 2 4 2 3 5" xfId="32565"/>
    <cellStyle name="Percent 2 4 2 4" xfId="8309"/>
    <cellStyle name="Percent 2 4 2 4 2" xfId="8310"/>
    <cellStyle name="Percent 2 4 2 4 2 2" xfId="13349"/>
    <cellStyle name="Percent 2 4 2 4 2 3" xfId="32569"/>
    <cellStyle name="Percent 2 4 2 4 3" xfId="11996"/>
    <cellStyle name="Percent 2 4 2 4 3 2" xfId="25711"/>
    <cellStyle name="Percent 2 4 2 4 4" xfId="32568"/>
    <cellStyle name="Percent 2 4 2 5" xfId="8311"/>
    <cellStyle name="Percent 2 4 2 5 2" xfId="8312"/>
    <cellStyle name="Percent 2 4 2 5 2 2" xfId="15779"/>
    <cellStyle name="Percent 2 4 2 5 2 3" xfId="32571"/>
    <cellStyle name="Percent 2 4 2 5 3" xfId="13571"/>
    <cellStyle name="Percent 2 4 2 5 3 2" xfId="27120"/>
    <cellStyle name="Percent 2 4 2 5 4" xfId="32570"/>
    <cellStyle name="Percent 2 4 2 6" xfId="8313"/>
    <cellStyle name="Percent 2 4 2 6 2" xfId="14152"/>
    <cellStyle name="Percent 2 4 2 6 2 2" xfId="27701"/>
    <cellStyle name="Percent 2 4 2 6 3" xfId="32572"/>
    <cellStyle name="Percent 2 4 2 7" xfId="8314"/>
    <cellStyle name="Percent 2 4 2 7 2" xfId="16038"/>
    <cellStyle name="Percent 2 4 2 7 2 2" xfId="29445"/>
    <cellStyle name="Percent 2 4 2 7 3" xfId="32573"/>
    <cellStyle name="Percent 2 4 2 8" xfId="10381"/>
    <cellStyle name="Percent 2 4 2 9" xfId="32554"/>
    <cellStyle name="Percent 2 4 3" xfId="8315"/>
    <cellStyle name="Percent 2 4 3 2" xfId="8316"/>
    <cellStyle name="Percent 2 4 3 2 2" xfId="8317"/>
    <cellStyle name="Percent 2 4 3 2 2 2" xfId="11677"/>
    <cellStyle name="Percent 2 4 3 2 2 3" xfId="32576"/>
    <cellStyle name="Percent 2 4 3 2 3" xfId="8318"/>
    <cellStyle name="Percent 2 4 3 2 3 2" xfId="16768"/>
    <cellStyle name="Percent 2 4 3 2 3 2 2" xfId="30175"/>
    <cellStyle name="Percent 2 4 3 2 3 3" xfId="32577"/>
    <cellStyle name="Percent 2 4 3 2 4" xfId="10386"/>
    <cellStyle name="Percent 2 4 3 2 5" xfId="32575"/>
    <cellStyle name="Percent 2 4 3 3" xfId="8319"/>
    <cellStyle name="Percent 2 4 3 3 2" xfId="8320"/>
    <cellStyle name="Percent 2 4 3 3 2 2" xfId="13350"/>
    <cellStyle name="Percent 2 4 3 3 2 3" xfId="32579"/>
    <cellStyle name="Percent 2 4 3 3 3" xfId="12156"/>
    <cellStyle name="Percent 2 4 3 3 3 2" xfId="25868"/>
    <cellStyle name="Percent 2 4 3 3 4" xfId="32578"/>
    <cellStyle name="Percent 2 4 3 4" xfId="8321"/>
    <cellStyle name="Percent 2 4 3 4 2" xfId="8322"/>
    <cellStyle name="Percent 2 4 3 4 2 2" xfId="15780"/>
    <cellStyle name="Percent 2 4 3 4 2 3" xfId="32581"/>
    <cellStyle name="Percent 2 4 3 4 3" xfId="13720"/>
    <cellStyle name="Percent 2 4 3 4 3 2" xfId="27269"/>
    <cellStyle name="Percent 2 4 3 4 4" xfId="32580"/>
    <cellStyle name="Percent 2 4 3 5" xfId="8323"/>
    <cellStyle name="Percent 2 4 3 5 2" xfId="14301"/>
    <cellStyle name="Percent 2 4 3 5 2 2" xfId="27850"/>
    <cellStyle name="Percent 2 4 3 5 3" xfId="32582"/>
    <cellStyle name="Percent 2 4 3 6" xfId="8324"/>
    <cellStyle name="Percent 2 4 3 6 2" xfId="16187"/>
    <cellStyle name="Percent 2 4 3 6 2 2" xfId="29594"/>
    <cellStyle name="Percent 2 4 3 6 3" xfId="32583"/>
    <cellStyle name="Percent 2 4 3 7" xfId="10385"/>
    <cellStyle name="Percent 2 4 3 8" xfId="32574"/>
    <cellStyle name="Percent 2 4 4" xfId="8325"/>
    <cellStyle name="Percent 2 4 4 2" xfId="8326"/>
    <cellStyle name="Percent 2 4 4 2 2" xfId="16476"/>
    <cellStyle name="Percent 2 4 4 2 2 2" xfId="29883"/>
    <cellStyle name="Percent 2 4 4 2 3" xfId="32585"/>
    <cellStyle name="Percent 2 4 4 3" xfId="10387"/>
    <cellStyle name="Percent 2 4 4 4" xfId="32584"/>
    <cellStyle name="Percent 2 4 5" xfId="8327"/>
    <cellStyle name="Percent 2 4 5 2" xfId="8328"/>
    <cellStyle name="Percent 2 4 5 2 2" xfId="11678"/>
    <cellStyle name="Percent 2 4 5 2 3" xfId="32587"/>
    <cellStyle name="Percent 2 4 5 3" xfId="10388"/>
    <cellStyle name="Percent 2 4 5 4" xfId="32586"/>
    <cellStyle name="Percent 2 4 6" xfId="8329"/>
    <cellStyle name="Percent 2 4 6 2" xfId="8330"/>
    <cellStyle name="Percent 2 4 6 2 2" xfId="13351"/>
    <cellStyle name="Percent 2 4 6 2 3" xfId="32589"/>
    <cellStyle name="Percent 2 4 6 3" xfId="11827"/>
    <cellStyle name="Percent 2 4 6 3 2" xfId="25542"/>
    <cellStyle name="Percent 2 4 6 4" xfId="32588"/>
    <cellStyle name="Percent 2 4 7" xfId="8331"/>
    <cellStyle name="Percent 2 4 7 2" xfId="8332"/>
    <cellStyle name="Percent 2 4 7 2 2" xfId="15781"/>
    <cellStyle name="Percent 2 4 7 2 3" xfId="32591"/>
    <cellStyle name="Percent 2 4 7 3" xfId="13428"/>
    <cellStyle name="Percent 2 4 7 3 2" xfId="26977"/>
    <cellStyle name="Percent 2 4 7 4" xfId="32590"/>
    <cellStyle name="Percent 2 4 8" xfId="8333"/>
    <cellStyle name="Percent 2 4 8 2" xfId="14009"/>
    <cellStyle name="Percent 2 4 8 2 2" xfId="27558"/>
    <cellStyle name="Percent 2 4 8 3" xfId="32592"/>
    <cellStyle name="Percent 2 4 9" xfId="8334"/>
    <cellStyle name="Percent 2 4 9 2" xfId="15895"/>
    <cellStyle name="Percent 2 4 9 2 2" xfId="29302"/>
    <cellStyle name="Percent 2 4 9 3" xfId="32593"/>
    <cellStyle name="Percent 2 5" xfId="8335"/>
    <cellStyle name="Percent 2 5 10" xfId="10389"/>
    <cellStyle name="Percent 2 5 11" xfId="32594"/>
    <cellStyle name="Percent 2 5 2" xfId="8336"/>
    <cellStyle name="Percent 2 5 2 2" xfId="8337"/>
    <cellStyle name="Percent 2 5 2 2 2" xfId="8338"/>
    <cellStyle name="Percent 2 5 2 2 2 2" xfId="8339"/>
    <cellStyle name="Percent 2 5 2 2 2 2 2" xfId="11679"/>
    <cellStyle name="Percent 2 5 2 2 2 2 3" xfId="32598"/>
    <cellStyle name="Percent 2 5 2 2 2 3" xfId="8340"/>
    <cellStyle name="Percent 2 5 2 2 2 3 2" xfId="16891"/>
    <cellStyle name="Percent 2 5 2 2 2 3 2 2" xfId="30298"/>
    <cellStyle name="Percent 2 5 2 2 2 3 3" xfId="32599"/>
    <cellStyle name="Percent 2 5 2 2 2 4" xfId="10392"/>
    <cellStyle name="Percent 2 5 2 2 2 5" xfId="32597"/>
    <cellStyle name="Percent 2 5 2 2 3" xfId="8341"/>
    <cellStyle name="Percent 2 5 2 2 3 2" xfId="8342"/>
    <cellStyle name="Percent 2 5 2 2 3 2 2" xfId="13352"/>
    <cellStyle name="Percent 2 5 2 2 3 2 3" xfId="32601"/>
    <cellStyle name="Percent 2 5 2 2 3 3" xfId="12279"/>
    <cellStyle name="Percent 2 5 2 2 3 3 2" xfId="25991"/>
    <cellStyle name="Percent 2 5 2 2 3 4" xfId="32600"/>
    <cellStyle name="Percent 2 5 2 2 4" xfId="8343"/>
    <cellStyle name="Percent 2 5 2 2 4 2" xfId="8344"/>
    <cellStyle name="Percent 2 5 2 2 4 2 2" xfId="15782"/>
    <cellStyle name="Percent 2 5 2 2 4 2 3" xfId="32603"/>
    <cellStyle name="Percent 2 5 2 2 4 3" xfId="13843"/>
    <cellStyle name="Percent 2 5 2 2 4 3 2" xfId="27392"/>
    <cellStyle name="Percent 2 5 2 2 4 4" xfId="32602"/>
    <cellStyle name="Percent 2 5 2 2 5" xfId="8345"/>
    <cellStyle name="Percent 2 5 2 2 5 2" xfId="14424"/>
    <cellStyle name="Percent 2 5 2 2 5 2 2" xfId="27973"/>
    <cellStyle name="Percent 2 5 2 2 5 3" xfId="32604"/>
    <cellStyle name="Percent 2 5 2 2 6" xfId="8346"/>
    <cellStyle name="Percent 2 5 2 2 6 2" xfId="16310"/>
    <cellStyle name="Percent 2 5 2 2 6 2 2" xfId="29717"/>
    <cellStyle name="Percent 2 5 2 2 6 3" xfId="32605"/>
    <cellStyle name="Percent 2 5 2 2 7" xfId="10391"/>
    <cellStyle name="Percent 2 5 2 2 8" xfId="32596"/>
    <cellStyle name="Percent 2 5 2 3" xfId="8347"/>
    <cellStyle name="Percent 2 5 2 3 2" xfId="8348"/>
    <cellStyle name="Percent 2 5 2 3 2 2" xfId="11680"/>
    <cellStyle name="Percent 2 5 2 3 2 3" xfId="32607"/>
    <cellStyle name="Percent 2 5 2 3 3" xfId="8349"/>
    <cellStyle name="Percent 2 5 2 3 3 2" xfId="16602"/>
    <cellStyle name="Percent 2 5 2 3 3 2 2" xfId="30009"/>
    <cellStyle name="Percent 2 5 2 3 3 3" xfId="32608"/>
    <cellStyle name="Percent 2 5 2 3 4" xfId="10393"/>
    <cellStyle name="Percent 2 5 2 3 5" xfId="32606"/>
    <cellStyle name="Percent 2 5 2 4" xfId="8350"/>
    <cellStyle name="Percent 2 5 2 4 2" xfId="8351"/>
    <cellStyle name="Percent 2 5 2 4 2 2" xfId="13353"/>
    <cellStyle name="Percent 2 5 2 4 2 3" xfId="32610"/>
    <cellStyle name="Percent 2 5 2 4 3" xfId="11979"/>
    <cellStyle name="Percent 2 5 2 4 3 2" xfId="25694"/>
    <cellStyle name="Percent 2 5 2 4 4" xfId="32609"/>
    <cellStyle name="Percent 2 5 2 5" xfId="8352"/>
    <cellStyle name="Percent 2 5 2 5 2" xfId="8353"/>
    <cellStyle name="Percent 2 5 2 5 2 2" xfId="15783"/>
    <cellStyle name="Percent 2 5 2 5 2 3" xfId="32612"/>
    <cellStyle name="Percent 2 5 2 5 3" xfId="13554"/>
    <cellStyle name="Percent 2 5 2 5 3 2" xfId="27103"/>
    <cellStyle name="Percent 2 5 2 5 4" xfId="32611"/>
    <cellStyle name="Percent 2 5 2 6" xfId="8354"/>
    <cellStyle name="Percent 2 5 2 6 2" xfId="14135"/>
    <cellStyle name="Percent 2 5 2 6 2 2" xfId="27684"/>
    <cellStyle name="Percent 2 5 2 6 3" xfId="32613"/>
    <cellStyle name="Percent 2 5 2 7" xfId="8355"/>
    <cellStyle name="Percent 2 5 2 7 2" xfId="16021"/>
    <cellStyle name="Percent 2 5 2 7 2 2" xfId="29428"/>
    <cellStyle name="Percent 2 5 2 7 3" xfId="32614"/>
    <cellStyle name="Percent 2 5 2 8" xfId="10390"/>
    <cellStyle name="Percent 2 5 2 9" xfId="32595"/>
    <cellStyle name="Percent 2 5 3" xfId="8356"/>
    <cellStyle name="Percent 2 5 3 2" xfId="8357"/>
    <cellStyle name="Percent 2 5 3 2 2" xfId="8358"/>
    <cellStyle name="Percent 2 5 3 2 2 2" xfId="11681"/>
    <cellStyle name="Percent 2 5 3 2 2 3" xfId="32617"/>
    <cellStyle name="Percent 2 5 3 2 3" xfId="8359"/>
    <cellStyle name="Percent 2 5 3 2 3 2" xfId="16751"/>
    <cellStyle name="Percent 2 5 3 2 3 2 2" xfId="30158"/>
    <cellStyle name="Percent 2 5 3 2 3 3" xfId="32618"/>
    <cellStyle name="Percent 2 5 3 2 4" xfId="10395"/>
    <cellStyle name="Percent 2 5 3 2 5" xfId="32616"/>
    <cellStyle name="Percent 2 5 3 3" xfId="8360"/>
    <cellStyle name="Percent 2 5 3 3 2" xfId="8361"/>
    <cellStyle name="Percent 2 5 3 3 2 2" xfId="13354"/>
    <cellStyle name="Percent 2 5 3 3 2 3" xfId="32620"/>
    <cellStyle name="Percent 2 5 3 3 3" xfId="12139"/>
    <cellStyle name="Percent 2 5 3 3 3 2" xfId="25851"/>
    <cellStyle name="Percent 2 5 3 3 4" xfId="32619"/>
    <cellStyle name="Percent 2 5 3 4" xfId="8362"/>
    <cellStyle name="Percent 2 5 3 4 2" xfId="8363"/>
    <cellStyle name="Percent 2 5 3 4 2 2" xfId="15784"/>
    <cellStyle name="Percent 2 5 3 4 2 3" xfId="32622"/>
    <cellStyle name="Percent 2 5 3 4 3" xfId="13703"/>
    <cellStyle name="Percent 2 5 3 4 3 2" xfId="27252"/>
    <cellStyle name="Percent 2 5 3 4 4" xfId="32621"/>
    <cellStyle name="Percent 2 5 3 5" xfId="8364"/>
    <cellStyle name="Percent 2 5 3 5 2" xfId="14284"/>
    <cellStyle name="Percent 2 5 3 5 2 2" xfId="27833"/>
    <cellStyle name="Percent 2 5 3 5 3" xfId="32623"/>
    <cellStyle name="Percent 2 5 3 6" xfId="8365"/>
    <cellStyle name="Percent 2 5 3 6 2" xfId="16170"/>
    <cellStyle name="Percent 2 5 3 6 2 2" xfId="29577"/>
    <cellStyle name="Percent 2 5 3 6 3" xfId="32624"/>
    <cellStyle name="Percent 2 5 3 7" xfId="10394"/>
    <cellStyle name="Percent 2 5 3 8" xfId="32615"/>
    <cellStyle name="Percent 2 5 4" xfId="8366"/>
    <cellStyle name="Percent 2 5 4 2" xfId="8367"/>
    <cellStyle name="Percent 2 5 4 2 2" xfId="16459"/>
    <cellStyle name="Percent 2 5 4 2 2 2" xfId="29866"/>
    <cellStyle name="Percent 2 5 4 2 3" xfId="32626"/>
    <cellStyle name="Percent 2 5 4 3" xfId="10396"/>
    <cellStyle name="Percent 2 5 4 4" xfId="32625"/>
    <cellStyle name="Percent 2 5 5" xfId="8368"/>
    <cellStyle name="Percent 2 5 5 2" xfId="8369"/>
    <cellStyle name="Percent 2 5 5 2 2" xfId="11682"/>
    <cellStyle name="Percent 2 5 5 2 3" xfId="32628"/>
    <cellStyle name="Percent 2 5 5 3" xfId="10397"/>
    <cellStyle name="Percent 2 5 5 4" xfId="32627"/>
    <cellStyle name="Percent 2 5 6" xfId="8370"/>
    <cellStyle name="Percent 2 5 6 2" xfId="8371"/>
    <cellStyle name="Percent 2 5 6 2 2" xfId="13355"/>
    <cellStyle name="Percent 2 5 6 2 3" xfId="32630"/>
    <cellStyle name="Percent 2 5 6 3" xfId="11810"/>
    <cellStyle name="Percent 2 5 6 3 2" xfId="25525"/>
    <cellStyle name="Percent 2 5 6 4" xfId="32629"/>
    <cellStyle name="Percent 2 5 7" xfId="8372"/>
    <cellStyle name="Percent 2 5 7 2" xfId="8373"/>
    <cellStyle name="Percent 2 5 7 2 2" xfId="15785"/>
    <cellStyle name="Percent 2 5 7 2 3" xfId="32632"/>
    <cellStyle name="Percent 2 5 7 3" xfId="13411"/>
    <cellStyle name="Percent 2 5 7 3 2" xfId="26960"/>
    <cellStyle name="Percent 2 5 7 4" xfId="32631"/>
    <cellStyle name="Percent 2 5 8" xfId="8374"/>
    <cellStyle name="Percent 2 5 8 2" xfId="13992"/>
    <cellStyle name="Percent 2 5 8 2 2" xfId="27541"/>
    <cellStyle name="Percent 2 5 8 3" xfId="32633"/>
    <cellStyle name="Percent 2 5 9" xfId="8375"/>
    <cellStyle name="Percent 2 5 9 2" xfId="15878"/>
    <cellStyle name="Percent 2 5 9 2 2" xfId="29285"/>
    <cellStyle name="Percent 2 5 9 3" xfId="32634"/>
    <cellStyle name="Percent 2 6" xfId="8376"/>
    <cellStyle name="Percent 2 6 10" xfId="10398"/>
    <cellStyle name="Percent 2 6 11" xfId="32635"/>
    <cellStyle name="Percent 2 6 2" xfId="8377"/>
    <cellStyle name="Percent 2 6 2 2" xfId="8378"/>
    <cellStyle name="Percent 2 6 2 2 2" xfId="8379"/>
    <cellStyle name="Percent 2 6 2 2 2 2" xfId="8380"/>
    <cellStyle name="Percent 2 6 2 2 2 2 2" xfId="11683"/>
    <cellStyle name="Percent 2 6 2 2 2 2 3" xfId="32639"/>
    <cellStyle name="Percent 2 6 2 2 2 3" xfId="8381"/>
    <cellStyle name="Percent 2 6 2 2 2 3 2" xfId="16997"/>
    <cellStyle name="Percent 2 6 2 2 2 3 2 2" xfId="30404"/>
    <cellStyle name="Percent 2 6 2 2 2 3 3" xfId="32640"/>
    <cellStyle name="Percent 2 6 2 2 2 4" xfId="10401"/>
    <cellStyle name="Percent 2 6 2 2 2 5" xfId="32638"/>
    <cellStyle name="Percent 2 6 2 2 3" xfId="8382"/>
    <cellStyle name="Percent 2 6 2 2 3 2" xfId="8383"/>
    <cellStyle name="Percent 2 6 2 2 3 2 2" xfId="13356"/>
    <cellStyle name="Percent 2 6 2 2 3 2 3" xfId="32642"/>
    <cellStyle name="Percent 2 6 2 2 3 3" xfId="12385"/>
    <cellStyle name="Percent 2 6 2 2 3 3 2" xfId="26097"/>
    <cellStyle name="Percent 2 6 2 2 3 4" xfId="32641"/>
    <cellStyle name="Percent 2 6 2 2 4" xfId="8384"/>
    <cellStyle name="Percent 2 6 2 2 4 2" xfId="8385"/>
    <cellStyle name="Percent 2 6 2 2 4 2 2" xfId="15786"/>
    <cellStyle name="Percent 2 6 2 2 4 2 3" xfId="32644"/>
    <cellStyle name="Percent 2 6 2 2 4 3" xfId="13949"/>
    <cellStyle name="Percent 2 6 2 2 4 3 2" xfId="27498"/>
    <cellStyle name="Percent 2 6 2 2 4 4" xfId="32643"/>
    <cellStyle name="Percent 2 6 2 2 5" xfId="8386"/>
    <cellStyle name="Percent 2 6 2 2 5 2" xfId="14530"/>
    <cellStyle name="Percent 2 6 2 2 5 2 2" xfId="28079"/>
    <cellStyle name="Percent 2 6 2 2 5 3" xfId="32645"/>
    <cellStyle name="Percent 2 6 2 2 6" xfId="8387"/>
    <cellStyle name="Percent 2 6 2 2 6 2" xfId="16416"/>
    <cellStyle name="Percent 2 6 2 2 6 2 2" xfId="29823"/>
    <cellStyle name="Percent 2 6 2 2 6 3" xfId="32646"/>
    <cellStyle name="Percent 2 6 2 2 7" xfId="10400"/>
    <cellStyle name="Percent 2 6 2 2 8" xfId="32637"/>
    <cellStyle name="Percent 2 6 2 3" xfId="8388"/>
    <cellStyle name="Percent 2 6 2 3 2" xfId="8389"/>
    <cellStyle name="Percent 2 6 2 3 2 2" xfId="11684"/>
    <cellStyle name="Percent 2 6 2 3 2 3" xfId="32648"/>
    <cellStyle name="Percent 2 6 2 3 3" xfId="8390"/>
    <cellStyle name="Percent 2 6 2 3 3 2" xfId="16708"/>
    <cellStyle name="Percent 2 6 2 3 3 2 2" xfId="30115"/>
    <cellStyle name="Percent 2 6 2 3 3 3" xfId="32649"/>
    <cellStyle name="Percent 2 6 2 3 4" xfId="10402"/>
    <cellStyle name="Percent 2 6 2 3 5" xfId="32647"/>
    <cellStyle name="Percent 2 6 2 4" xfId="8391"/>
    <cellStyle name="Percent 2 6 2 4 2" xfId="8392"/>
    <cellStyle name="Percent 2 6 2 4 2 2" xfId="13357"/>
    <cellStyle name="Percent 2 6 2 4 2 3" xfId="32651"/>
    <cellStyle name="Percent 2 6 2 4 3" xfId="12085"/>
    <cellStyle name="Percent 2 6 2 4 3 2" xfId="25800"/>
    <cellStyle name="Percent 2 6 2 4 4" xfId="32650"/>
    <cellStyle name="Percent 2 6 2 5" xfId="8393"/>
    <cellStyle name="Percent 2 6 2 5 2" xfId="8394"/>
    <cellStyle name="Percent 2 6 2 5 2 2" xfId="15787"/>
    <cellStyle name="Percent 2 6 2 5 2 3" xfId="32653"/>
    <cellStyle name="Percent 2 6 2 5 3" xfId="13660"/>
    <cellStyle name="Percent 2 6 2 5 3 2" xfId="27209"/>
    <cellStyle name="Percent 2 6 2 5 4" xfId="32652"/>
    <cellStyle name="Percent 2 6 2 6" xfId="8395"/>
    <cellStyle name="Percent 2 6 2 6 2" xfId="14241"/>
    <cellStyle name="Percent 2 6 2 6 2 2" xfId="27790"/>
    <cellStyle name="Percent 2 6 2 6 3" xfId="32654"/>
    <cellStyle name="Percent 2 6 2 7" xfId="8396"/>
    <cellStyle name="Percent 2 6 2 7 2" xfId="16127"/>
    <cellStyle name="Percent 2 6 2 7 2 2" xfId="29534"/>
    <cellStyle name="Percent 2 6 2 7 3" xfId="32655"/>
    <cellStyle name="Percent 2 6 2 8" xfId="10399"/>
    <cellStyle name="Percent 2 6 2 9" xfId="32636"/>
    <cellStyle name="Percent 2 6 3" xfId="8397"/>
    <cellStyle name="Percent 2 6 3 2" xfId="8398"/>
    <cellStyle name="Percent 2 6 3 2 2" xfId="8399"/>
    <cellStyle name="Percent 2 6 3 2 2 2" xfId="11685"/>
    <cellStyle name="Percent 2 6 3 2 2 3" xfId="32658"/>
    <cellStyle name="Percent 2 6 3 2 3" xfId="8400"/>
    <cellStyle name="Percent 2 6 3 2 3 2" xfId="16854"/>
    <cellStyle name="Percent 2 6 3 2 3 2 2" xfId="30261"/>
    <cellStyle name="Percent 2 6 3 2 3 3" xfId="32659"/>
    <cellStyle name="Percent 2 6 3 2 4" xfId="10404"/>
    <cellStyle name="Percent 2 6 3 2 5" xfId="32657"/>
    <cellStyle name="Percent 2 6 3 3" xfId="8401"/>
    <cellStyle name="Percent 2 6 3 3 2" xfId="8402"/>
    <cellStyle name="Percent 2 6 3 3 2 2" xfId="13358"/>
    <cellStyle name="Percent 2 6 3 3 2 3" xfId="32661"/>
    <cellStyle name="Percent 2 6 3 3 3" xfId="12242"/>
    <cellStyle name="Percent 2 6 3 3 3 2" xfId="25954"/>
    <cellStyle name="Percent 2 6 3 3 4" xfId="32660"/>
    <cellStyle name="Percent 2 6 3 4" xfId="8403"/>
    <cellStyle name="Percent 2 6 3 4 2" xfId="8404"/>
    <cellStyle name="Percent 2 6 3 4 2 2" xfId="15788"/>
    <cellStyle name="Percent 2 6 3 4 2 3" xfId="32663"/>
    <cellStyle name="Percent 2 6 3 4 3" xfId="13806"/>
    <cellStyle name="Percent 2 6 3 4 3 2" xfId="27355"/>
    <cellStyle name="Percent 2 6 3 4 4" xfId="32662"/>
    <cellStyle name="Percent 2 6 3 5" xfId="8405"/>
    <cellStyle name="Percent 2 6 3 5 2" xfId="14387"/>
    <cellStyle name="Percent 2 6 3 5 2 2" xfId="27936"/>
    <cellStyle name="Percent 2 6 3 5 3" xfId="32664"/>
    <cellStyle name="Percent 2 6 3 6" xfId="8406"/>
    <cellStyle name="Percent 2 6 3 6 2" xfId="16273"/>
    <cellStyle name="Percent 2 6 3 6 2 2" xfId="29680"/>
    <cellStyle name="Percent 2 6 3 6 3" xfId="32665"/>
    <cellStyle name="Percent 2 6 3 7" xfId="10403"/>
    <cellStyle name="Percent 2 6 3 8" xfId="32656"/>
    <cellStyle name="Percent 2 6 4" xfId="8407"/>
    <cellStyle name="Percent 2 6 4 2" xfId="8408"/>
    <cellStyle name="Percent 2 6 4 2 2" xfId="16565"/>
    <cellStyle name="Percent 2 6 4 2 2 2" xfId="29972"/>
    <cellStyle name="Percent 2 6 4 2 3" xfId="32667"/>
    <cellStyle name="Percent 2 6 4 3" xfId="10405"/>
    <cellStyle name="Percent 2 6 4 4" xfId="32666"/>
    <cellStyle name="Percent 2 6 5" xfId="8409"/>
    <cellStyle name="Percent 2 6 5 2" xfId="8410"/>
    <cellStyle name="Percent 2 6 5 2 2" xfId="11686"/>
    <cellStyle name="Percent 2 6 5 2 3" xfId="32669"/>
    <cellStyle name="Percent 2 6 5 3" xfId="10406"/>
    <cellStyle name="Percent 2 6 5 4" xfId="32668"/>
    <cellStyle name="Percent 2 6 6" xfId="8411"/>
    <cellStyle name="Percent 2 6 6 2" xfId="8412"/>
    <cellStyle name="Percent 2 6 6 2 2" xfId="13359"/>
    <cellStyle name="Percent 2 6 6 2 3" xfId="32671"/>
    <cellStyle name="Percent 2 6 6 3" xfId="11940"/>
    <cellStyle name="Percent 2 6 6 3 2" xfId="25655"/>
    <cellStyle name="Percent 2 6 6 4" xfId="32670"/>
    <cellStyle name="Percent 2 6 7" xfId="8413"/>
    <cellStyle name="Percent 2 6 7 2" xfId="8414"/>
    <cellStyle name="Percent 2 6 7 2 2" xfId="15789"/>
    <cellStyle name="Percent 2 6 7 2 3" xfId="32673"/>
    <cellStyle name="Percent 2 6 7 3" xfId="13517"/>
    <cellStyle name="Percent 2 6 7 3 2" xfId="27066"/>
    <cellStyle name="Percent 2 6 7 4" xfId="32672"/>
    <cellStyle name="Percent 2 6 8" xfId="8415"/>
    <cellStyle name="Percent 2 6 8 2" xfId="14098"/>
    <cellStyle name="Percent 2 6 8 2 2" xfId="27647"/>
    <cellStyle name="Percent 2 6 8 3" xfId="32674"/>
    <cellStyle name="Percent 2 6 9" xfId="8416"/>
    <cellStyle name="Percent 2 6 9 2" xfId="15984"/>
    <cellStyle name="Percent 2 6 9 2 2" xfId="29391"/>
    <cellStyle name="Percent 2 6 9 3" xfId="32675"/>
    <cellStyle name="Percent 2 7" xfId="8417"/>
    <cellStyle name="Percent 2 7 2" xfId="8418"/>
    <cellStyle name="Percent 2 7 2 2" xfId="8419"/>
    <cellStyle name="Percent 2 7 2 2 2" xfId="8420"/>
    <cellStyle name="Percent 2 7 2 2 2 2" xfId="11687"/>
    <cellStyle name="Percent 2 7 2 2 2 3" xfId="32679"/>
    <cellStyle name="Percent 2 7 2 2 3" xfId="8421"/>
    <cellStyle name="Percent 2 7 2 2 3 2" xfId="16874"/>
    <cellStyle name="Percent 2 7 2 2 3 2 2" xfId="30281"/>
    <cellStyle name="Percent 2 7 2 2 3 3" xfId="32680"/>
    <cellStyle name="Percent 2 7 2 2 4" xfId="10409"/>
    <cellStyle name="Percent 2 7 2 2 5" xfId="32678"/>
    <cellStyle name="Percent 2 7 2 3" xfId="8422"/>
    <cellStyle name="Percent 2 7 2 3 2" xfId="8423"/>
    <cellStyle name="Percent 2 7 2 3 2 2" xfId="13360"/>
    <cellStyle name="Percent 2 7 2 3 2 3" xfId="32682"/>
    <cellStyle name="Percent 2 7 2 3 3" xfId="12262"/>
    <cellStyle name="Percent 2 7 2 3 3 2" xfId="25974"/>
    <cellStyle name="Percent 2 7 2 3 4" xfId="32681"/>
    <cellStyle name="Percent 2 7 2 4" xfId="8424"/>
    <cellStyle name="Percent 2 7 2 4 2" xfId="8425"/>
    <cellStyle name="Percent 2 7 2 4 2 2" xfId="15790"/>
    <cellStyle name="Percent 2 7 2 4 2 3" xfId="32684"/>
    <cellStyle name="Percent 2 7 2 4 3" xfId="13826"/>
    <cellStyle name="Percent 2 7 2 4 3 2" xfId="27375"/>
    <cellStyle name="Percent 2 7 2 4 4" xfId="32683"/>
    <cellStyle name="Percent 2 7 2 5" xfId="8426"/>
    <cellStyle name="Percent 2 7 2 5 2" xfId="14407"/>
    <cellStyle name="Percent 2 7 2 5 2 2" xfId="27956"/>
    <cellStyle name="Percent 2 7 2 5 3" xfId="32685"/>
    <cellStyle name="Percent 2 7 2 6" xfId="8427"/>
    <cellStyle name="Percent 2 7 2 6 2" xfId="16293"/>
    <cellStyle name="Percent 2 7 2 6 2 2" xfId="29700"/>
    <cellStyle name="Percent 2 7 2 6 3" xfId="32686"/>
    <cellStyle name="Percent 2 7 2 7" xfId="10408"/>
    <cellStyle name="Percent 2 7 2 8" xfId="32677"/>
    <cellStyle name="Percent 2 7 3" xfId="8428"/>
    <cellStyle name="Percent 2 7 3 2" xfId="8429"/>
    <cellStyle name="Percent 2 7 3 2 2" xfId="11688"/>
    <cellStyle name="Percent 2 7 3 2 3" xfId="32688"/>
    <cellStyle name="Percent 2 7 3 3" xfId="8430"/>
    <cellStyle name="Percent 2 7 3 3 2" xfId="16585"/>
    <cellStyle name="Percent 2 7 3 3 2 2" xfId="29992"/>
    <cellStyle name="Percent 2 7 3 3 3" xfId="32689"/>
    <cellStyle name="Percent 2 7 3 4" xfId="10410"/>
    <cellStyle name="Percent 2 7 3 5" xfId="32687"/>
    <cellStyle name="Percent 2 7 4" xfId="8431"/>
    <cellStyle name="Percent 2 7 4 2" xfId="8432"/>
    <cellStyle name="Percent 2 7 4 2 2" xfId="13361"/>
    <cellStyle name="Percent 2 7 4 2 3" xfId="32691"/>
    <cellStyle name="Percent 2 7 4 3" xfId="11962"/>
    <cellStyle name="Percent 2 7 4 3 2" xfId="25677"/>
    <cellStyle name="Percent 2 7 4 4" xfId="32690"/>
    <cellStyle name="Percent 2 7 5" xfId="8433"/>
    <cellStyle name="Percent 2 7 5 2" xfId="8434"/>
    <cellStyle name="Percent 2 7 5 2 2" xfId="15791"/>
    <cellStyle name="Percent 2 7 5 2 3" xfId="32693"/>
    <cellStyle name="Percent 2 7 5 3" xfId="13537"/>
    <cellStyle name="Percent 2 7 5 3 2" xfId="27086"/>
    <cellStyle name="Percent 2 7 5 4" xfId="32692"/>
    <cellStyle name="Percent 2 7 6" xfId="8435"/>
    <cellStyle name="Percent 2 7 6 2" xfId="14118"/>
    <cellStyle name="Percent 2 7 6 2 2" xfId="27667"/>
    <cellStyle name="Percent 2 7 6 3" xfId="32694"/>
    <cellStyle name="Percent 2 7 7" xfId="8436"/>
    <cellStyle name="Percent 2 7 7 2" xfId="16004"/>
    <cellStyle name="Percent 2 7 7 2 2" xfId="29411"/>
    <cellStyle name="Percent 2 7 7 3" xfId="32695"/>
    <cellStyle name="Percent 2 7 8" xfId="10407"/>
    <cellStyle name="Percent 2 7 9" xfId="32676"/>
    <cellStyle name="Percent 2 8" xfId="8437"/>
    <cellStyle name="Percent 2 8 2" xfId="8438"/>
    <cellStyle name="Percent 2 8 2 2" xfId="8439"/>
    <cellStyle name="Percent 2 8 2 2 2" xfId="11689"/>
    <cellStyle name="Percent 2 8 2 2 3" xfId="32698"/>
    <cellStyle name="Percent 2 8 2 3" xfId="8440"/>
    <cellStyle name="Percent 2 8 2 3 2" xfId="16731"/>
    <cellStyle name="Percent 2 8 2 3 2 2" xfId="30138"/>
    <cellStyle name="Percent 2 8 2 3 3" xfId="32699"/>
    <cellStyle name="Percent 2 8 2 4" xfId="10412"/>
    <cellStyle name="Percent 2 8 2 5" xfId="32697"/>
    <cellStyle name="Percent 2 8 3" xfId="8441"/>
    <cellStyle name="Percent 2 8 3 2" xfId="8442"/>
    <cellStyle name="Percent 2 8 3 2 2" xfId="13362"/>
    <cellStyle name="Percent 2 8 3 2 3" xfId="32701"/>
    <cellStyle name="Percent 2 8 3 3" xfId="12119"/>
    <cellStyle name="Percent 2 8 3 3 2" xfId="25831"/>
    <cellStyle name="Percent 2 8 3 4" xfId="32700"/>
    <cellStyle name="Percent 2 8 4" xfId="8443"/>
    <cellStyle name="Percent 2 8 4 2" xfId="8444"/>
    <cellStyle name="Percent 2 8 4 2 2" xfId="15792"/>
    <cellStyle name="Percent 2 8 4 2 3" xfId="32703"/>
    <cellStyle name="Percent 2 8 4 3" xfId="13683"/>
    <cellStyle name="Percent 2 8 4 3 2" xfId="27232"/>
    <cellStyle name="Percent 2 8 4 4" xfId="32702"/>
    <cellStyle name="Percent 2 8 5" xfId="8445"/>
    <cellStyle name="Percent 2 8 5 2" xfId="14264"/>
    <cellStyle name="Percent 2 8 5 2 2" xfId="27813"/>
    <cellStyle name="Percent 2 8 5 3" xfId="32704"/>
    <cellStyle name="Percent 2 8 6" xfId="8446"/>
    <cellStyle name="Percent 2 8 6 2" xfId="16150"/>
    <cellStyle name="Percent 2 8 6 2 2" xfId="29557"/>
    <cellStyle name="Percent 2 8 6 3" xfId="32705"/>
    <cellStyle name="Percent 2 8 7" xfId="10411"/>
    <cellStyle name="Percent 2 8 8" xfId="32696"/>
    <cellStyle name="Percent 2 9" xfId="8447"/>
    <cellStyle name="Percent 2 9 2" xfId="8448"/>
    <cellStyle name="Percent 2 9 2 2" xfId="8449"/>
    <cellStyle name="Percent 2 9 2 2 2" xfId="11690"/>
    <cellStyle name="Percent 2 9 2 2 3" xfId="32708"/>
    <cellStyle name="Percent 2 9 2 3" xfId="8450"/>
    <cellStyle name="Percent 2 9 2 3 2" xfId="16736"/>
    <cellStyle name="Percent 2 9 2 3 2 2" xfId="30143"/>
    <cellStyle name="Percent 2 9 2 3 3" xfId="32709"/>
    <cellStyle name="Percent 2 9 2 4" xfId="10414"/>
    <cellStyle name="Percent 2 9 2 5" xfId="32707"/>
    <cellStyle name="Percent 2 9 3" xfId="8451"/>
    <cellStyle name="Percent 2 9 3 2" xfId="8452"/>
    <cellStyle name="Percent 2 9 3 2 2" xfId="13363"/>
    <cellStyle name="Percent 2 9 3 2 3" xfId="32711"/>
    <cellStyle name="Percent 2 9 3 3" xfId="12124"/>
    <cellStyle name="Percent 2 9 3 3 2" xfId="25836"/>
    <cellStyle name="Percent 2 9 3 4" xfId="32710"/>
    <cellStyle name="Percent 2 9 4" xfId="8453"/>
    <cellStyle name="Percent 2 9 4 2" xfId="8454"/>
    <cellStyle name="Percent 2 9 4 2 2" xfId="15793"/>
    <cellStyle name="Percent 2 9 4 2 3" xfId="32713"/>
    <cellStyle name="Percent 2 9 4 3" xfId="13688"/>
    <cellStyle name="Percent 2 9 4 3 2" xfId="27237"/>
    <cellStyle name="Percent 2 9 4 4" xfId="32712"/>
    <cellStyle name="Percent 2 9 5" xfId="8455"/>
    <cellStyle name="Percent 2 9 5 2" xfId="14269"/>
    <cellStyle name="Percent 2 9 5 2 2" xfId="27818"/>
    <cellStyle name="Percent 2 9 5 3" xfId="32714"/>
    <cellStyle name="Percent 2 9 6" xfId="8456"/>
    <cellStyle name="Percent 2 9 6 2" xfId="16155"/>
    <cellStyle name="Percent 2 9 6 2 2" xfId="29562"/>
    <cellStyle name="Percent 2 9 6 3" xfId="32715"/>
    <cellStyle name="Percent 2 9 7" xfId="10413"/>
    <cellStyle name="Percent 2 9 8" xfId="32706"/>
    <cellStyle name="Percent 3" xfId="8457"/>
    <cellStyle name="Percent 3 2" xfId="8458"/>
    <cellStyle name="Percent 3 2 2" xfId="8719"/>
    <cellStyle name="Percent 3 2 3" xfId="32717"/>
    <cellStyle name="Percent 3 2 4" xfId="32914"/>
    <cellStyle name="Percent 3 3" xfId="8459"/>
    <cellStyle name="Percent 3 3 2" xfId="8460"/>
    <cellStyle name="Percent 3 3 2 2" xfId="17352"/>
    <cellStyle name="Percent 3 3 2 3" xfId="32719"/>
    <cellStyle name="Percent 3 3 3" xfId="8749"/>
    <cellStyle name="Percent 3 3 4" xfId="10416"/>
    <cellStyle name="Percent 3 3 5" xfId="32718"/>
    <cellStyle name="Percent 3 4" xfId="8657"/>
    <cellStyle name="Percent 3 4 2" xfId="10415"/>
    <cellStyle name="Percent 3 5" xfId="32716"/>
    <cellStyle name="Percent 3 6" xfId="32913"/>
    <cellStyle name="Percent 3 7" xfId="33096"/>
    <cellStyle name="Percent 4" xfId="8461"/>
    <cellStyle name="Percent 4 2" xfId="8462"/>
    <cellStyle name="Percent 4 2 2" xfId="10418"/>
    <cellStyle name="Percent 4 2 3" xfId="32721"/>
    <cellStyle name="Percent 4 3" xfId="8463"/>
    <cellStyle name="Percent 4 3 2" xfId="13364"/>
    <cellStyle name="Percent 4 3 3" xfId="32722"/>
    <cellStyle name="Percent 4 4" xfId="8464"/>
    <cellStyle name="Percent 4 4 2" xfId="10417"/>
    <cellStyle name="Percent 4 4 3" xfId="32723"/>
    <cellStyle name="Percent 4 5" xfId="8674"/>
    <cellStyle name="Percent 4 6" xfId="32720"/>
    <cellStyle name="Percent 4 7" xfId="32915"/>
    <cellStyle name="Percent 5" xfId="8465"/>
    <cellStyle name="Percent 5 2" xfId="8466"/>
    <cellStyle name="Percent 5 2 2" xfId="17353"/>
    <cellStyle name="Percent 5 2 3" xfId="32725"/>
    <cellStyle name="Percent 5 2 4" xfId="32945"/>
    <cellStyle name="Percent 5 2 5" xfId="33003"/>
    <cellStyle name="Percent 5 3" xfId="8750"/>
    <cellStyle name="Percent 5 4" xfId="32724"/>
    <cellStyle name="Percent 5 5" xfId="32916"/>
    <cellStyle name="Percent 5 6" xfId="32976"/>
    <cellStyle name="Percent 6" xfId="8467"/>
    <cellStyle name="Percent 6 10" xfId="8751"/>
    <cellStyle name="Percent 6 11" xfId="10419"/>
    <cellStyle name="Percent 6 12" xfId="32726"/>
    <cellStyle name="Percent 6 2" xfId="8468"/>
    <cellStyle name="Percent 6 2 2" xfId="8469"/>
    <cellStyle name="Percent 6 2 2 2" xfId="8470"/>
    <cellStyle name="Percent 6 2 2 2 2" xfId="8471"/>
    <cellStyle name="Percent 6 2 2 2 2 2" xfId="11695"/>
    <cellStyle name="Percent 6 2 2 2 2 3" xfId="32730"/>
    <cellStyle name="Percent 6 2 2 2 3" xfId="8472"/>
    <cellStyle name="Percent 6 2 2 2 3 2" xfId="16937"/>
    <cellStyle name="Percent 6 2 2 2 3 2 2" xfId="30344"/>
    <cellStyle name="Percent 6 2 2 2 3 3" xfId="32731"/>
    <cellStyle name="Percent 6 2 2 2 4" xfId="10422"/>
    <cellStyle name="Percent 6 2 2 2 5" xfId="32729"/>
    <cellStyle name="Percent 6 2 2 3" xfId="8473"/>
    <cellStyle name="Percent 6 2 2 3 2" xfId="8474"/>
    <cellStyle name="Percent 6 2 2 3 2 2" xfId="13365"/>
    <cellStyle name="Percent 6 2 2 3 2 3" xfId="32733"/>
    <cellStyle name="Percent 6 2 2 3 3" xfId="12325"/>
    <cellStyle name="Percent 6 2 2 3 3 2" xfId="26037"/>
    <cellStyle name="Percent 6 2 2 3 4" xfId="32732"/>
    <cellStyle name="Percent 6 2 2 4" xfId="8475"/>
    <cellStyle name="Percent 6 2 2 4 2" xfId="8476"/>
    <cellStyle name="Percent 6 2 2 4 2 2" xfId="15794"/>
    <cellStyle name="Percent 6 2 2 4 2 3" xfId="32735"/>
    <cellStyle name="Percent 6 2 2 4 3" xfId="13889"/>
    <cellStyle name="Percent 6 2 2 4 3 2" xfId="27438"/>
    <cellStyle name="Percent 6 2 2 4 4" xfId="32734"/>
    <cellStyle name="Percent 6 2 2 5" xfId="8477"/>
    <cellStyle name="Percent 6 2 2 5 2" xfId="14470"/>
    <cellStyle name="Percent 6 2 2 5 2 2" xfId="28019"/>
    <cellStyle name="Percent 6 2 2 5 3" xfId="32736"/>
    <cellStyle name="Percent 6 2 2 6" xfId="8478"/>
    <cellStyle name="Percent 6 2 2 6 2" xfId="16356"/>
    <cellStyle name="Percent 6 2 2 6 2 2" xfId="29763"/>
    <cellStyle name="Percent 6 2 2 6 3" xfId="32737"/>
    <cellStyle name="Percent 6 2 2 7" xfId="10421"/>
    <cellStyle name="Percent 6 2 2 8" xfId="32728"/>
    <cellStyle name="Percent 6 2 3" xfId="8479"/>
    <cellStyle name="Percent 6 2 3 2" xfId="8480"/>
    <cellStyle name="Percent 6 2 3 2 2" xfId="11696"/>
    <cellStyle name="Percent 6 2 3 2 3" xfId="32739"/>
    <cellStyle name="Percent 6 2 3 3" xfId="8481"/>
    <cellStyle name="Percent 6 2 3 3 2" xfId="16648"/>
    <cellStyle name="Percent 6 2 3 3 2 2" xfId="30055"/>
    <cellStyle name="Percent 6 2 3 3 3" xfId="32740"/>
    <cellStyle name="Percent 6 2 3 4" xfId="10423"/>
    <cellStyle name="Percent 6 2 3 5" xfId="32738"/>
    <cellStyle name="Percent 6 2 4" xfId="8482"/>
    <cellStyle name="Percent 6 2 4 2" xfId="8483"/>
    <cellStyle name="Percent 6 2 4 2 2" xfId="13366"/>
    <cellStyle name="Percent 6 2 4 2 3" xfId="32742"/>
    <cellStyle name="Percent 6 2 4 3" xfId="12025"/>
    <cellStyle name="Percent 6 2 4 3 2" xfId="25740"/>
    <cellStyle name="Percent 6 2 4 4" xfId="32741"/>
    <cellStyle name="Percent 6 2 5" xfId="8484"/>
    <cellStyle name="Percent 6 2 5 2" xfId="8485"/>
    <cellStyle name="Percent 6 2 5 2 2" xfId="15795"/>
    <cellStyle name="Percent 6 2 5 2 3" xfId="32744"/>
    <cellStyle name="Percent 6 2 5 3" xfId="13600"/>
    <cellStyle name="Percent 6 2 5 3 2" xfId="27149"/>
    <cellStyle name="Percent 6 2 5 4" xfId="32743"/>
    <cellStyle name="Percent 6 2 6" xfId="8486"/>
    <cellStyle name="Percent 6 2 6 2" xfId="14181"/>
    <cellStyle name="Percent 6 2 6 2 2" xfId="27730"/>
    <cellStyle name="Percent 6 2 6 3" xfId="32745"/>
    <cellStyle name="Percent 6 2 7" xfId="8487"/>
    <cellStyle name="Percent 6 2 7 2" xfId="16067"/>
    <cellStyle name="Percent 6 2 7 2 2" xfId="29474"/>
    <cellStyle name="Percent 6 2 7 3" xfId="32746"/>
    <cellStyle name="Percent 6 2 8" xfId="10420"/>
    <cellStyle name="Percent 6 2 9" xfId="32727"/>
    <cellStyle name="Percent 6 3" xfId="8488"/>
    <cellStyle name="Percent 6 3 2" xfId="8489"/>
    <cellStyle name="Percent 6 3 2 2" xfId="8490"/>
    <cellStyle name="Percent 6 3 2 2 2" xfId="11697"/>
    <cellStyle name="Percent 6 3 2 2 3" xfId="32749"/>
    <cellStyle name="Percent 6 3 2 3" xfId="8491"/>
    <cellStyle name="Percent 6 3 2 3 2" xfId="16794"/>
    <cellStyle name="Percent 6 3 2 3 2 2" xfId="30201"/>
    <cellStyle name="Percent 6 3 2 3 3" xfId="32750"/>
    <cellStyle name="Percent 6 3 2 4" xfId="10425"/>
    <cellStyle name="Percent 6 3 2 5" xfId="32748"/>
    <cellStyle name="Percent 6 3 3" xfId="8492"/>
    <cellStyle name="Percent 6 3 3 2" xfId="8493"/>
    <cellStyle name="Percent 6 3 3 2 2" xfId="13367"/>
    <cellStyle name="Percent 6 3 3 2 3" xfId="32752"/>
    <cellStyle name="Percent 6 3 3 3" xfId="12182"/>
    <cellStyle name="Percent 6 3 3 3 2" xfId="25894"/>
    <cellStyle name="Percent 6 3 3 4" xfId="32751"/>
    <cellStyle name="Percent 6 3 4" xfId="8494"/>
    <cellStyle name="Percent 6 3 4 2" xfId="8495"/>
    <cellStyle name="Percent 6 3 4 2 2" xfId="15796"/>
    <cellStyle name="Percent 6 3 4 2 3" xfId="32754"/>
    <cellStyle name="Percent 6 3 4 3" xfId="13746"/>
    <cellStyle name="Percent 6 3 4 3 2" xfId="27295"/>
    <cellStyle name="Percent 6 3 4 4" xfId="32753"/>
    <cellStyle name="Percent 6 3 5" xfId="8496"/>
    <cellStyle name="Percent 6 3 5 2" xfId="14327"/>
    <cellStyle name="Percent 6 3 5 2 2" xfId="27876"/>
    <cellStyle name="Percent 6 3 5 3" xfId="32755"/>
    <cellStyle name="Percent 6 3 6" xfId="8497"/>
    <cellStyle name="Percent 6 3 6 2" xfId="16213"/>
    <cellStyle name="Percent 6 3 6 2 2" xfId="29620"/>
    <cellStyle name="Percent 6 3 6 3" xfId="32756"/>
    <cellStyle name="Percent 6 3 7" xfId="10424"/>
    <cellStyle name="Percent 6 3 8" xfId="32747"/>
    <cellStyle name="Percent 6 4" xfId="8498"/>
    <cellStyle name="Percent 6 4 2" xfId="8499"/>
    <cellStyle name="Percent 6 4 2 2" xfId="11698"/>
    <cellStyle name="Percent 6 4 2 3" xfId="32758"/>
    <cellStyle name="Percent 6 4 3" xfId="8500"/>
    <cellStyle name="Percent 6 4 3 2" xfId="17141"/>
    <cellStyle name="Percent 6 4 3 2 2" xfId="30500"/>
    <cellStyle name="Percent 6 4 3 3" xfId="32759"/>
    <cellStyle name="Percent 6 4 4" xfId="10426"/>
    <cellStyle name="Percent 6 4 5" xfId="32757"/>
    <cellStyle name="Percent 6 5" xfId="8501"/>
    <cellStyle name="Percent 6 5 2" xfId="8502"/>
    <cellStyle name="Percent 6 5 2 2" xfId="13368"/>
    <cellStyle name="Percent 6 5 2 3" xfId="32761"/>
    <cellStyle name="Percent 6 5 3" xfId="8503"/>
    <cellStyle name="Percent 6 5 3 2" xfId="17230"/>
    <cellStyle name="Percent 6 5 3 2 2" xfId="30589"/>
    <cellStyle name="Percent 6 5 3 3" xfId="32762"/>
    <cellStyle name="Percent 6 5 4" xfId="11877"/>
    <cellStyle name="Percent 6 5 4 2" xfId="25592"/>
    <cellStyle name="Percent 6 5 5" xfId="32760"/>
    <cellStyle name="Percent 6 6" xfId="8504"/>
    <cellStyle name="Percent 6 6 2" xfId="8505"/>
    <cellStyle name="Percent 6 6 2 2" xfId="15797"/>
    <cellStyle name="Percent 6 6 2 3" xfId="32764"/>
    <cellStyle name="Percent 6 6 3" xfId="8506"/>
    <cellStyle name="Percent 6 6 3 2" xfId="16505"/>
    <cellStyle name="Percent 6 6 3 2 2" xfId="29912"/>
    <cellStyle name="Percent 6 6 3 3" xfId="32765"/>
    <cellStyle name="Percent 6 6 4" xfId="13457"/>
    <cellStyle name="Percent 6 6 4 2" xfId="27006"/>
    <cellStyle name="Percent 6 6 5" xfId="32763"/>
    <cellStyle name="Percent 6 7" xfId="8507"/>
    <cellStyle name="Percent 6 7 2" xfId="14038"/>
    <cellStyle name="Percent 6 7 2 2" xfId="27587"/>
    <cellStyle name="Percent 6 7 3" xfId="32766"/>
    <cellStyle name="Percent 6 8" xfId="8508"/>
    <cellStyle name="Percent 6 8 2" xfId="15924"/>
    <cellStyle name="Percent 6 8 2 2" xfId="29331"/>
    <cellStyle name="Percent 6 8 3" xfId="32767"/>
    <cellStyle name="Percent 6 9" xfId="8509"/>
    <cellStyle name="Percent 6 9 2" xfId="17354"/>
    <cellStyle name="Percent 6 9 3" xfId="32768"/>
    <cellStyle name="Percent 7" xfId="8510"/>
    <cellStyle name="Percent 7 2" xfId="10427"/>
    <cellStyle name="Percent 7 3" xfId="32769"/>
    <cellStyle name="Percent 8" xfId="8511"/>
    <cellStyle name="Percent 8 2" xfId="8512"/>
    <cellStyle name="Percent 8 2 2" xfId="10429"/>
    <cellStyle name="Percent 8 2 3" xfId="32771"/>
    <cellStyle name="Percent 8 3" xfId="8513"/>
    <cellStyle name="Percent 8 3 2" xfId="13369"/>
    <cellStyle name="Percent 8 3 3" xfId="32772"/>
    <cellStyle name="Percent 8 4" xfId="10428"/>
    <cellStyle name="Percent 8 5" xfId="32770"/>
    <cellStyle name="Percent 9" xfId="8514"/>
    <cellStyle name="Percent 9 2" xfId="8515"/>
    <cellStyle name="Percent 9 2 2" xfId="13371"/>
    <cellStyle name="Percent 9 2 3" xfId="32774"/>
    <cellStyle name="Percent 9 3" xfId="8516"/>
    <cellStyle name="Percent 9 3 2" xfId="13370"/>
    <cellStyle name="Percent 9 3 3" xfId="32775"/>
    <cellStyle name="Percent 9 4" xfId="10525"/>
    <cellStyle name="Percent 9 5" xfId="32773"/>
    <cellStyle name="SAPBEXaggData" xfId="8517"/>
    <cellStyle name="SAPBEXaggData 2" xfId="17056"/>
    <cellStyle name="SAPBEXaggData 3" xfId="32776"/>
    <cellStyle name="SAPBEXaggDataEmph" xfId="8518"/>
    <cellStyle name="SAPBEXaggDataEmph 2" xfId="17057"/>
    <cellStyle name="SAPBEXaggDataEmph 3" xfId="32777"/>
    <cellStyle name="SAPBEXaggItem" xfId="8519"/>
    <cellStyle name="SAPBEXaggItem 2" xfId="17058"/>
    <cellStyle name="SAPBEXaggItem 3" xfId="32778"/>
    <cellStyle name="SAPBEXaggItemX" xfId="8520"/>
    <cellStyle name="SAPBEXaggItemX 2" xfId="17059"/>
    <cellStyle name="SAPBEXaggItemX 3" xfId="32779"/>
    <cellStyle name="SAPBEXchaText" xfId="8521"/>
    <cellStyle name="SAPBEXchaText 2" xfId="17060"/>
    <cellStyle name="SAPBEXchaText 3" xfId="32780"/>
    <cellStyle name="SAPBEXexcBad7" xfId="8522"/>
    <cellStyle name="SAPBEXexcBad7 2" xfId="17061"/>
    <cellStyle name="SAPBEXexcBad7 3" xfId="32781"/>
    <cellStyle name="SAPBEXexcBad8" xfId="8523"/>
    <cellStyle name="SAPBEXexcBad8 2" xfId="17062"/>
    <cellStyle name="SAPBEXexcBad8 3" xfId="32782"/>
    <cellStyle name="SAPBEXexcBad9" xfId="8524"/>
    <cellStyle name="SAPBEXexcBad9 2" xfId="17063"/>
    <cellStyle name="SAPBEXexcBad9 3" xfId="32783"/>
    <cellStyle name="SAPBEXexcCritical4" xfId="8525"/>
    <cellStyle name="SAPBEXexcCritical4 2" xfId="17064"/>
    <cellStyle name="SAPBEXexcCritical4 3" xfId="32784"/>
    <cellStyle name="SAPBEXexcCritical5" xfId="8526"/>
    <cellStyle name="SAPBEXexcCritical5 2" xfId="17065"/>
    <cellStyle name="SAPBEXexcCritical5 3" xfId="32785"/>
    <cellStyle name="SAPBEXexcCritical6" xfId="8527"/>
    <cellStyle name="SAPBEXexcCritical6 2" xfId="17066"/>
    <cellStyle name="SAPBEXexcCritical6 3" xfId="32786"/>
    <cellStyle name="SAPBEXexcGood1" xfId="8528"/>
    <cellStyle name="SAPBEXexcGood1 2" xfId="17067"/>
    <cellStyle name="SAPBEXexcGood1 3" xfId="32787"/>
    <cellStyle name="SAPBEXexcGood2" xfId="8529"/>
    <cellStyle name="SAPBEXexcGood2 2" xfId="17068"/>
    <cellStyle name="SAPBEXexcGood2 3" xfId="32788"/>
    <cellStyle name="SAPBEXexcGood3" xfId="8530"/>
    <cellStyle name="SAPBEXexcGood3 2" xfId="17069"/>
    <cellStyle name="SAPBEXexcGood3 3" xfId="32789"/>
    <cellStyle name="SAPBEXfilterDrill" xfId="8531"/>
    <cellStyle name="SAPBEXfilterDrill 2" xfId="17070"/>
    <cellStyle name="SAPBEXfilterDrill 3" xfId="32790"/>
    <cellStyle name="SAPBEXfilterItem" xfId="8532"/>
    <cellStyle name="SAPBEXfilterItem 2" xfId="17071"/>
    <cellStyle name="SAPBEXfilterItem 3" xfId="32791"/>
    <cellStyle name="SAPBEXfilterText" xfId="8533"/>
    <cellStyle name="SAPBEXfilterText 2" xfId="17072"/>
    <cellStyle name="SAPBEXfilterText 3" xfId="32792"/>
    <cellStyle name="SAPBEXformats" xfId="8534"/>
    <cellStyle name="SAPBEXformats 2" xfId="17073"/>
    <cellStyle name="SAPBEXformats 3" xfId="32793"/>
    <cellStyle name="SAPBEXheaderItem" xfId="8535"/>
    <cellStyle name="SAPBEXheaderItem 2" xfId="17074"/>
    <cellStyle name="SAPBEXheaderItem 3" xfId="32794"/>
    <cellStyle name="SAPBEXheaderText" xfId="8536"/>
    <cellStyle name="SAPBEXheaderText 2" xfId="17075"/>
    <cellStyle name="SAPBEXheaderText 3" xfId="32795"/>
    <cellStyle name="SAPBEXHLevel0" xfId="8537"/>
    <cellStyle name="SAPBEXHLevel0 2" xfId="17076"/>
    <cellStyle name="SAPBEXHLevel0 3" xfId="32796"/>
    <cellStyle name="SAPBEXHLevel0X" xfId="8538"/>
    <cellStyle name="SAPBEXHLevel0X 2" xfId="17077"/>
    <cellStyle name="SAPBEXHLevel0X 3" xfId="32797"/>
    <cellStyle name="SAPBEXHLevel1" xfId="8539"/>
    <cellStyle name="SAPBEXHLevel1 2" xfId="17078"/>
    <cellStyle name="SAPBEXHLevel1 3" xfId="32798"/>
    <cellStyle name="SAPBEXHLevel1X" xfId="8540"/>
    <cellStyle name="SAPBEXHLevel1X 2" xfId="17079"/>
    <cellStyle name="SAPBEXHLevel1X 3" xfId="32799"/>
    <cellStyle name="SAPBEXHLevel2" xfId="8541"/>
    <cellStyle name="SAPBEXHLevel2 2" xfId="17080"/>
    <cellStyle name="SAPBEXHLevel2 3" xfId="32800"/>
    <cellStyle name="SAPBEXHLevel2X" xfId="8542"/>
    <cellStyle name="SAPBEXHLevel2X 2" xfId="17081"/>
    <cellStyle name="SAPBEXHLevel2X 3" xfId="32801"/>
    <cellStyle name="SAPBEXHLevel3" xfId="8543"/>
    <cellStyle name="SAPBEXHLevel3 2" xfId="17082"/>
    <cellStyle name="SAPBEXHLevel3 3" xfId="32802"/>
    <cellStyle name="SAPBEXHLevel3X" xfId="8544"/>
    <cellStyle name="SAPBEXHLevel3X 2" xfId="17083"/>
    <cellStyle name="SAPBEXHLevel3X 3" xfId="32803"/>
    <cellStyle name="SAPBEXinputData" xfId="8545"/>
    <cellStyle name="SAPBEXinputData 2" xfId="17084"/>
    <cellStyle name="SAPBEXinputData 3" xfId="32804"/>
    <cellStyle name="SAPBEXresData" xfId="8546"/>
    <cellStyle name="SAPBEXresData 2" xfId="17085"/>
    <cellStyle name="SAPBEXresData 3" xfId="32805"/>
    <cellStyle name="SAPBEXresDataEmph" xfId="8547"/>
    <cellStyle name="SAPBEXresDataEmph 2" xfId="17086"/>
    <cellStyle name="SAPBEXresDataEmph 3" xfId="32806"/>
    <cellStyle name="SAPBEXresItem" xfId="8548"/>
    <cellStyle name="SAPBEXresItem 2" xfId="17087"/>
    <cellStyle name="SAPBEXresItem 3" xfId="32807"/>
    <cellStyle name="SAPBEXresItemX" xfId="8549"/>
    <cellStyle name="SAPBEXresItemX 2" xfId="17088"/>
    <cellStyle name="SAPBEXresItemX 3" xfId="32808"/>
    <cellStyle name="SAPBEXstdData" xfId="8550"/>
    <cellStyle name="SAPBEXstdData 2" xfId="17089"/>
    <cellStyle name="SAPBEXstdData 3" xfId="32809"/>
    <cellStyle name="SAPBEXstdDataEmph" xfId="8551"/>
    <cellStyle name="SAPBEXstdDataEmph 2" xfId="17090"/>
    <cellStyle name="SAPBEXstdDataEmph 3" xfId="32810"/>
    <cellStyle name="SAPBEXstdItem" xfId="8552"/>
    <cellStyle name="SAPBEXstdItem 2" xfId="17091"/>
    <cellStyle name="SAPBEXstdItem 3" xfId="32811"/>
    <cellStyle name="SAPBEXstdItemX" xfId="8553"/>
    <cellStyle name="SAPBEXstdItemX 2" xfId="17092"/>
    <cellStyle name="SAPBEXstdItemX 3" xfId="32812"/>
    <cellStyle name="SAPBEXtitle" xfId="8554"/>
    <cellStyle name="SAPBEXtitle 2" xfId="17093"/>
    <cellStyle name="SAPBEXtitle 3" xfId="32813"/>
    <cellStyle name="SAPBEXundefined" xfId="8555"/>
    <cellStyle name="SAPBEXundefined 2" xfId="17094"/>
    <cellStyle name="SAPBEXundefined 3" xfId="32814"/>
    <cellStyle name="Sheet Title" xfId="8556"/>
    <cellStyle name="Sheet Title 2" xfId="17095"/>
    <cellStyle name="Sheet Title 3" xfId="32815"/>
    <cellStyle name="Style 1" xfId="11"/>
    <cellStyle name="Style 2" xfId="12"/>
    <cellStyle name="TableStyleLight1" xfId="8557"/>
    <cellStyle name="TableStyleLight1 2" xfId="10430"/>
    <cellStyle name="TableStyleLight1 3" xfId="32816"/>
    <cellStyle name="Title" xfId="14" builtinId="15" customBuiltin="1"/>
    <cellStyle name="Title 10" xfId="8558"/>
    <cellStyle name="Title 10 2" xfId="8559"/>
    <cellStyle name="Title 10 2 2" xfId="11701"/>
    <cellStyle name="Title 10 2 3" xfId="32818"/>
    <cellStyle name="Title 10 3" xfId="10432"/>
    <cellStyle name="Title 10 4" xfId="32817"/>
    <cellStyle name="Title 11" xfId="8560"/>
    <cellStyle name="Title 11 2" xfId="8561"/>
    <cellStyle name="Title 11 2 2" xfId="15798"/>
    <cellStyle name="Title 11 2 3" xfId="32820"/>
    <cellStyle name="Title 11 3" xfId="10433"/>
    <cellStyle name="Title 11 4" xfId="32819"/>
    <cellStyle name="Title 12" xfId="8562"/>
    <cellStyle name="Title 12 2" xfId="8563"/>
    <cellStyle name="Title 12 2 2" xfId="15799"/>
    <cellStyle name="Title 12 2 3" xfId="32822"/>
    <cellStyle name="Title 12 3" xfId="10501"/>
    <cellStyle name="Title 12 4" xfId="32821"/>
    <cellStyle name="Title 13" xfId="8564"/>
    <cellStyle name="Title 13 2" xfId="11700"/>
    <cellStyle name="Title 13 3" xfId="32823"/>
    <cellStyle name="Title 14" xfId="8565"/>
    <cellStyle name="Title 14 2" xfId="10431"/>
    <cellStyle name="Title 14 3" xfId="32824"/>
    <cellStyle name="Title 2" xfId="8566"/>
    <cellStyle name="Title 2 2" xfId="8567"/>
    <cellStyle name="Title 2 2 2" xfId="10435"/>
    <cellStyle name="Title 2 2 3" xfId="32826"/>
    <cellStyle name="Title 2 3" xfId="8568"/>
    <cellStyle name="Title 2 3 2" xfId="13372"/>
    <cellStyle name="Title 2 3 3" xfId="32827"/>
    <cellStyle name="Title 2 4" xfId="10434"/>
    <cellStyle name="Title 2 5" xfId="32825"/>
    <cellStyle name="Title 2 6" xfId="33099"/>
    <cellStyle name="Title 3" xfId="8569"/>
    <cellStyle name="Title 3 2" xfId="8570"/>
    <cellStyle name="Title 3 2 2" xfId="10437"/>
    <cellStyle name="Title 3 2 3" xfId="32829"/>
    <cellStyle name="Title 3 3" xfId="8571"/>
    <cellStyle name="Title 3 3 2" xfId="13374"/>
    <cellStyle name="Title 3 3 3" xfId="32830"/>
    <cellStyle name="Title 3 4" xfId="8572"/>
    <cellStyle name="Title 3 4 2" xfId="13373"/>
    <cellStyle name="Title 3 4 3" xfId="32831"/>
    <cellStyle name="Title 3 5" xfId="10436"/>
    <cellStyle name="Title 3 6" xfId="32828"/>
    <cellStyle name="Title 3 7" xfId="33101"/>
    <cellStyle name="Title 4" xfId="8573"/>
    <cellStyle name="Title 4 2" xfId="8574"/>
    <cellStyle name="Title 4 2 2" xfId="8575"/>
    <cellStyle name="Title 4 2 2 2" xfId="11703"/>
    <cellStyle name="Title 4 2 2 3" xfId="32834"/>
    <cellStyle name="Title 4 2 3" xfId="10439"/>
    <cellStyle name="Title 4 2 4" xfId="32833"/>
    <cellStyle name="Title 4 3" xfId="8576"/>
    <cellStyle name="Title 4 3 2" xfId="11702"/>
    <cellStyle name="Title 4 3 3" xfId="32835"/>
    <cellStyle name="Title 4 4" xfId="8577"/>
    <cellStyle name="Title 4 4 2" xfId="13375"/>
    <cellStyle name="Title 4 4 3" xfId="32836"/>
    <cellStyle name="Title 4 5" xfId="8578"/>
    <cellStyle name="Title 4 5 2" xfId="15800"/>
    <cellStyle name="Title 4 5 3" xfId="32837"/>
    <cellStyle name="Title 4 6" xfId="10438"/>
    <cellStyle name="Title 4 7" xfId="32832"/>
    <cellStyle name="Title 5" xfId="8579"/>
    <cellStyle name="Title 5 2" xfId="8580"/>
    <cellStyle name="Title 5 2 2" xfId="8581"/>
    <cellStyle name="Title 5 2 2 2" xfId="11705"/>
    <cellStyle name="Title 5 2 2 3" xfId="32840"/>
    <cellStyle name="Title 5 2 3" xfId="10441"/>
    <cellStyle name="Title 5 2 4" xfId="32839"/>
    <cellStyle name="Title 5 3" xfId="8582"/>
    <cellStyle name="Title 5 3 2" xfId="11704"/>
    <cellStyle name="Title 5 3 3" xfId="32841"/>
    <cellStyle name="Title 5 4" xfId="10440"/>
    <cellStyle name="Title 5 5" xfId="32838"/>
    <cellStyle name="Title 6" xfId="8583"/>
    <cellStyle name="Title 6 2" xfId="8584"/>
    <cellStyle name="Title 6 2 2" xfId="11706"/>
    <cellStyle name="Title 6 2 3" xfId="32843"/>
    <cellStyle name="Title 6 3" xfId="10442"/>
    <cellStyle name="Title 6 4" xfId="32842"/>
    <cellStyle name="Title 7" xfId="8585"/>
    <cellStyle name="Title 7 2" xfId="8586"/>
    <cellStyle name="Title 7 2 2" xfId="11707"/>
    <cellStyle name="Title 7 2 3" xfId="32845"/>
    <cellStyle name="Title 7 3" xfId="10443"/>
    <cellStyle name="Title 7 4" xfId="32844"/>
    <cellStyle name="Title 8" xfId="8587"/>
    <cellStyle name="Title 8 2" xfId="8588"/>
    <cellStyle name="Title 8 2 2" xfId="11708"/>
    <cellStyle name="Title 8 2 3" xfId="32847"/>
    <cellStyle name="Title 8 3" xfId="10444"/>
    <cellStyle name="Title 8 4" xfId="32846"/>
    <cellStyle name="Title 9" xfId="8589"/>
    <cellStyle name="Title 9 2" xfId="8590"/>
    <cellStyle name="Title 9 2 2" xfId="11709"/>
    <cellStyle name="Title 9 2 3" xfId="32849"/>
    <cellStyle name="Title 9 3" xfId="10445"/>
    <cellStyle name="Title 9 4" xfId="32848"/>
    <cellStyle name="Total" xfId="26" builtinId="25" customBuiltin="1"/>
    <cellStyle name="Total 10" xfId="8591"/>
    <cellStyle name="Total 10 2" xfId="8752"/>
    <cellStyle name="Total 10 3" xfId="32850"/>
    <cellStyle name="Total 11" xfId="8592"/>
    <cellStyle name="Total 11 2" xfId="8753"/>
    <cellStyle name="Total 11 3" xfId="32851"/>
    <cellStyle name="Total 12" xfId="8593"/>
    <cellStyle name="Total 12 2" xfId="8754"/>
    <cellStyle name="Total 12 3" xfId="32852"/>
    <cellStyle name="Total 13" xfId="8594"/>
    <cellStyle name="Total 13 2" xfId="8755"/>
    <cellStyle name="Total 13 3" xfId="32853"/>
    <cellStyle name="Total 14" xfId="8595"/>
    <cellStyle name="Total 14 2" xfId="8756"/>
    <cellStyle name="Total 14 3" xfId="32854"/>
    <cellStyle name="Total 15" xfId="8596"/>
    <cellStyle name="Total 15 2" xfId="8757"/>
    <cellStyle name="Total 15 3" xfId="32855"/>
    <cellStyle name="Total 16" xfId="8597"/>
    <cellStyle name="Total 16 2" xfId="8758"/>
    <cellStyle name="Total 16 3" xfId="32856"/>
    <cellStyle name="Total 17" xfId="8598"/>
    <cellStyle name="Total 17 2" xfId="8759"/>
    <cellStyle name="Total 17 3" xfId="32857"/>
    <cellStyle name="Total 18" xfId="8599"/>
    <cellStyle name="Total 18 2" xfId="8760"/>
    <cellStyle name="Total 18 3" xfId="32858"/>
    <cellStyle name="Total 19" xfId="8600"/>
    <cellStyle name="Total 19 2" xfId="8761"/>
    <cellStyle name="Total 19 3" xfId="32859"/>
    <cellStyle name="Total 2" xfId="8601"/>
    <cellStyle name="Total 2 10" xfId="8602"/>
    <cellStyle name="Total 2 10 2" xfId="8603"/>
    <cellStyle name="Total 2 10 2 2" xfId="17355"/>
    <cellStyle name="Total 2 10 2 3" xfId="32862"/>
    <cellStyle name="Total 2 10 3" xfId="8762"/>
    <cellStyle name="Total 2 10 4" xfId="10446"/>
    <cellStyle name="Total 2 10 5" xfId="32861"/>
    <cellStyle name="Total 2 11" xfId="8604"/>
    <cellStyle name="Total 2 11 2" xfId="8605"/>
    <cellStyle name="Total 2 11 2 2" xfId="17356"/>
    <cellStyle name="Total 2 11 2 3" xfId="32864"/>
    <cellStyle name="Total 2 11 3" xfId="8763"/>
    <cellStyle name="Total 2 11 4" xfId="10447"/>
    <cellStyle name="Total 2 11 5" xfId="32863"/>
    <cellStyle name="Total 2 12" xfId="8606"/>
    <cellStyle name="Total 2 12 2" xfId="8607"/>
    <cellStyle name="Total 2 12 2 2" xfId="17357"/>
    <cellStyle name="Total 2 12 2 3" xfId="32866"/>
    <cellStyle name="Total 2 12 3" xfId="8764"/>
    <cellStyle name="Total 2 12 4" xfId="10448"/>
    <cellStyle name="Total 2 12 5" xfId="32865"/>
    <cellStyle name="Total 2 13" xfId="8608"/>
    <cellStyle name="Total 2 13 2" xfId="8609"/>
    <cellStyle name="Total 2 13 2 2" xfId="17358"/>
    <cellStyle name="Total 2 13 2 3" xfId="32868"/>
    <cellStyle name="Total 2 13 3" xfId="8765"/>
    <cellStyle name="Total 2 13 4" xfId="10449"/>
    <cellStyle name="Total 2 13 5" xfId="32867"/>
    <cellStyle name="Total 2 14" xfId="8610"/>
    <cellStyle name="Total 2 14 2" xfId="8611"/>
    <cellStyle name="Total 2 14 2 2" xfId="15801"/>
    <cellStyle name="Total 2 14 2 3" xfId="32870"/>
    <cellStyle name="Total 2 14 3" xfId="8612"/>
    <cellStyle name="Total 2 14 3 2" xfId="17367"/>
    <cellStyle name="Total 2 14 3 3" xfId="32871"/>
    <cellStyle name="Total 2 14 4" xfId="8766"/>
    <cellStyle name="Total 2 14 5" xfId="10502"/>
    <cellStyle name="Total 2 14 6" xfId="32869"/>
    <cellStyle name="Total 2 15" xfId="8613"/>
    <cellStyle name="Total 2 15 2" xfId="8767"/>
    <cellStyle name="Total 2 15 3" xfId="32872"/>
    <cellStyle name="Total 2 16" xfId="8614"/>
    <cellStyle name="Total 2 16 2" xfId="8768"/>
    <cellStyle name="Total 2 16 3" xfId="32873"/>
    <cellStyle name="Total 2 17" xfId="8615"/>
    <cellStyle name="Total 2 17 2" xfId="8769"/>
    <cellStyle name="Total 2 17 3" xfId="32874"/>
    <cellStyle name="Total 2 18" xfId="8616"/>
    <cellStyle name="Total 2 18 2" xfId="8770"/>
    <cellStyle name="Total 2 18 3" xfId="32875"/>
    <cellStyle name="Total 2 19" xfId="8700"/>
    <cellStyle name="Total 2 2" xfId="8617"/>
    <cellStyle name="Total 2 2 2" xfId="8618"/>
    <cellStyle name="Total 2 2 2 2" xfId="10451"/>
    <cellStyle name="Total 2 2 2 3" xfId="32877"/>
    <cellStyle name="Total 2 2 3" xfId="8619"/>
    <cellStyle name="Total 2 2 3 2" xfId="8620"/>
    <cellStyle name="Total 2 2 3 2 2" xfId="15802"/>
    <cellStyle name="Total 2 2 3 2 3" xfId="32879"/>
    <cellStyle name="Total 2 2 3 3" xfId="11734"/>
    <cellStyle name="Total 2 2 3 4" xfId="32878"/>
    <cellStyle name="Total 2 2 4" xfId="8621"/>
    <cellStyle name="Total 2 2 4 2" xfId="12102"/>
    <cellStyle name="Total 2 2 4 3" xfId="32880"/>
    <cellStyle name="Total 2 2 5" xfId="8622"/>
    <cellStyle name="Total 2 2 5 2" xfId="17359"/>
    <cellStyle name="Total 2 2 5 3" xfId="32881"/>
    <cellStyle name="Total 2 2 6" xfId="8771"/>
    <cellStyle name="Total 2 2 7" xfId="10450"/>
    <cellStyle name="Total 2 2 8" xfId="32876"/>
    <cellStyle name="Total 2 20" xfId="32860"/>
    <cellStyle name="Total 2 21" xfId="33060"/>
    <cellStyle name="Total 2 3" xfId="8623"/>
    <cellStyle name="Total 2 3 2" xfId="8624"/>
    <cellStyle name="Total 2 3 2 2" xfId="10453"/>
    <cellStyle name="Total 2 3 2 3" xfId="32883"/>
    <cellStyle name="Total 2 3 3" xfId="8625"/>
    <cellStyle name="Total 2 3 3 2" xfId="17360"/>
    <cellStyle name="Total 2 3 3 3" xfId="32884"/>
    <cellStyle name="Total 2 3 4" xfId="8772"/>
    <cellStyle name="Total 2 3 5" xfId="10452"/>
    <cellStyle name="Total 2 3 6" xfId="32882"/>
    <cellStyle name="Total 2 4" xfId="8626"/>
    <cellStyle name="Total 2 4 2" xfId="8627"/>
    <cellStyle name="Total 2 4 2 2" xfId="10455"/>
    <cellStyle name="Total 2 4 2 3" xfId="32886"/>
    <cellStyle name="Total 2 4 3" xfId="8628"/>
    <cellStyle name="Total 2 4 3 2" xfId="17361"/>
    <cellStyle name="Total 2 4 3 3" xfId="32887"/>
    <cellStyle name="Total 2 4 4" xfId="8773"/>
    <cellStyle name="Total 2 4 5" xfId="10454"/>
    <cellStyle name="Total 2 4 6" xfId="32885"/>
    <cellStyle name="Total 2 5" xfId="8629"/>
    <cellStyle name="Total 2 5 2" xfId="8630"/>
    <cellStyle name="Total 2 5 2 2" xfId="13377"/>
    <cellStyle name="Total 2 5 2 3" xfId="32889"/>
    <cellStyle name="Total 2 5 3" xfId="8631"/>
    <cellStyle name="Total 2 5 3 2" xfId="13376"/>
    <cellStyle name="Total 2 5 3 3" xfId="32890"/>
    <cellStyle name="Total 2 5 4" xfId="8632"/>
    <cellStyle name="Total 2 5 4 2" xfId="17362"/>
    <cellStyle name="Total 2 5 4 3" xfId="32891"/>
    <cellStyle name="Total 2 5 5" xfId="8774"/>
    <cellStyle name="Total 2 5 6" xfId="10456"/>
    <cellStyle name="Total 2 5 7" xfId="32888"/>
    <cellStyle name="Total 2 6" xfId="8633"/>
    <cellStyle name="Total 2 6 2" xfId="8634"/>
    <cellStyle name="Total 2 6 2 2" xfId="17363"/>
    <cellStyle name="Total 2 6 2 3" xfId="32893"/>
    <cellStyle name="Total 2 6 3" xfId="8775"/>
    <cellStyle name="Total 2 6 4" xfId="10457"/>
    <cellStyle name="Total 2 6 5" xfId="32892"/>
    <cellStyle name="Total 2 7" xfId="8635"/>
    <cellStyle name="Total 2 7 2" xfId="8636"/>
    <cellStyle name="Total 2 7 2 2" xfId="10459"/>
    <cellStyle name="Total 2 7 2 3" xfId="32895"/>
    <cellStyle name="Total 2 7 3" xfId="8637"/>
    <cellStyle name="Total 2 7 3 2" xfId="17364"/>
    <cellStyle name="Total 2 7 3 3" xfId="32896"/>
    <cellStyle name="Total 2 7 4" xfId="8776"/>
    <cellStyle name="Total 2 7 5" xfId="10458"/>
    <cellStyle name="Total 2 7 6" xfId="32894"/>
    <cellStyle name="Total 2 8" xfId="8638"/>
    <cellStyle name="Total 2 8 2" xfId="8639"/>
    <cellStyle name="Total 2 8 2 2" xfId="17365"/>
    <cellStyle name="Total 2 8 2 3" xfId="32898"/>
    <cellStyle name="Total 2 8 3" xfId="8777"/>
    <cellStyle name="Total 2 8 4" xfId="10460"/>
    <cellStyle name="Total 2 8 5" xfId="32897"/>
    <cellStyle name="Total 2 9" xfId="8640"/>
    <cellStyle name="Total 2 9 2" xfId="8641"/>
    <cellStyle name="Total 2 9 2 2" xfId="17366"/>
    <cellStyle name="Total 2 9 2 3" xfId="32900"/>
    <cellStyle name="Total 2 9 3" xfId="8778"/>
    <cellStyle name="Total 2 9 4" xfId="10461"/>
    <cellStyle name="Total 2 9 5" xfId="32899"/>
    <cellStyle name="Total 20" xfId="8642"/>
    <cellStyle name="Total 20 2" xfId="8779"/>
    <cellStyle name="Total 20 3" xfId="32901"/>
    <cellStyle name="Total 3" xfId="8643"/>
    <cellStyle name="Total 3 2" xfId="8675"/>
    <cellStyle name="Total 3 3" xfId="32902"/>
    <cellStyle name="Total 3 4" xfId="33092"/>
    <cellStyle name="Total 4" xfId="8644"/>
    <cellStyle name="Total 4 2" xfId="8780"/>
    <cellStyle name="Total 4 3" xfId="32903"/>
    <cellStyle name="Total 5" xfId="8645"/>
    <cellStyle name="Total 5 2" xfId="8781"/>
    <cellStyle name="Total 5 3" xfId="32904"/>
    <cellStyle name="Total 6" xfId="8646"/>
    <cellStyle name="Total 6 2" xfId="8782"/>
    <cellStyle name="Total 6 3" xfId="32905"/>
    <cellStyle name="Total 7" xfId="8647"/>
    <cellStyle name="Total 7 2" xfId="8783"/>
    <cellStyle name="Total 7 3" xfId="32906"/>
    <cellStyle name="Total 8" xfId="8648"/>
    <cellStyle name="Total 8 2" xfId="8784"/>
    <cellStyle name="Total 8 3" xfId="32907"/>
    <cellStyle name="Total 9" xfId="8649"/>
    <cellStyle name="Total 9 2" xfId="8785"/>
    <cellStyle name="Total 9 3" xfId="32908"/>
    <cellStyle name="Warning Text" xfId="33034" builtinId="11" customBuiltin="1"/>
    <cellStyle name="Warning Text 2" xfId="8814"/>
    <cellStyle name="Warning Text 2 2" xfId="33057"/>
    <cellStyle name="Warning Text 3" xfId="32909"/>
    <cellStyle name="Warning Text 4" xfId="8650"/>
  </cellStyles>
  <dxfs count="60">
    <dxf>
      <fill>
        <patternFill>
          <bgColor indexed="42"/>
        </patternFill>
      </fill>
    </dxf>
    <dxf>
      <fill>
        <patternFill>
          <bgColor indexed="27"/>
        </patternFill>
      </fill>
    </dxf>
    <dxf>
      <fill>
        <patternFill>
          <bgColor indexed="27"/>
        </patternFill>
      </fill>
    </dxf>
    <dxf>
      <fill>
        <patternFill>
          <bgColor indexed="42"/>
        </patternFill>
      </fill>
    </dxf>
    <dxf>
      <fill>
        <patternFill>
          <bgColor indexed="42"/>
        </patternFill>
      </fill>
    </dxf>
    <dxf>
      <fill>
        <patternFill>
          <bgColor indexed="42"/>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42"/>
        </patternFill>
      </fill>
    </dxf>
    <dxf>
      <fill>
        <patternFill>
          <bgColor indexed="22"/>
        </patternFill>
      </fill>
    </dxf>
    <dxf>
      <fill>
        <patternFill>
          <bgColor rgb="FFF0F0F0"/>
        </patternFill>
      </fill>
    </dxf>
    <dxf>
      <fill>
        <patternFill>
          <bgColor rgb="FFFF000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22"/>
        </patternFill>
      </fill>
    </dxf>
    <dxf>
      <fill>
        <patternFill>
          <bgColor indexed="42"/>
        </patternFill>
      </fill>
    </dxf>
    <dxf>
      <fill>
        <patternFill>
          <bgColor indexed="22"/>
        </patternFill>
      </fill>
    </dxf>
    <dxf>
      <fill>
        <patternFill>
          <bgColor indexed="42"/>
        </patternFill>
      </fill>
    </dxf>
    <dxf>
      <fill>
        <patternFill>
          <bgColor indexed="42"/>
        </patternFill>
      </fill>
    </dxf>
    <dxf>
      <fill>
        <patternFill>
          <bgColor indexed="22"/>
        </patternFill>
      </fill>
    </dxf>
    <dxf>
      <fill>
        <patternFill>
          <bgColor indexed="22"/>
        </patternFill>
      </fill>
    </dxf>
    <dxf>
      <fill>
        <patternFill>
          <bgColor rgb="FFF0F0F0"/>
        </patternFill>
      </fill>
    </dxf>
    <dxf>
      <fill>
        <patternFill>
          <bgColor rgb="FFF0F0F0"/>
        </patternFill>
      </fill>
    </dxf>
    <dxf>
      <fill>
        <patternFill>
          <bgColor rgb="FFF0F0F0"/>
        </patternFill>
      </fill>
    </dxf>
    <dxf>
      <fill>
        <patternFill>
          <bgColor indexed="22"/>
        </patternFill>
      </fill>
    </dxf>
    <dxf>
      <fill>
        <patternFill>
          <bgColor indexed="4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Distribution of Marketing Costs over Years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numRef>
              <c:f>Marketing!$H$35:$N$35</c:f>
              <c:numCache>
                <c:formatCode>"SYE "General</c:formatCode>
                <c:ptCount val="7"/>
                <c:pt idx="0">
                  <c:v>2020</c:v>
                </c:pt>
                <c:pt idx="1">
                  <c:v>2021</c:v>
                </c:pt>
                <c:pt idx="2">
                  <c:v>2022</c:v>
                </c:pt>
                <c:pt idx="3">
                  <c:v>2023</c:v>
                </c:pt>
                <c:pt idx="4">
                  <c:v>2024</c:v>
                </c:pt>
                <c:pt idx="5">
                  <c:v>2025</c:v>
                </c:pt>
                <c:pt idx="6">
                  <c:v>2026</c:v>
                </c:pt>
              </c:numCache>
            </c:numRef>
          </c:cat>
          <c:val>
            <c:numRef>
              <c:f>Marketing!$H$45:$N$45</c:f>
              <c:numCache>
                <c:formatCode>0%;[Red]\(0%\);"-%"</c:formatCode>
                <c:ptCount val="7"/>
                <c:pt idx="0">
                  <c:v>1</c:v>
                </c:pt>
                <c:pt idx="1">
                  <c:v>0</c:v>
                </c:pt>
                <c:pt idx="2">
                  <c:v>0</c:v>
                </c:pt>
                <c:pt idx="3">
                  <c:v>0</c:v>
                </c:pt>
                <c:pt idx="4">
                  <c:v>0</c:v>
                </c:pt>
                <c:pt idx="5">
                  <c:v>0</c:v>
                </c:pt>
                <c:pt idx="6">
                  <c:v>0</c:v>
                </c:pt>
              </c:numCache>
            </c:numRef>
          </c:val>
          <c:extLst>
            <c:ext xmlns:c16="http://schemas.microsoft.com/office/drawing/2014/chart" uri="{C3380CC4-5D6E-409C-BE32-E72D297353CC}">
              <c16:uniqueId val="{00000000-5CB2-48AE-9193-C06B0AC357F4}"/>
            </c:ext>
          </c:extLst>
        </c:ser>
        <c:dLbls>
          <c:showLegendKey val="0"/>
          <c:showVal val="0"/>
          <c:showCatName val="0"/>
          <c:showSerName val="0"/>
          <c:showPercent val="0"/>
          <c:showBubbleSize val="0"/>
        </c:dLbls>
        <c:gapWidth val="219"/>
        <c:overlap val="-27"/>
        <c:axId val="609338608"/>
        <c:axId val="609337296"/>
      </c:barChart>
      <c:catAx>
        <c:axId val="609338608"/>
        <c:scaling>
          <c:orientation val="minMax"/>
        </c:scaling>
        <c:delete val="0"/>
        <c:axPos val="b"/>
        <c:numFmt formatCode="&quot;SYE &quot;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7296"/>
        <c:crosses val="autoZero"/>
        <c:auto val="1"/>
        <c:lblAlgn val="ctr"/>
        <c:lblOffset val="100"/>
        <c:noMultiLvlLbl val="0"/>
      </c:catAx>
      <c:valAx>
        <c:axId val="609337296"/>
        <c:scaling>
          <c:orientation val="minMax"/>
        </c:scaling>
        <c:delete val="0"/>
        <c:axPos val="l"/>
        <c:majorGridlines>
          <c:spPr>
            <a:ln w="9525" cap="flat" cmpd="sng" algn="ctr">
              <a:solidFill>
                <a:schemeClr val="tx1">
                  <a:lumMod val="15000"/>
                  <a:lumOff val="85000"/>
                </a:schemeClr>
              </a:solidFill>
              <a:round/>
            </a:ln>
            <a:effectLst/>
          </c:spPr>
        </c:majorGridlines>
        <c:numFmt formatCode="0%;[Red]\(0%\);&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9338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tax.nv.gov/LocalGovt/PolicyPub/ArchiveFiles/PersonalPropertyManual/2020-2021_Personal_Property_Manual_rev_03282019/" TargetMode="External"/></Relationships>
</file>

<file path=xl/drawings/drawing1.xml><?xml version="1.0" encoding="utf-8"?>
<xdr:wsDr xmlns:xdr="http://schemas.openxmlformats.org/drawingml/2006/spreadsheetDrawing" xmlns:a="http://schemas.openxmlformats.org/drawingml/2006/main">
  <xdr:twoCellAnchor>
    <xdr:from>
      <xdr:col>7</xdr:col>
      <xdr:colOff>1</xdr:colOff>
      <xdr:row>0</xdr:row>
      <xdr:rowOff>42861</xdr:rowOff>
    </xdr:from>
    <xdr:to>
      <xdr:col>14</xdr:col>
      <xdr:colOff>0</xdr:colOff>
      <xdr:row>8</xdr:row>
      <xdr:rowOff>133350</xdr:rowOff>
    </xdr:to>
    <xdr:graphicFrame macro="">
      <xdr:nvGraphicFramePr>
        <xdr:cNvPr id="3" name="Chart 2">
          <a:extLst>
            <a:ext uri="{FF2B5EF4-FFF2-40B4-BE49-F238E27FC236}">
              <a16:creationId xmlns:a16="http://schemas.microsoft.com/office/drawing/2014/main" id="{252BAAC3-BACD-46F0-9E2E-B6D3A33A0F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115957</xdr:colOff>
      <xdr:row>5</xdr:row>
      <xdr:rowOff>49696</xdr:rowOff>
    </xdr:from>
    <xdr:to>
      <xdr:col>8</xdr:col>
      <xdr:colOff>397565</xdr:colOff>
      <xdr:row>25</xdr:row>
      <xdr:rowOff>1</xdr:rowOff>
    </xdr:to>
    <xdr:sp macro="" textlink="">
      <xdr:nvSpPr>
        <xdr:cNvPr id="2" name="TextBox 1">
          <a:hlinkClick xmlns:r="http://schemas.openxmlformats.org/officeDocument/2006/relationships" r:id="rId1"/>
          <a:extLst>
            <a:ext uri="{FF2B5EF4-FFF2-40B4-BE49-F238E27FC236}">
              <a16:creationId xmlns:a16="http://schemas.microsoft.com/office/drawing/2014/main" id="{26377E2C-059C-47BD-AD43-F0EAE52F1DE5}"/>
            </a:ext>
          </a:extLst>
        </xdr:cNvPr>
        <xdr:cNvSpPr txBox="1"/>
      </xdr:nvSpPr>
      <xdr:spPr>
        <a:xfrm>
          <a:off x="115957" y="944218"/>
          <a:ext cx="5284304" cy="3263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Generic Facilities and FFE narrative</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New to this application is built in capitalization and depreciation/amortization.  This applies to capital outlays on leases (such as tenant improvements) and several categories of FFE&amp;T.  Capital outlays are depreciated based on a 15-year schedule.  The FFE&amp;T tab states what depreciation schedule is being used for each category.  These schedules are based on the Nevada Personal Property Manual’s expected life for each category.  You can access the version of the NV Personal Property Manual used here: </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hlinkClick xmlns:r="http://schemas.openxmlformats.org/officeDocument/2006/relationships" r:id="">
                <a:extLst>
                  <a:ext uri="{A12FA001-AC4F-418D-AE19-62706E023703}">
                    <ahyp:hlinkClr xmlns:ahyp="http://schemas.microsoft.com/office/drawing/2018/hyperlinkcolor" xmlns="" val="tx"/>
                  </a:ext>
                </a:extLst>
              </a:hlinkClick>
            </a:rPr>
            <a:t>https://tax.nv.gov/LocalGovt/PolicyPub/ArchiveFiles/PersonalPropertyManual/2020-2021_Personal_Property_Manual_rev_03282019/</a:t>
          </a:r>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 .  The values used come from the Information Systems section on page 11, and the Office Furniture, Retail Sales Equipment, Other section on page 16.</a:t>
          </a:r>
        </a:p>
        <a:p>
          <a:endPar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endParaRPr>
        </a:p>
        <a:p>
          <a:r>
            <a:rPr lang="en-US" sz="1100" u="none" strike="noStrike" baseline="0">
              <a:solidFill>
                <a:srgbClr xmlns:mc="http://schemas.openxmlformats.org/markup-compatibility/2006" xmlns:a14="http://schemas.microsoft.com/office/drawing/2010/main" val="000000" mc:Ignorable="a14" a14:legacySpreadsheetColorIndex="8"/>
              </a:solidFill>
              <a:effectLst/>
              <a:latin typeface="Times New Roman" panose="02020603050405020304" pitchFamily="18" charset="0"/>
              <a:ea typeface="+mn-ea"/>
              <a:cs typeface="+mn-cs"/>
            </a:rPr>
            <a:t>The primary purpose of these additions is to give a better picture of what an audited full accrual basis Statement of Activities will look like for an applicant while still allowing for an analysis of the cash cost and cash flow outlook of operating the proposed school.  With the exception of the rows for “Other Equipment”, these calculations will all be done automatically for you and require no additional inputs.</a:t>
          </a:r>
        </a:p>
        <a:p>
          <a:r>
            <a:rPr lang="en-US" sz="1100" u="none" strike="noStrike" baseline="0">
              <a:solidFill>
                <a:srgbClr xmlns:mc="http://schemas.openxmlformats.org/markup-compatibility/2006" xmlns:a14="http://schemas.microsoft.com/office/drawing/2010/main" val="000000" mc:Ignorable="a14" a14:legacySpreadsheetColorIndex="8"/>
              </a:solidFill>
              <a:latin typeface="Times New Roman" panose="02020603050405020304" pitchFamily="18" charset="0"/>
            </a:rPr>
            <a:t>sdf</a:t>
          </a:r>
        </a:p>
      </xdr:txBody>
    </xdr:sp>
    <xdr:clientData/>
  </xdr:twoCellAnchor>
</xdr:wsDr>
</file>

<file path=xl/persons/person.xml><?xml version="1.0" encoding="utf-8"?>
<personList xmlns="http://schemas.microsoft.com/office/spreadsheetml/2018/threadedcomments" xmlns:x="http://schemas.openxmlformats.org/spreadsheetml/2006/main">
  <person displayName="Michael Hutchins" id="{B99A2D5D-3262-48B4-9518-41102A0FECDD}" userId="S::m.hutchins@spcsa.nv.gov::0dee9529-13a7-462b-a458-930bcfd86a3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2" dT="2019-10-09T22:19:25.08" personId="{B99A2D5D-3262-48B4-9518-41102A0FECDD}" id="{9909DB41-4054-4051-8E9D-3A06A152DDC1}">
    <text>Lines renamed to match profile</text>
  </threadedComment>
  <threadedComment ref="B62" dT="2019-10-09T22:19:55.60" personId="{B99A2D5D-3262-48B4-9518-41102A0FECDD}" id="{AE8693CC-D799-40D8-BC0A-DDEFCADE3B8B}">
    <text>Lines renamed to match profile and other tabs</text>
  </threadedComment>
  <threadedComment ref="C62" dT="2019-10-09T22:20:22.95" personId="{B99A2D5D-3262-48B4-9518-41102A0FECDD}" id="{14D4832A-A429-4B66-9D06-54B3C5043617}">
    <text>Numbers now pulling from depreciation based expenses instead of cash acquisition cost.</text>
  </threadedComment>
  <threadedComment ref="B110" dT="2019-10-09T22:20:56.08" personId="{B99A2D5D-3262-48B4-9518-41102A0FECDD}" id="{B847000C-AC3D-464A-9FCB-AF07C0B48B0E}">
    <text>Lines changed for consistency</text>
  </threadedComment>
  <threadedComment ref="B114" dT="2019-10-09T22:21:33.10" personId="{B99A2D5D-3262-48B4-9518-41102A0FECDD}" id="{B6F42B41-A78D-412D-AF3D-9126A5E0D606}">
    <text>lines changed for consistency</text>
  </threadedComment>
  <threadedComment ref="B133" dT="2019-10-09T22:21:46.00" personId="{B99A2D5D-3262-48B4-9518-41102A0FECDD}" id="{60129E67-CD70-46E7-91DA-906463589E3F}">
    <text>lines changed for consistency</text>
  </threadedComment>
  <threadedComment ref="B153" dT="2019-10-09T22:21:59.11" personId="{B99A2D5D-3262-48B4-9518-41102A0FECDD}" id="{E0B74DCF-2136-4060-977D-5542CAFEBFAB}">
    <text>lines changed for consistency</text>
  </threadedComment>
</ThreadedComments>
</file>

<file path=xl/threadedComments/threadedComment2.xml><?xml version="1.0" encoding="utf-8"?>
<ThreadedComments xmlns="http://schemas.microsoft.com/office/spreadsheetml/2018/threadedcomments" xmlns:x="http://schemas.openxmlformats.org/spreadsheetml/2006/main">
  <threadedComment ref="B1380" dT="2019-10-09T22:25:54.66" personId="{B99A2D5D-3262-48B4-9518-41102A0FECDD}" id="{B7BA76B9-72DC-4B51-84FC-DCB653FB95D7}">
    <text>removed marketing from this section</text>
  </threadedComment>
</ThreadedComments>
</file>

<file path=xl/threadedComments/threadedComment3.xml><?xml version="1.0" encoding="utf-8"?>
<ThreadedComments xmlns="http://schemas.microsoft.com/office/spreadsheetml/2018/threadedcomments" xmlns:x="http://schemas.openxmlformats.org/spreadsheetml/2006/main">
  <threadedComment ref="G24" dT="2019-10-09T22:26:48.95" personId="{B99A2D5D-3262-48B4-9518-41102A0FECDD}" id="{049FD8B7-A556-4458-B741-9CE337C84F58}">
    <text>added capitalization assumption for capital outlay.  15 year depreciation schedule used based on Nevada Personal Property Manual (PPM)</text>
  </threadedComment>
  <threadedComment ref="H24" dT="2019-10-09T22:26:48.95" personId="{B99A2D5D-3262-48B4-9518-41102A0FECDD}" id="{7EE94EAF-B192-4E48-A3B1-248D938F898C}">
    <text>added capitalization assumption for capital outlay.  15 year depreciation schedule used based on Nevada Personal Property Manual (PPM)</text>
  </threadedComment>
  <threadedComment ref="G25" dT="2019-10-09T22:28:14.70" personId="{B99A2D5D-3262-48B4-9518-41102A0FECDD}" id="{70378DE7-6B40-4D69-A2B5-CDAE21ECCA12}">
    <text>LIst both the cash cost and the book expense</text>
  </threadedComment>
  <threadedComment ref="H25" dT="2019-10-09T22:28:14.70" personId="{B99A2D5D-3262-48B4-9518-41102A0FECDD}" id="{4D20B39F-CCD5-40F6-88A7-DA908090EB1A}">
    <text>LIst both the cash cost and the book expense</text>
  </threadedComment>
  <threadedComment ref="G63" dT="2019-10-09T22:28:29.17" personId="{B99A2D5D-3262-48B4-9518-41102A0FECDD}" id="{5A1E9927-B689-4F2F-9FDF-9AC411BA394B}">
    <text>LIst both the cash cost and the book expense</text>
  </threadedComment>
  <threadedComment ref="H63" dT="2019-10-09T22:28:29.17" personId="{B99A2D5D-3262-48B4-9518-41102A0FECDD}" id="{8B4CE012-06EE-44EF-B9A4-70A151D8CD64}">
    <text>LIst both the cash cost and the book expense</text>
  </threadedComment>
  <threadedComment ref="G64" dT="2019-10-09T22:27:53.20" personId="{B99A2D5D-3262-48B4-9518-41102A0FECDD}" id="{4A77444D-2667-414A-ACA6-5CACB9E7392C}">
    <text>Added a depreciation schedule for new building purchase/construction using a 50 year asset life per the Nevada PPM.</text>
  </threadedComment>
  <threadedComment ref="H64" dT="2019-10-09T22:27:53.20" personId="{B99A2D5D-3262-48B4-9518-41102A0FECDD}" id="{C044C3D4-0587-448F-AE58-11BAA9E73751}">
    <text>Added a depreciation schedule for new building purchase/construction using a 50 year asset life per the Nevada PPM.</text>
  </threadedComment>
  <threadedComment ref="G68" dT="2019-10-09T22:28:23.38" personId="{B99A2D5D-3262-48B4-9518-41102A0FECDD}" id="{CE06D8D1-4B55-4EF4-8B14-2444C8B0CA22}">
    <text>LIst both the cash cost and the book expense</text>
  </threadedComment>
</ThreadedComments>
</file>

<file path=xl/threadedComments/threadedComment4.xml><?xml version="1.0" encoding="utf-8"?>
<ThreadedComments xmlns="http://schemas.microsoft.com/office/spreadsheetml/2018/threadedcomments" xmlns:x="http://schemas.openxmlformats.org/spreadsheetml/2006/main">
  <threadedComment ref="D19" dT="2019-10-09T22:28:59.88" personId="{B99A2D5D-3262-48B4-9518-41102A0FECDD}" id="{F988B70B-290B-4766-ABAF-6F3E355164A9}">
    <text>added depreciation schedules with asset lives based on their category in the Nevada PPM</text>
  </threadedComment>
  <threadedComment ref="G54" dT="2019-10-09T22:29:09.07" personId="{B99A2D5D-3262-48B4-9518-41102A0FECDD}" id="{B4301313-E1AF-4271-9069-A45BFC26B287}">
    <text>LIst both the cash cost and the book expense</text>
  </threadedComment>
  <threadedComment ref="H54" dT="2019-10-09T22:29:09.07" personId="{B99A2D5D-3262-48B4-9518-41102A0FECDD}" id="{D66716B6-DB56-4581-A047-8B89F69EE2A7}">
    <text>LIst both the cash cost and the book expense</text>
  </threadedComment>
</ThreadedComments>
</file>

<file path=xl/threadedComments/threadedComment5.xml><?xml version="1.0" encoding="utf-8"?>
<ThreadedComments xmlns="http://schemas.microsoft.com/office/spreadsheetml/2018/threadedcomments" xmlns:x="http://schemas.openxmlformats.org/spreadsheetml/2006/main">
  <threadedComment ref="A14" dT="2019-10-09T22:22:23.61" personId="{B99A2D5D-3262-48B4-9518-41102A0FECDD}" id="{428C169F-7646-4CB0-B350-6B3997D0EBEC}">
    <text>lines changed to align with profile tab</text>
  </threadedComment>
  <threadedComment ref="A35" dT="2019-10-09T22:22:57.48" personId="{B99A2D5D-3262-48B4-9518-41102A0FECDD}" id="{747F349B-9CDE-4C7C-8445-7504F225BB0C}">
    <text>Lines changed to line up with profile and other tabs</text>
  </threadedComment>
  <threadedComment ref="D35" dT="2019-10-09T22:23:07.55" personId="{B99A2D5D-3262-48B4-9518-41102A0FECDD}" id="{5F5A5891-0F7E-438F-98FE-D46B19DAAF7A}">
    <text>conditional formatting added</text>
  </threadedComment>
  <threadedComment ref="A84" dT="2019-10-09T22:23:55.26" personId="{B99A2D5D-3262-48B4-9518-41102A0FECDD}" id="{E1B0AABC-FE85-4305-BCDA-D864236FBEFC}">
    <text>lines changed for consistency</text>
  </threadedComment>
  <threadedComment ref="A103" dT="2019-10-09T22:24:47.00" personId="{B99A2D5D-3262-48B4-9518-41102A0FECDD}" id="{0B2BF462-FA3C-4697-880A-84E104C1867C}">
    <text>formulas changed in this section to reflect percent of total expenses rather than revenue to avoid division by zero errors</text>
  </threadedComment>
  <threadedComment ref="A106" dT="2019-10-09T22:24:07.51" personId="{B99A2D5D-3262-48B4-9518-41102A0FECDD}" id="{105A4EF2-9C02-45A7-B312-9628B5927DF1}">
    <text>lines changed for consistency</text>
  </threadedComment>
  <threadedComment ref="A126" dT="2019-10-09T22:25:27.80" personId="{B99A2D5D-3262-48B4-9518-41102A0FECDD}" id="{5FEA338C-255D-43F8-9B7C-705D98B58B85}">
    <text>added lines to display cash expenses for each month as a percentage of the beginning and ending cash balance to highlight areas of potential liquidity concerns.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 Id="rId4" Type="http://schemas.microsoft.com/office/2017/10/relationships/threadedComment" Target="../threadedComments/threadedComment5.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 Id="rId4" Type="http://schemas.microsoft.com/office/2017/10/relationships/threadedComment" Target="../threadedComments/threadedComment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87"/>
  <sheetViews>
    <sheetView zoomScaleNormal="100" zoomScaleSheetLayoutView="115" workbookViewId="0">
      <selection activeCell="A6" sqref="A6"/>
    </sheetView>
  </sheetViews>
  <sheetFormatPr defaultRowHeight="15" x14ac:dyDescent="0.25"/>
  <cols>
    <col min="1" max="1" width="116.85546875" customWidth="1"/>
  </cols>
  <sheetData>
    <row r="1" spans="1:1" x14ac:dyDescent="0.25">
      <c r="A1" s="3" t="s">
        <v>264</v>
      </c>
    </row>
    <row r="2" spans="1:1" ht="7.5" customHeight="1" x14ac:dyDescent="0.25"/>
    <row r="3" spans="1:1" ht="49.5" customHeight="1" x14ac:dyDescent="0.25">
      <c r="A3" s="442" t="s">
        <v>884</v>
      </c>
    </row>
    <row r="5" spans="1:1" x14ac:dyDescent="0.25">
      <c r="A5" s="3" t="s">
        <v>267</v>
      </c>
    </row>
    <row r="6" spans="1:1" ht="95.25" customHeight="1" x14ac:dyDescent="0.25">
      <c r="A6" s="1270" t="s">
        <v>950</v>
      </c>
    </row>
    <row r="7" spans="1:1" x14ac:dyDescent="0.25">
      <c r="A7" s="2"/>
    </row>
    <row r="8" spans="1:1" x14ac:dyDescent="0.25">
      <c r="A8" s="1272" t="s">
        <v>905</v>
      </c>
    </row>
    <row r="9" spans="1:1" x14ac:dyDescent="0.25">
      <c r="A9" s="4" t="s">
        <v>906</v>
      </c>
    </row>
    <row r="10" spans="1:1" x14ac:dyDescent="0.25">
      <c r="A10" s="4"/>
    </row>
    <row r="11" spans="1:1" x14ac:dyDescent="0.25">
      <c r="A11" s="1272" t="s">
        <v>907</v>
      </c>
    </row>
    <row r="12" spans="1:1" ht="30" x14ac:dyDescent="0.25">
      <c r="A12" s="4" t="s">
        <v>951</v>
      </c>
    </row>
    <row r="13" spans="1:1" x14ac:dyDescent="0.25">
      <c r="A13" s="2"/>
    </row>
    <row r="14" spans="1:1" x14ac:dyDescent="0.25">
      <c r="A14" s="1386" t="s">
        <v>904</v>
      </c>
    </row>
    <row r="15" spans="1:1" x14ac:dyDescent="0.25">
      <c r="A15" s="1272" t="s">
        <v>895</v>
      </c>
    </row>
    <row r="16" spans="1:1" ht="30" hidden="1" x14ac:dyDescent="0.25">
      <c r="A16" s="1271" t="s">
        <v>348</v>
      </c>
    </row>
    <row r="17" spans="1:26" ht="30" hidden="1" x14ac:dyDescent="0.25">
      <c r="A17" s="1271" t="s">
        <v>349</v>
      </c>
    </row>
    <row r="18" spans="1:26" ht="30" hidden="1" x14ac:dyDescent="0.25">
      <c r="A18" s="1271" t="s">
        <v>350</v>
      </c>
    </row>
    <row r="19" spans="1:26" ht="60" x14ac:dyDescent="0.25">
      <c r="A19" s="2" t="s">
        <v>885</v>
      </c>
    </row>
    <row r="20" spans="1:26" ht="30" x14ac:dyDescent="0.25">
      <c r="A20" s="2" t="s">
        <v>886</v>
      </c>
    </row>
    <row r="21" spans="1:26" ht="30" x14ac:dyDescent="0.25">
      <c r="A21" s="2" t="s">
        <v>887</v>
      </c>
      <c r="S21" s="10"/>
      <c r="T21" s="10"/>
      <c r="U21" s="10"/>
      <c r="V21" s="10"/>
      <c r="W21" s="10"/>
      <c r="X21" s="10"/>
      <c r="Y21" s="10"/>
      <c r="Z21" s="10"/>
    </row>
    <row r="22" spans="1:26" x14ac:dyDescent="0.25">
      <c r="A22" t="s">
        <v>888</v>
      </c>
      <c r="S22" s="10"/>
      <c r="T22" s="10"/>
      <c r="U22" s="10"/>
      <c r="V22" s="10"/>
      <c r="W22" s="10"/>
      <c r="X22" s="10"/>
      <c r="Y22" s="10"/>
      <c r="Z22" s="10"/>
    </row>
    <row r="23" spans="1:26" x14ac:dyDescent="0.25">
      <c r="A23" s="1" t="s">
        <v>889</v>
      </c>
      <c r="S23" s="10"/>
      <c r="T23" s="10"/>
      <c r="U23" s="10"/>
      <c r="V23" s="10"/>
      <c r="W23" s="10"/>
      <c r="X23" s="10"/>
      <c r="Y23" s="10"/>
      <c r="Z23" s="10"/>
    </row>
    <row r="24" spans="1:26" x14ac:dyDescent="0.25">
      <c r="A24" s="1" t="s">
        <v>890</v>
      </c>
      <c r="S24" s="10"/>
      <c r="T24" s="10"/>
      <c r="U24" s="10"/>
      <c r="V24" s="10"/>
      <c r="W24" s="10"/>
      <c r="X24" s="10"/>
      <c r="Y24" s="10"/>
      <c r="Z24" s="10"/>
    </row>
    <row r="25" spans="1:26" x14ac:dyDescent="0.25">
      <c r="A25" s="1" t="s">
        <v>892</v>
      </c>
      <c r="S25" s="10"/>
      <c r="T25" s="10"/>
      <c r="U25" s="10"/>
      <c r="V25" s="10"/>
      <c r="W25" s="10"/>
      <c r="X25" s="10"/>
      <c r="Y25" s="10"/>
      <c r="Z25" s="10"/>
    </row>
    <row r="26" spans="1:26" x14ac:dyDescent="0.25">
      <c r="A26" s="1" t="s">
        <v>891</v>
      </c>
      <c r="S26" s="10"/>
      <c r="T26" s="10"/>
      <c r="U26" s="10"/>
      <c r="V26" s="10"/>
      <c r="W26" s="10"/>
      <c r="X26" s="10"/>
      <c r="Y26" s="10"/>
      <c r="Z26" s="10"/>
    </row>
    <row r="27" spans="1:26" x14ac:dyDescent="0.25">
      <c r="A27" s="1" t="s">
        <v>893</v>
      </c>
      <c r="S27" s="10"/>
      <c r="T27" s="10"/>
      <c r="U27" s="10"/>
      <c r="V27" s="10"/>
      <c r="W27" s="10"/>
      <c r="X27" s="10"/>
      <c r="Y27" s="10"/>
      <c r="Z27" s="10"/>
    </row>
    <row r="28" spans="1:26" x14ac:dyDescent="0.25">
      <c r="A28" s="1" t="s">
        <v>894</v>
      </c>
      <c r="S28" s="10"/>
      <c r="T28" s="10"/>
      <c r="U28" s="10"/>
      <c r="V28" s="10"/>
      <c r="W28" s="10"/>
      <c r="X28" s="10"/>
      <c r="Y28" s="10"/>
      <c r="Z28" s="10"/>
    </row>
    <row r="29" spans="1:26" x14ac:dyDescent="0.25">
      <c r="S29" s="10"/>
      <c r="T29" s="10"/>
      <c r="U29" s="10"/>
      <c r="V29" s="10"/>
      <c r="W29" s="10"/>
      <c r="X29" s="10"/>
      <c r="Y29" s="10"/>
      <c r="Z29" s="10"/>
    </row>
    <row r="30" spans="1:26" x14ac:dyDescent="0.25">
      <c r="A30" s="1272" t="s">
        <v>910</v>
      </c>
      <c r="S30" s="10"/>
      <c r="T30" s="10"/>
      <c r="U30" s="10"/>
      <c r="V30" s="10"/>
      <c r="W30" s="10"/>
      <c r="X30" s="10"/>
      <c r="Y30" s="10"/>
      <c r="Z30" s="10"/>
    </row>
    <row r="31" spans="1:26" ht="45" x14ac:dyDescent="0.25">
      <c r="A31" s="4" t="s">
        <v>265</v>
      </c>
      <c r="S31" s="10"/>
      <c r="T31" s="10"/>
      <c r="U31" s="10"/>
      <c r="V31" s="10"/>
      <c r="W31" s="10"/>
      <c r="X31" s="10"/>
      <c r="Y31" s="10"/>
      <c r="Z31" s="10"/>
    </row>
    <row r="32" spans="1:26" x14ac:dyDescent="0.25">
      <c r="A32" s="1272" t="s">
        <v>911</v>
      </c>
      <c r="S32" s="10"/>
      <c r="T32" s="10"/>
      <c r="U32" s="10"/>
      <c r="V32" s="10"/>
      <c r="W32" s="10"/>
      <c r="X32" s="10"/>
      <c r="Y32" s="10"/>
      <c r="Z32" s="10"/>
    </row>
    <row r="33" spans="1:26" hidden="1" x14ac:dyDescent="0.25">
      <c r="A33" s="974" t="s">
        <v>351</v>
      </c>
      <c r="S33" s="10"/>
      <c r="T33" s="10"/>
      <c r="U33" s="10"/>
      <c r="V33" s="10"/>
      <c r="W33" s="10"/>
      <c r="X33" s="10"/>
      <c r="Y33" s="10"/>
      <c r="Z33" s="10"/>
    </row>
    <row r="34" spans="1:26" hidden="1" x14ac:dyDescent="0.25">
      <c r="A34" s="974" t="s">
        <v>867</v>
      </c>
      <c r="S34" s="10"/>
      <c r="T34" s="10"/>
      <c r="U34" s="10"/>
      <c r="V34" s="10"/>
      <c r="W34" s="10"/>
      <c r="X34" s="10"/>
      <c r="Y34" s="10"/>
      <c r="Z34" s="10"/>
    </row>
    <row r="35" spans="1:26" hidden="1" x14ac:dyDescent="0.25">
      <c r="A35" s="974" t="s">
        <v>868</v>
      </c>
      <c r="S35" s="10"/>
      <c r="T35" s="10"/>
      <c r="U35" s="10"/>
      <c r="V35" s="10"/>
      <c r="W35" s="10"/>
      <c r="X35" s="10"/>
      <c r="Y35" s="10"/>
      <c r="Z35" s="10"/>
    </row>
    <row r="36" spans="1:26" ht="30" hidden="1" x14ac:dyDescent="0.25">
      <c r="A36" s="1271" t="s">
        <v>869</v>
      </c>
      <c r="S36" s="10"/>
      <c r="T36" s="10"/>
      <c r="U36" s="10"/>
      <c r="V36" s="10"/>
      <c r="W36" s="10"/>
      <c r="X36" s="10"/>
      <c r="Y36" s="10"/>
      <c r="Z36" s="10"/>
    </row>
    <row r="37" spans="1:26" hidden="1" x14ac:dyDescent="0.25">
      <c r="A37" s="974" t="s">
        <v>870</v>
      </c>
      <c r="S37" s="10"/>
      <c r="T37" s="10"/>
      <c r="U37" s="10"/>
      <c r="V37" s="10"/>
      <c r="W37" s="10"/>
      <c r="X37" s="10"/>
      <c r="Y37" s="10"/>
      <c r="Z37" s="10"/>
    </row>
    <row r="38" spans="1:26" hidden="1" x14ac:dyDescent="0.25">
      <c r="A38" s="974" t="s">
        <v>871</v>
      </c>
      <c r="S38" s="10"/>
      <c r="T38" s="10"/>
      <c r="U38" s="10"/>
      <c r="V38" s="10"/>
      <c r="W38" s="10"/>
      <c r="X38" s="10"/>
      <c r="Y38" s="10"/>
      <c r="Z38" s="10"/>
    </row>
    <row r="39" spans="1:26" hidden="1" x14ac:dyDescent="0.25">
      <c r="A39" s="974" t="s">
        <v>872</v>
      </c>
      <c r="S39" s="10"/>
      <c r="T39" s="10"/>
      <c r="U39" s="10"/>
      <c r="V39" s="10"/>
      <c r="W39" s="10"/>
      <c r="X39" s="10"/>
      <c r="Y39" s="10"/>
      <c r="Z39" s="10"/>
    </row>
    <row r="40" spans="1:26" ht="30" hidden="1" x14ac:dyDescent="0.25">
      <c r="A40" s="1271" t="s">
        <v>873</v>
      </c>
      <c r="S40" s="10"/>
      <c r="T40" s="10"/>
      <c r="U40" s="10"/>
      <c r="V40" s="10"/>
      <c r="W40" s="10"/>
      <c r="X40" s="10"/>
      <c r="Y40" s="10"/>
      <c r="Z40" s="10"/>
    </row>
    <row r="41" spans="1:26" ht="47.25" hidden="1" customHeight="1" x14ac:dyDescent="0.25">
      <c r="A41" s="1271" t="s">
        <v>345</v>
      </c>
      <c r="S41" s="10"/>
      <c r="T41" s="10"/>
      <c r="U41" s="10"/>
      <c r="V41" s="10"/>
      <c r="W41" s="10"/>
      <c r="X41" s="10"/>
      <c r="Y41" s="10"/>
      <c r="Z41" s="10"/>
    </row>
    <row r="42" spans="1:26" ht="15" hidden="1" customHeight="1" x14ac:dyDescent="0.25">
      <c r="A42" s="1271" t="s">
        <v>874</v>
      </c>
      <c r="S42" s="10"/>
      <c r="T42" s="10"/>
      <c r="U42" s="10"/>
      <c r="V42" s="10"/>
      <c r="W42" s="10"/>
      <c r="X42" s="10"/>
      <c r="Y42" s="10"/>
      <c r="Z42" s="10"/>
    </row>
    <row r="43" spans="1:26" ht="29.25" hidden="1" customHeight="1" x14ac:dyDescent="0.25">
      <c r="A43" s="1271" t="s">
        <v>875</v>
      </c>
      <c r="S43" s="10"/>
      <c r="T43" s="10"/>
      <c r="U43" s="10"/>
      <c r="V43" s="10"/>
      <c r="W43" s="10"/>
      <c r="X43" s="10"/>
      <c r="Y43" s="10"/>
      <c r="Z43" s="10"/>
    </row>
    <row r="44" spans="1:26" x14ac:dyDescent="0.25">
      <c r="S44" s="10"/>
      <c r="T44" s="10"/>
      <c r="U44" s="10"/>
      <c r="V44" s="10"/>
      <c r="W44" s="10"/>
      <c r="X44" s="10"/>
      <c r="Y44" s="10"/>
      <c r="Z44" s="10"/>
    </row>
    <row r="45" spans="1:26" x14ac:dyDescent="0.25">
      <c r="A45" s="1272" t="s">
        <v>912</v>
      </c>
      <c r="S45" s="10"/>
      <c r="T45" s="10"/>
      <c r="U45" s="10"/>
      <c r="V45" s="10"/>
      <c r="W45" s="10"/>
      <c r="X45" s="10"/>
      <c r="Y45" s="10"/>
      <c r="Z45" s="10"/>
    </row>
    <row r="46" spans="1:26" ht="30" x14ac:dyDescent="0.25">
      <c r="A46" s="4" t="s">
        <v>266</v>
      </c>
      <c r="S46" s="10"/>
      <c r="T46" s="10"/>
      <c r="U46" s="10"/>
      <c r="V46" s="10"/>
      <c r="W46" s="10"/>
      <c r="X46" s="10"/>
      <c r="Y46" s="10"/>
      <c r="Z46" s="10"/>
    </row>
    <row r="47" spans="1:26" x14ac:dyDescent="0.25">
      <c r="A47" s="4" t="s">
        <v>953</v>
      </c>
      <c r="S47" s="10"/>
      <c r="T47" s="10"/>
      <c r="U47" s="10"/>
      <c r="V47" s="10"/>
      <c r="W47" s="10"/>
      <c r="X47" s="10"/>
      <c r="Y47" s="10"/>
      <c r="Z47" s="10"/>
    </row>
    <row r="48" spans="1:26" ht="30.75" hidden="1" customHeight="1" x14ac:dyDescent="0.25">
      <c r="A48" s="2" t="s">
        <v>876</v>
      </c>
      <c r="S48" s="10"/>
      <c r="T48" s="10"/>
      <c r="U48" s="10"/>
      <c r="V48" s="10"/>
      <c r="W48" s="10"/>
      <c r="X48" s="10"/>
      <c r="Y48" s="10"/>
      <c r="Z48" s="10"/>
    </row>
    <row r="49" spans="1:26" ht="30" hidden="1" x14ac:dyDescent="0.25">
      <c r="A49" s="2" t="s">
        <v>268</v>
      </c>
      <c r="S49" s="10"/>
      <c r="T49" s="10"/>
      <c r="U49" s="10"/>
      <c r="V49" s="10"/>
      <c r="W49" s="10"/>
      <c r="X49" s="10"/>
      <c r="Y49" s="10"/>
      <c r="Z49" s="10"/>
    </row>
    <row r="50" spans="1:26" x14ac:dyDescent="0.25">
      <c r="A50" s="2" t="s">
        <v>955</v>
      </c>
      <c r="S50" s="10"/>
      <c r="T50" s="10"/>
      <c r="U50" s="10"/>
      <c r="V50" s="10"/>
      <c r="W50" s="10"/>
      <c r="X50" s="10"/>
      <c r="Y50" s="10"/>
      <c r="Z50" s="10"/>
    </row>
    <row r="51" spans="1:26" x14ac:dyDescent="0.25">
      <c r="S51" s="10"/>
      <c r="T51" s="10"/>
      <c r="U51" s="10"/>
      <c r="V51" s="10"/>
      <c r="W51" s="10"/>
      <c r="X51" s="10"/>
      <c r="Y51" s="10"/>
      <c r="Z51" s="10"/>
    </row>
    <row r="52" spans="1:26" x14ac:dyDescent="0.25">
      <c r="A52" s="1272" t="s">
        <v>896</v>
      </c>
      <c r="S52" s="10"/>
      <c r="T52" s="10"/>
      <c r="U52" s="10"/>
      <c r="V52" s="10"/>
      <c r="W52" s="10"/>
      <c r="X52" s="10"/>
      <c r="Y52" s="10"/>
      <c r="Z52" s="10"/>
    </row>
    <row r="53" spans="1:26" x14ac:dyDescent="0.25">
      <c r="A53" s="4" t="s">
        <v>897</v>
      </c>
      <c r="S53" s="10"/>
      <c r="T53" s="10"/>
      <c r="U53" s="10"/>
      <c r="V53" s="10"/>
      <c r="W53" s="10"/>
      <c r="X53" s="10"/>
      <c r="Y53" s="10"/>
      <c r="Z53" s="10"/>
    </row>
    <row r="54" spans="1:26" x14ac:dyDescent="0.25">
      <c r="A54" s="2"/>
      <c r="S54" s="10"/>
      <c r="T54" s="10"/>
      <c r="U54" s="10"/>
      <c r="V54" s="10"/>
      <c r="W54" s="10"/>
      <c r="X54" s="10"/>
      <c r="Y54" s="10"/>
      <c r="Z54" s="10"/>
    </row>
    <row r="55" spans="1:26" x14ac:dyDescent="0.25">
      <c r="A55" s="1272" t="s">
        <v>898</v>
      </c>
      <c r="S55" s="10"/>
      <c r="T55" s="10"/>
      <c r="U55" s="10"/>
      <c r="V55" s="10"/>
      <c r="W55" s="10"/>
      <c r="X55" s="10"/>
      <c r="Y55" s="10"/>
      <c r="Z55" s="10"/>
    </row>
    <row r="56" spans="1:26" x14ac:dyDescent="0.25">
      <c r="A56" s="4" t="s">
        <v>899</v>
      </c>
      <c r="S56" s="10"/>
      <c r="T56" s="10"/>
      <c r="U56" s="10"/>
      <c r="V56" s="10"/>
      <c r="W56" s="10"/>
      <c r="X56" s="10"/>
      <c r="Y56" s="10"/>
      <c r="Z56" s="10"/>
    </row>
    <row r="57" spans="1:26" ht="15" customHeight="1" x14ac:dyDescent="0.25">
      <c r="A57" s="4" t="s">
        <v>900</v>
      </c>
      <c r="S57" s="10"/>
      <c r="T57" s="10"/>
      <c r="U57" s="10"/>
      <c r="V57" s="10"/>
      <c r="W57" s="10"/>
      <c r="X57" s="10"/>
      <c r="Y57" s="10"/>
      <c r="Z57" s="10"/>
    </row>
    <row r="58" spans="1:26" x14ac:dyDescent="0.25">
      <c r="S58" s="10"/>
      <c r="T58" s="10"/>
      <c r="U58" s="10"/>
      <c r="V58" s="10"/>
      <c r="W58" s="10"/>
      <c r="X58" s="10"/>
      <c r="Y58" s="10"/>
      <c r="Z58" s="10"/>
    </row>
    <row r="59" spans="1:26" x14ac:dyDescent="0.25">
      <c r="A59" s="1272" t="s">
        <v>902</v>
      </c>
    </row>
    <row r="60" spans="1:26" x14ac:dyDescent="0.25">
      <c r="A60" s="4" t="s">
        <v>933</v>
      </c>
    </row>
    <row r="61" spans="1:26" x14ac:dyDescent="0.25">
      <c r="A61" s="4"/>
    </row>
    <row r="62" spans="1:26" x14ac:dyDescent="0.25">
      <c r="A62" s="1272" t="s">
        <v>908</v>
      </c>
    </row>
    <row r="63" spans="1:26" x14ac:dyDescent="0.25">
      <c r="A63" s="4" t="s">
        <v>909</v>
      </c>
    </row>
    <row r="64" spans="1:26" x14ac:dyDescent="0.25">
      <c r="A64" s="4"/>
    </row>
    <row r="65" spans="1:1" x14ac:dyDescent="0.25">
      <c r="A65" s="1272" t="s">
        <v>902</v>
      </c>
    </row>
    <row r="67" spans="1:1" x14ac:dyDescent="0.25">
      <c r="A67" s="1272" t="s">
        <v>913</v>
      </c>
    </row>
    <row r="68" spans="1:1" x14ac:dyDescent="0.25">
      <c r="A68" s="4" t="s">
        <v>914</v>
      </c>
    </row>
    <row r="70" spans="1:1" x14ac:dyDescent="0.25">
      <c r="A70" s="1272" t="s">
        <v>915</v>
      </c>
    </row>
    <row r="71" spans="1:1" x14ac:dyDescent="0.25">
      <c r="A71" s="4" t="s">
        <v>916</v>
      </c>
    </row>
    <row r="73" spans="1:1" x14ac:dyDescent="0.25">
      <c r="A73" s="1272" t="s">
        <v>917</v>
      </c>
    </row>
    <row r="74" spans="1:1" x14ac:dyDescent="0.25">
      <c r="A74" s="4" t="s">
        <v>918</v>
      </c>
    </row>
    <row r="75" spans="1:1" x14ac:dyDescent="0.25">
      <c r="A75" s="4"/>
    </row>
    <row r="76" spans="1:1" x14ac:dyDescent="0.25">
      <c r="A76" s="1272" t="s">
        <v>919</v>
      </c>
    </row>
    <row r="77" spans="1:1" x14ac:dyDescent="0.25">
      <c r="A77" s="4" t="s">
        <v>920</v>
      </c>
    </row>
    <row r="78" spans="1:1" x14ac:dyDescent="0.25">
      <c r="A78" s="4"/>
    </row>
    <row r="79" spans="1:1" x14ac:dyDescent="0.25">
      <c r="A79" s="1272" t="s">
        <v>921</v>
      </c>
    </row>
    <row r="80" spans="1:1" x14ac:dyDescent="0.25">
      <c r="A80" s="4" t="s">
        <v>922</v>
      </c>
    </row>
    <row r="81" spans="1:1" x14ac:dyDescent="0.25">
      <c r="A81" s="4"/>
    </row>
    <row r="82" spans="1:1" x14ac:dyDescent="0.25">
      <c r="A82" s="1272" t="s">
        <v>767</v>
      </c>
    </row>
    <row r="85" spans="1:1" x14ac:dyDescent="0.25">
      <c r="A85" s="3" t="s">
        <v>903</v>
      </c>
    </row>
    <row r="86" spans="1:1" x14ac:dyDescent="0.25">
      <c r="A86" s="4" t="s">
        <v>707</v>
      </c>
    </row>
    <row r="87" spans="1:1" x14ac:dyDescent="0.25">
      <c r="A87" s="4" t="s">
        <v>923</v>
      </c>
    </row>
  </sheetData>
  <sheetProtection algorithmName="SHA-512" hashValue="O3/Nx8lnU7I5JacPnbjI7nSHDzkpV6WPDSp/I9J4Dv3X5LDZ0EfqL5gUjgHYptgcydNtyjvKBoCecFBa1H4CIw==" saltValue="NYrfsuksZGP/XqncIeLIvQ==" spinCount="100000" sheet="1" objects="1" scenarios="1"/>
  <pageMargins left="0.35" right="0.25" top="0.32" bottom="0.5" header="0.32" footer="0.3"/>
  <pageSetup orientation="portrait" r:id="rId1"/>
  <headerFooter>
    <oddFooter>&amp;L&amp;7&amp;D  at &amp;T Mike 702.854.0691&amp;C&amp;7Page &amp;P of &amp;N&amp;R&amp;7&amp;F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R62"/>
  <sheetViews>
    <sheetView zoomScale="70" zoomScaleNormal="70" zoomScaleSheetLayoutView="70" workbookViewId="0">
      <selection activeCell="F34" sqref="F34"/>
    </sheetView>
  </sheetViews>
  <sheetFormatPr defaultColWidth="8.85546875" defaultRowHeight="15" x14ac:dyDescent="0.25"/>
  <cols>
    <col min="1" max="1" width="5.42578125" style="141" customWidth="1"/>
    <col min="2" max="2" width="54.140625" style="141" customWidth="1"/>
    <col min="3" max="3" width="14.28515625" style="141" customWidth="1"/>
    <col min="4" max="4" width="12.85546875" style="141" customWidth="1"/>
    <col min="5" max="5" width="13.7109375" style="141" customWidth="1"/>
    <col min="6" max="6" width="13.140625" style="150" customWidth="1"/>
    <col min="7" max="8" width="2.5703125" style="150" hidden="1" customWidth="1"/>
    <col min="9" max="9" width="0.28515625" style="150" hidden="1" customWidth="1"/>
    <col min="10" max="10" width="11.42578125" style="150" customWidth="1"/>
    <col min="11" max="11" width="12.85546875" style="150" customWidth="1"/>
    <col min="12" max="12" width="12.85546875" style="141" bestFit="1" customWidth="1"/>
    <col min="13" max="13" width="12.42578125" style="141" bestFit="1" customWidth="1"/>
    <col min="14" max="17" width="12.85546875" style="141" bestFit="1" customWidth="1"/>
    <col min="18" max="18" width="27.85546875" style="141" bestFit="1" customWidth="1"/>
    <col min="19" max="16384" width="8.85546875" style="141"/>
  </cols>
  <sheetData>
    <row r="1" spans="1:17" ht="15.75" x14ac:dyDescent="0.25">
      <c r="A1" s="457" t="s">
        <v>679</v>
      </c>
      <c r="B1" s="458"/>
      <c r="D1" s="309" t="s">
        <v>680</v>
      </c>
      <c r="P1" s="151"/>
    </row>
    <row r="2" spans="1:17" ht="15.75" x14ac:dyDescent="0.25">
      <c r="A2" s="916" t="str">
        <f>SchoolName</f>
        <v xml:space="preserve">Alaka'i Heritage Academy </v>
      </c>
      <c r="B2" s="917"/>
    </row>
    <row r="3" spans="1:17" x14ac:dyDescent="0.25">
      <c r="A3" s="154" t="s">
        <v>415</v>
      </c>
    </row>
    <row r="4" spans="1:17" x14ac:dyDescent="0.25">
      <c r="A4" s="155" t="s">
        <v>452</v>
      </c>
    </row>
    <row r="5" spans="1:17" x14ac:dyDescent="0.25">
      <c r="A5" s="129" t="str">
        <f ca="1">CELL("filename")</f>
        <v>C:\Users\Kyle.McOmber\Work Folders\Desktop\Alaka'i Appeal Submissions\Second Submission\[Copy of Attachment 16 - Financial Plan Workbook - AHA (002).xlsx]Market</v>
      </c>
    </row>
    <row r="7" spans="1:17" x14ac:dyDescent="0.25">
      <c r="B7" s="681"/>
      <c r="C7" s="682" t="s">
        <v>584</v>
      </c>
      <c r="D7" s="683"/>
      <c r="E7" s="684" t="s">
        <v>560</v>
      </c>
      <c r="F7" s="685"/>
      <c r="G7" s="685"/>
      <c r="H7" s="685"/>
      <c r="I7" s="685"/>
      <c r="J7" s="684" t="s">
        <v>497</v>
      </c>
      <c r="K7" s="684">
        <v>0</v>
      </c>
      <c r="L7" s="686">
        <v>1</v>
      </c>
      <c r="M7" s="686">
        <f>+L7+1</f>
        <v>2</v>
      </c>
      <c r="N7" s="686">
        <f>+M7+1</f>
        <v>3</v>
      </c>
      <c r="O7" s="686">
        <f>+N7+1</f>
        <v>4</v>
      </c>
      <c r="P7" s="686">
        <f>+O7+1</f>
        <v>5</v>
      </c>
      <c r="Q7" s="687">
        <f>+P7+1</f>
        <v>6</v>
      </c>
    </row>
    <row r="8" spans="1:17" s="130" customFormat="1" ht="15.75" x14ac:dyDescent="0.25">
      <c r="B8" s="688" t="s">
        <v>685</v>
      </c>
      <c r="C8" s="139" t="s">
        <v>583</v>
      </c>
      <c r="D8" s="554"/>
      <c r="E8" s="449" t="s">
        <v>582</v>
      </c>
      <c r="F8" s="449" t="s">
        <v>498</v>
      </c>
      <c r="G8" s="689"/>
      <c r="H8" s="689"/>
      <c r="I8" s="689"/>
      <c r="J8" s="454" t="s">
        <v>766</v>
      </c>
      <c r="K8" s="966">
        <f>'Enrol Staff &amp; Exp'!G11</f>
        <v>2020</v>
      </c>
      <c r="L8" s="452">
        <f>'Enrol Staff &amp; Exp'!H11</f>
        <v>2021</v>
      </c>
      <c r="M8" s="448">
        <f>'Enrol Staff &amp; Exp'!I11</f>
        <v>2022</v>
      </c>
      <c r="N8" s="448">
        <f>'Enrol Staff &amp; Exp'!J11</f>
        <v>2023</v>
      </c>
      <c r="O8" s="448">
        <f>'Enrol Staff &amp; Exp'!K11</f>
        <v>2024</v>
      </c>
      <c r="P8" s="448">
        <f>'Enrol Staff &amp; Exp'!L11</f>
        <v>2025</v>
      </c>
      <c r="Q8" s="453">
        <f>'Enrol Staff &amp; Exp'!M11</f>
        <v>2026</v>
      </c>
    </row>
    <row r="9" spans="1:17" x14ac:dyDescent="0.25">
      <c r="A9" s="555">
        <f>ROW()-8</f>
        <v>1</v>
      </c>
      <c r="B9" s="1068"/>
      <c r="C9" s="1088"/>
      <c r="D9" s="1068" t="s">
        <v>486</v>
      </c>
      <c r="E9" s="1089"/>
      <c r="F9" s="1088"/>
      <c r="J9" s="450">
        <f>SUM(K9:Q9)</f>
        <v>0</v>
      </c>
      <c r="K9" s="967"/>
      <c r="L9" s="964">
        <f>+$F9</f>
        <v>0</v>
      </c>
      <c r="M9" s="199">
        <f t="shared" ref="M9:Q26" si="0">+$F9</f>
        <v>0</v>
      </c>
      <c r="N9" s="199">
        <f t="shared" si="0"/>
        <v>0</v>
      </c>
      <c r="O9" s="199">
        <f t="shared" si="0"/>
        <v>0</v>
      </c>
      <c r="P9" s="199">
        <f t="shared" si="0"/>
        <v>0</v>
      </c>
      <c r="Q9" s="199">
        <f t="shared" si="0"/>
        <v>0</v>
      </c>
    </row>
    <row r="10" spans="1:17" x14ac:dyDescent="0.25">
      <c r="A10" s="555">
        <f t="shared" ref="A10:A58" si="1">ROW()-8</f>
        <v>2</v>
      </c>
      <c r="B10" s="1070" t="s">
        <v>683</v>
      </c>
      <c r="C10" s="1090"/>
      <c r="D10" s="1091">
        <v>0</v>
      </c>
      <c r="E10" s="1092"/>
      <c r="F10" s="1090">
        <v>0</v>
      </c>
      <c r="G10" s="451"/>
      <c r="H10" s="451"/>
      <c r="I10" s="451"/>
      <c r="J10" s="451">
        <f t="shared" ref="J10:J58" si="2">SUM(K10:Q10)</f>
        <v>0</v>
      </c>
      <c r="K10" s="968"/>
      <c r="L10" s="965">
        <f>+$F10</f>
        <v>0</v>
      </c>
      <c r="M10" s="179">
        <f t="shared" si="0"/>
        <v>0</v>
      </c>
      <c r="N10" s="179">
        <f t="shared" si="0"/>
        <v>0</v>
      </c>
      <c r="O10" s="179">
        <f t="shared" si="0"/>
        <v>0</v>
      </c>
      <c r="P10" s="179">
        <f t="shared" si="0"/>
        <v>0</v>
      </c>
      <c r="Q10" s="179">
        <f t="shared" si="0"/>
        <v>0</v>
      </c>
    </row>
    <row r="11" spans="1:17" x14ac:dyDescent="0.25">
      <c r="A11" s="555">
        <f t="shared" si="1"/>
        <v>3</v>
      </c>
      <c r="B11" s="1070" t="s">
        <v>684</v>
      </c>
      <c r="C11" s="1090"/>
      <c r="D11" s="1090">
        <v>0</v>
      </c>
      <c r="E11" s="1093"/>
      <c r="F11" s="1090">
        <v>0</v>
      </c>
      <c r="G11" s="451"/>
      <c r="H11" s="451"/>
      <c r="I11" s="451"/>
      <c r="J11" s="451">
        <f t="shared" si="2"/>
        <v>0</v>
      </c>
      <c r="K11" s="968"/>
      <c r="L11" s="965">
        <f>+$F11</f>
        <v>0</v>
      </c>
      <c r="M11" s="179">
        <f t="shared" si="0"/>
        <v>0</v>
      </c>
      <c r="N11" s="179">
        <f t="shared" si="0"/>
        <v>0</v>
      </c>
      <c r="O11" s="179">
        <f t="shared" si="0"/>
        <v>0</v>
      </c>
      <c r="P11" s="179">
        <f t="shared" si="0"/>
        <v>0</v>
      </c>
      <c r="Q11" s="179">
        <f t="shared" si="0"/>
        <v>0</v>
      </c>
    </row>
    <row r="12" spans="1:17" x14ac:dyDescent="0.25">
      <c r="A12" s="555">
        <f t="shared" si="1"/>
        <v>4</v>
      </c>
      <c r="B12" s="1094" t="s">
        <v>675</v>
      </c>
      <c r="C12" s="1090"/>
      <c r="D12" s="1090">
        <v>0</v>
      </c>
      <c r="E12" s="1093"/>
      <c r="F12" s="1090">
        <v>0</v>
      </c>
      <c r="G12" s="451"/>
      <c r="H12" s="451"/>
      <c r="I12" s="451"/>
      <c r="J12" s="451">
        <f t="shared" si="2"/>
        <v>0</v>
      </c>
      <c r="K12" s="968"/>
      <c r="L12" s="965">
        <f>+$F12</f>
        <v>0</v>
      </c>
      <c r="M12" s="179">
        <f t="shared" si="0"/>
        <v>0</v>
      </c>
      <c r="N12" s="179">
        <f t="shared" si="0"/>
        <v>0</v>
      </c>
      <c r="O12" s="179">
        <f t="shared" si="0"/>
        <v>0</v>
      </c>
      <c r="P12" s="179">
        <f t="shared" si="0"/>
        <v>0</v>
      </c>
      <c r="Q12" s="179">
        <f t="shared" si="0"/>
        <v>0</v>
      </c>
    </row>
    <row r="13" spans="1:17" x14ac:dyDescent="0.25">
      <c r="A13" s="555">
        <f t="shared" si="1"/>
        <v>5</v>
      </c>
      <c r="B13" s="1094" t="s">
        <v>661</v>
      </c>
      <c r="C13" s="1090"/>
      <c r="D13" s="1090"/>
      <c r="E13" s="1093"/>
      <c r="F13" s="1090"/>
      <c r="G13" s="451"/>
      <c r="H13" s="451"/>
      <c r="I13" s="451"/>
      <c r="J13" s="451">
        <f t="shared" si="2"/>
        <v>0</v>
      </c>
      <c r="K13" s="968"/>
      <c r="L13" s="965">
        <f t="shared" ref="L13:Q57" si="3">+$F13</f>
        <v>0</v>
      </c>
      <c r="M13" s="179">
        <f t="shared" si="0"/>
        <v>0</v>
      </c>
      <c r="N13" s="179">
        <f t="shared" si="0"/>
        <v>0</v>
      </c>
      <c r="O13" s="179">
        <f t="shared" si="0"/>
        <v>0</v>
      </c>
      <c r="P13" s="179">
        <f t="shared" si="0"/>
        <v>0</v>
      </c>
      <c r="Q13" s="179">
        <f t="shared" si="0"/>
        <v>0</v>
      </c>
    </row>
    <row r="14" spans="1:17" x14ac:dyDescent="0.25">
      <c r="A14" s="555">
        <f t="shared" si="1"/>
        <v>6</v>
      </c>
      <c r="B14" s="1094" t="s">
        <v>621</v>
      </c>
      <c r="C14" s="1090"/>
      <c r="D14" s="1090"/>
      <c r="E14" s="1093"/>
      <c r="F14" s="1090"/>
      <c r="G14" s="451"/>
      <c r="H14" s="451"/>
      <c r="I14" s="451"/>
      <c r="J14" s="451">
        <f t="shared" si="2"/>
        <v>0</v>
      </c>
      <c r="K14" s="968"/>
      <c r="L14" s="965">
        <f t="shared" si="3"/>
        <v>0</v>
      </c>
      <c r="M14" s="179">
        <f t="shared" si="0"/>
        <v>0</v>
      </c>
      <c r="N14" s="179">
        <f t="shared" si="0"/>
        <v>0</v>
      </c>
      <c r="O14" s="179">
        <f t="shared" si="0"/>
        <v>0</v>
      </c>
      <c r="P14" s="179">
        <f t="shared" si="0"/>
        <v>0</v>
      </c>
      <c r="Q14" s="179">
        <f t="shared" si="0"/>
        <v>0</v>
      </c>
    </row>
    <row r="15" spans="1:17" x14ac:dyDescent="0.25">
      <c r="A15" s="555">
        <f t="shared" si="1"/>
        <v>7</v>
      </c>
      <c r="B15" s="1094" t="s">
        <v>620</v>
      </c>
      <c r="C15" s="1090"/>
      <c r="D15" s="1090">
        <v>0</v>
      </c>
      <c r="E15" s="1093"/>
      <c r="F15" s="1090">
        <v>0</v>
      </c>
      <c r="G15" s="451"/>
      <c r="H15" s="451"/>
      <c r="I15" s="451"/>
      <c r="J15" s="451">
        <f t="shared" si="2"/>
        <v>0</v>
      </c>
      <c r="K15" s="968"/>
      <c r="L15" s="965">
        <f t="shared" si="3"/>
        <v>0</v>
      </c>
      <c r="M15" s="179">
        <f t="shared" si="0"/>
        <v>0</v>
      </c>
      <c r="N15" s="179">
        <f t="shared" si="0"/>
        <v>0</v>
      </c>
      <c r="O15" s="179">
        <f t="shared" si="0"/>
        <v>0</v>
      </c>
      <c r="P15" s="179">
        <f t="shared" si="0"/>
        <v>0</v>
      </c>
      <c r="Q15" s="179">
        <f t="shared" si="0"/>
        <v>0</v>
      </c>
    </row>
    <row r="16" spans="1:17" x14ac:dyDescent="0.25">
      <c r="A16" s="555">
        <f t="shared" si="1"/>
        <v>8</v>
      </c>
      <c r="B16" s="1094" t="s">
        <v>662</v>
      </c>
      <c r="C16" s="1090"/>
      <c r="D16" s="1090">
        <v>0</v>
      </c>
      <c r="E16" s="1093"/>
      <c r="F16" s="1090">
        <v>0</v>
      </c>
      <c r="G16" s="451"/>
      <c r="H16" s="451"/>
      <c r="I16" s="451"/>
      <c r="J16" s="451">
        <f t="shared" si="2"/>
        <v>0</v>
      </c>
      <c r="K16" s="968"/>
      <c r="L16" s="965">
        <f t="shared" si="3"/>
        <v>0</v>
      </c>
      <c r="M16" s="179">
        <f t="shared" si="0"/>
        <v>0</v>
      </c>
      <c r="N16" s="179">
        <f t="shared" si="0"/>
        <v>0</v>
      </c>
      <c r="O16" s="179">
        <f t="shared" si="0"/>
        <v>0</v>
      </c>
      <c r="P16" s="179">
        <f t="shared" si="0"/>
        <v>0</v>
      </c>
      <c r="Q16" s="179">
        <f t="shared" si="0"/>
        <v>0</v>
      </c>
    </row>
    <row r="17" spans="1:18" x14ac:dyDescent="0.25">
      <c r="A17" s="555">
        <f t="shared" si="1"/>
        <v>9</v>
      </c>
      <c r="B17" s="1094" t="s">
        <v>626</v>
      </c>
      <c r="C17" s="1090"/>
      <c r="D17" s="1090">
        <v>0</v>
      </c>
      <c r="E17" s="1093"/>
      <c r="F17" s="1090">
        <v>0</v>
      </c>
      <c r="G17" s="451"/>
      <c r="H17" s="451"/>
      <c r="I17" s="451"/>
      <c r="J17" s="451">
        <f t="shared" si="2"/>
        <v>0</v>
      </c>
      <c r="K17" s="968"/>
      <c r="L17" s="965">
        <f t="shared" si="3"/>
        <v>0</v>
      </c>
      <c r="M17" s="179">
        <f t="shared" si="0"/>
        <v>0</v>
      </c>
      <c r="N17" s="179">
        <f t="shared" si="0"/>
        <v>0</v>
      </c>
      <c r="O17" s="179">
        <f t="shared" si="0"/>
        <v>0</v>
      </c>
      <c r="P17" s="179">
        <f t="shared" si="0"/>
        <v>0</v>
      </c>
      <c r="Q17" s="179">
        <f t="shared" si="0"/>
        <v>0</v>
      </c>
    </row>
    <row r="18" spans="1:18" x14ac:dyDescent="0.25">
      <c r="A18" s="555">
        <f t="shared" si="1"/>
        <v>10</v>
      </c>
      <c r="B18" s="1094" t="s">
        <v>625</v>
      </c>
      <c r="C18" s="1090"/>
      <c r="D18" s="1090">
        <v>0</v>
      </c>
      <c r="E18" s="1093"/>
      <c r="F18" s="1090">
        <v>0</v>
      </c>
      <c r="G18" s="451"/>
      <c r="H18" s="451"/>
      <c r="I18" s="451"/>
      <c r="J18" s="451">
        <f t="shared" si="2"/>
        <v>0</v>
      </c>
      <c r="K18" s="968"/>
      <c r="L18" s="965">
        <f t="shared" si="3"/>
        <v>0</v>
      </c>
      <c r="M18" s="179">
        <f t="shared" si="0"/>
        <v>0</v>
      </c>
      <c r="N18" s="179">
        <f t="shared" si="0"/>
        <v>0</v>
      </c>
      <c r="O18" s="179">
        <f t="shared" si="0"/>
        <v>0</v>
      </c>
      <c r="P18" s="179">
        <f t="shared" si="0"/>
        <v>0</v>
      </c>
      <c r="Q18" s="179">
        <f t="shared" si="0"/>
        <v>0</v>
      </c>
    </row>
    <row r="19" spans="1:18" x14ac:dyDescent="0.25">
      <c r="A19" s="555">
        <f t="shared" si="1"/>
        <v>11</v>
      </c>
      <c r="B19" s="1094" t="s">
        <v>676</v>
      </c>
      <c r="C19" s="1090"/>
      <c r="D19" s="1090">
        <v>0</v>
      </c>
      <c r="E19" s="1093"/>
      <c r="F19" s="1090">
        <v>0</v>
      </c>
      <c r="G19" s="451"/>
      <c r="H19" s="451"/>
      <c r="I19" s="451"/>
      <c r="J19" s="451">
        <f t="shared" si="2"/>
        <v>0</v>
      </c>
      <c r="K19" s="968"/>
      <c r="L19" s="965">
        <f t="shared" si="3"/>
        <v>0</v>
      </c>
      <c r="M19" s="179">
        <f t="shared" si="0"/>
        <v>0</v>
      </c>
      <c r="N19" s="179">
        <f t="shared" si="0"/>
        <v>0</v>
      </c>
      <c r="O19" s="179">
        <f t="shared" si="0"/>
        <v>0</v>
      </c>
      <c r="P19" s="179">
        <f t="shared" si="0"/>
        <v>0</v>
      </c>
      <c r="Q19" s="179">
        <f t="shared" si="0"/>
        <v>0</v>
      </c>
    </row>
    <row r="20" spans="1:18" x14ac:dyDescent="0.25">
      <c r="A20" s="555">
        <f t="shared" si="1"/>
        <v>12</v>
      </c>
      <c r="B20" s="1094" t="s">
        <v>624</v>
      </c>
      <c r="C20" s="1090"/>
      <c r="D20" s="1090">
        <v>0</v>
      </c>
      <c r="E20" s="1093"/>
      <c r="F20" s="1090">
        <v>0</v>
      </c>
      <c r="G20" s="451"/>
      <c r="H20" s="451"/>
      <c r="I20" s="451"/>
      <c r="J20" s="451">
        <f t="shared" si="2"/>
        <v>0</v>
      </c>
      <c r="K20" s="968"/>
      <c r="L20" s="965">
        <f t="shared" si="3"/>
        <v>0</v>
      </c>
      <c r="M20" s="179">
        <f t="shared" si="0"/>
        <v>0</v>
      </c>
      <c r="N20" s="179">
        <f t="shared" si="0"/>
        <v>0</v>
      </c>
      <c r="O20" s="179">
        <f t="shared" si="0"/>
        <v>0</v>
      </c>
      <c r="P20" s="179">
        <f t="shared" si="0"/>
        <v>0</v>
      </c>
      <c r="Q20" s="179">
        <f t="shared" si="0"/>
        <v>0</v>
      </c>
    </row>
    <row r="21" spans="1:18" x14ac:dyDescent="0.25">
      <c r="A21" s="555">
        <f t="shared" si="1"/>
        <v>13</v>
      </c>
      <c r="B21" s="1094" t="s">
        <v>623</v>
      </c>
      <c r="C21" s="1090"/>
      <c r="D21" s="1090">
        <v>0</v>
      </c>
      <c r="E21" s="1093"/>
      <c r="F21" s="1090">
        <v>0</v>
      </c>
      <c r="G21" s="451"/>
      <c r="H21" s="451"/>
      <c r="I21" s="451"/>
      <c r="J21" s="451">
        <f t="shared" si="2"/>
        <v>0</v>
      </c>
      <c r="K21" s="968"/>
      <c r="L21" s="965">
        <f t="shared" si="3"/>
        <v>0</v>
      </c>
      <c r="M21" s="179">
        <f t="shared" si="0"/>
        <v>0</v>
      </c>
      <c r="N21" s="179">
        <f t="shared" si="0"/>
        <v>0</v>
      </c>
      <c r="O21" s="179">
        <f t="shared" si="0"/>
        <v>0</v>
      </c>
      <c r="P21" s="179">
        <f t="shared" si="0"/>
        <v>0</v>
      </c>
      <c r="Q21" s="179">
        <f t="shared" si="0"/>
        <v>0</v>
      </c>
    </row>
    <row r="22" spans="1:18" x14ac:dyDescent="0.25">
      <c r="A22" s="555">
        <f t="shared" si="1"/>
        <v>14</v>
      </c>
      <c r="B22" s="1094" t="s">
        <v>666</v>
      </c>
      <c r="C22" s="1090"/>
      <c r="D22" s="1090">
        <v>0</v>
      </c>
      <c r="E22" s="1093"/>
      <c r="F22" s="1090">
        <v>0</v>
      </c>
      <c r="G22" s="451"/>
      <c r="H22" s="451"/>
      <c r="I22" s="451"/>
      <c r="J22" s="451">
        <f t="shared" si="2"/>
        <v>0</v>
      </c>
      <c r="K22" s="968"/>
      <c r="L22" s="965">
        <f t="shared" si="3"/>
        <v>0</v>
      </c>
      <c r="M22" s="179">
        <f t="shared" si="0"/>
        <v>0</v>
      </c>
      <c r="N22" s="179">
        <f t="shared" si="0"/>
        <v>0</v>
      </c>
      <c r="O22" s="179">
        <f t="shared" si="0"/>
        <v>0</v>
      </c>
      <c r="P22" s="179">
        <f t="shared" si="0"/>
        <v>0</v>
      </c>
      <c r="Q22" s="179">
        <f t="shared" si="0"/>
        <v>0</v>
      </c>
    </row>
    <row r="23" spans="1:18" x14ac:dyDescent="0.25">
      <c r="A23" s="555">
        <f t="shared" si="1"/>
        <v>15</v>
      </c>
      <c r="B23" s="1094" t="s">
        <v>619</v>
      </c>
      <c r="C23" s="1090"/>
      <c r="D23" s="1090">
        <v>0</v>
      </c>
      <c r="E23" s="1093"/>
      <c r="F23" s="1090">
        <v>0</v>
      </c>
      <c r="G23" s="451"/>
      <c r="H23" s="451"/>
      <c r="I23" s="451"/>
      <c r="J23" s="451">
        <f t="shared" si="2"/>
        <v>0</v>
      </c>
      <c r="K23" s="968"/>
      <c r="L23" s="965">
        <f t="shared" si="3"/>
        <v>0</v>
      </c>
      <c r="M23" s="179">
        <f t="shared" si="0"/>
        <v>0</v>
      </c>
      <c r="N23" s="179">
        <f t="shared" si="0"/>
        <v>0</v>
      </c>
      <c r="O23" s="179">
        <f t="shared" si="0"/>
        <v>0</v>
      </c>
      <c r="P23" s="179">
        <f t="shared" si="0"/>
        <v>0</v>
      </c>
      <c r="Q23" s="179">
        <f t="shared" si="0"/>
        <v>0</v>
      </c>
    </row>
    <row r="24" spans="1:18" x14ac:dyDescent="0.25">
      <c r="A24" s="555">
        <f t="shared" si="1"/>
        <v>16</v>
      </c>
      <c r="B24" s="1094" t="s">
        <v>618</v>
      </c>
      <c r="C24" s="1090"/>
      <c r="D24" s="1090">
        <v>0</v>
      </c>
      <c r="E24" s="1093"/>
      <c r="F24" s="1090">
        <v>0</v>
      </c>
      <c r="G24" s="451"/>
      <c r="H24" s="451"/>
      <c r="I24" s="451"/>
      <c r="J24" s="451">
        <f t="shared" si="2"/>
        <v>0</v>
      </c>
      <c r="K24" s="968"/>
      <c r="L24" s="965">
        <f t="shared" si="3"/>
        <v>0</v>
      </c>
      <c r="M24" s="179">
        <f t="shared" si="0"/>
        <v>0</v>
      </c>
      <c r="N24" s="179">
        <f t="shared" si="0"/>
        <v>0</v>
      </c>
      <c r="O24" s="179">
        <f t="shared" si="0"/>
        <v>0</v>
      </c>
      <c r="P24" s="179">
        <f t="shared" si="0"/>
        <v>0</v>
      </c>
      <c r="Q24" s="179">
        <f t="shared" si="0"/>
        <v>0</v>
      </c>
    </row>
    <row r="25" spans="1:18" x14ac:dyDescent="0.25">
      <c r="A25" s="555">
        <f t="shared" si="1"/>
        <v>17</v>
      </c>
      <c r="B25" s="1095" t="s">
        <v>622</v>
      </c>
      <c r="C25" s="1090"/>
      <c r="D25" s="1090">
        <v>0</v>
      </c>
      <c r="E25" s="1093"/>
      <c r="F25" s="1090">
        <v>0</v>
      </c>
      <c r="G25" s="451"/>
      <c r="H25" s="451"/>
      <c r="I25" s="451"/>
      <c r="J25" s="451">
        <f t="shared" si="2"/>
        <v>0</v>
      </c>
      <c r="K25" s="968"/>
      <c r="L25" s="965">
        <f t="shared" si="3"/>
        <v>0</v>
      </c>
      <c r="M25" s="179">
        <f t="shared" si="0"/>
        <v>0</v>
      </c>
      <c r="N25" s="179">
        <f t="shared" si="0"/>
        <v>0</v>
      </c>
      <c r="O25" s="179">
        <f t="shared" si="0"/>
        <v>0</v>
      </c>
      <c r="P25" s="179">
        <f t="shared" si="0"/>
        <v>0</v>
      </c>
      <c r="Q25" s="179">
        <f t="shared" si="0"/>
        <v>0</v>
      </c>
    </row>
    <row r="26" spans="1:18" s="150" customFormat="1" x14ac:dyDescent="0.25">
      <c r="A26" s="555">
        <f t="shared" si="1"/>
        <v>18</v>
      </c>
      <c r="B26" s="1070" t="s">
        <v>668</v>
      </c>
      <c r="C26" s="1090"/>
      <c r="D26" s="1070"/>
      <c r="E26" s="1096"/>
      <c r="F26" s="1090">
        <v>0</v>
      </c>
      <c r="G26" s="451"/>
      <c r="H26" s="451"/>
      <c r="I26" s="451"/>
      <c r="J26" s="451">
        <f t="shared" si="2"/>
        <v>0</v>
      </c>
      <c r="K26" s="968"/>
      <c r="L26" s="965">
        <f t="shared" si="3"/>
        <v>0</v>
      </c>
      <c r="M26" s="179">
        <f t="shared" si="0"/>
        <v>0</v>
      </c>
      <c r="N26" s="179">
        <f t="shared" si="0"/>
        <v>0</v>
      </c>
      <c r="O26" s="179">
        <f t="shared" si="0"/>
        <v>0</v>
      </c>
      <c r="P26" s="179">
        <f t="shared" si="0"/>
        <v>0</v>
      </c>
      <c r="Q26" s="179">
        <f t="shared" si="0"/>
        <v>0</v>
      </c>
      <c r="R26" s="141"/>
    </row>
    <row r="27" spans="1:18" s="150" customFormat="1" x14ac:dyDescent="0.25">
      <c r="A27" s="555">
        <f t="shared" si="1"/>
        <v>19</v>
      </c>
      <c r="B27" s="1070" t="s">
        <v>674</v>
      </c>
      <c r="C27" s="1090"/>
      <c r="D27" s="1070"/>
      <c r="E27" s="1096"/>
      <c r="F27" s="1090">
        <v>0</v>
      </c>
      <c r="G27" s="451"/>
      <c r="H27" s="451"/>
      <c r="I27" s="451"/>
      <c r="J27" s="451">
        <f t="shared" si="2"/>
        <v>0</v>
      </c>
      <c r="K27" s="968"/>
      <c r="L27" s="965">
        <f t="shared" si="3"/>
        <v>0</v>
      </c>
      <c r="M27" s="179">
        <f t="shared" si="3"/>
        <v>0</v>
      </c>
      <c r="N27" s="179">
        <f t="shared" si="3"/>
        <v>0</v>
      </c>
      <c r="O27" s="179">
        <f t="shared" si="3"/>
        <v>0</v>
      </c>
      <c r="P27" s="179">
        <f t="shared" si="3"/>
        <v>0</v>
      </c>
      <c r="Q27" s="179">
        <f t="shared" si="3"/>
        <v>0</v>
      </c>
      <c r="R27" s="141"/>
    </row>
    <row r="28" spans="1:18" s="150" customFormat="1" x14ac:dyDescent="0.25">
      <c r="A28" s="555">
        <f t="shared" si="1"/>
        <v>20</v>
      </c>
      <c r="B28" s="1070" t="s">
        <v>628</v>
      </c>
      <c r="C28" s="1090"/>
      <c r="D28" s="1070"/>
      <c r="E28" s="1096"/>
      <c r="F28" s="1090">
        <v>0</v>
      </c>
      <c r="G28" s="451"/>
      <c r="H28" s="451"/>
      <c r="I28" s="451"/>
      <c r="J28" s="451">
        <f t="shared" si="2"/>
        <v>0</v>
      </c>
      <c r="K28" s="968"/>
      <c r="L28" s="965">
        <f t="shared" si="3"/>
        <v>0</v>
      </c>
      <c r="M28" s="179">
        <f t="shared" si="3"/>
        <v>0</v>
      </c>
      <c r="N28" s="179">
        <f t="shared" si="3"/>
        <v>0</v>
      </c>
      <c r="O28" s="179">
        <f t="shared" si="3"/>
        <v>0</v>
      </c>
      <c r="P28" s="179">
        <f t="shared" si="3"/>
        <v>0</v>
      </c>
      <c r="Q28" s="179">
        <f t="shared" si="3"/>
        <v>0</v>
      </c>
      <c r="R28" s="141"/>
    </row>
    <row r="29" spans="1:18" s="150" customFormat="1" x14ac:dyDescent="0.25">
      <c r="A29" s="555">
        <f t="shared" si="1"/>
        <v>21</v>
      </c>
      <c r="B29" s="1070" t="s">
        <v>667</v>
      </c>
      <c r="C29" s="1090"/>
      <c r="D29" s="1070"/>
      <c r="E29" s="1096"/>
      <c r="F29" s="1090">
        <v>0</v>
      </c>
      <c r="G29" s="451"/>
      <c r="H29" s="451"/>
      <c r="I29" s="451"/>
      <c r="J29" s="451">
        <f t="shared" si="2"/>
        <v>0</v>
      </c>
      <c r="K29" s="968"/>
      <c r="L29" s="965">
        <f t="shared" si="3"/>
        <v>0</v>
      </c>
      <c r="M29" s="179">
        <f t="shared" si="3"/>
        <v>0</v>
      </c>
      <c r="N29" s="179">
        <f t="shared" si="3"/>
        <v>0</v>
      </c>
      <c r="O29" s="179">
        <f t="shared" si="3"/>
        <v>0</v>
      </c>
      <c r="P29" s="179">
        <f t="shared" si="3"/>
        <v>0</v>
      </c>
      <c r="Q29" s="179">
        <f t="shared" si="3"/>
        <v>0</v>
      </c>
      <c r="R29" s="141"/>
    </row>
    <row r="30" spans="1:18" s="150" customFormat="1" x14ac:dyDescent="0.25">
      <c r="A30" s="555">
        <f t="shared" si="1"/>
        <v>22</v>
      </c>
      <c r="B30" s="1070" t="s">
        <v>627</v>
      </c>
      <c r="C30" s="1090"/>
      <c r="D30" s="1070"/>
      <c r="E30" s="1096"/>
      <c r="F30" s="1090">
        <v>0</v>
      </c>
      <c r="G30" s="451"/>
      <c r="H30" s="451"/>
      <c r="I30" s="451"/>
      <c r="J30" s="451">
        <f t="shared" si="2"/>
        <v>0</v>
      </c>
      <c r="K30" s="968"/>
      <c r="L30" s="965">
        <f t="shared" si="3"/>
        <v>0</v>
      </c>
      <c r="M30" s="179">
        <f t="shared" si="3"/>
        <v>0</v>
      </c>
      <c r="N30" s="179">
        <f t="shared" si="3"/>
        <v>0</v>
      </c>
      <c r="O30" s="179">
        <f t="shared" si="3"/>
        <v>0</v>
      </c>
      <c r="P30" s="179">
        <f t="shared" si="3"/>
        <v>0</v>
      </c>
      <c r="Q30" s="179">
        <f t="shared" si="3"/>
        <v>0</v>
      </c>
      <c r="R30" s="141"/>
    </row>
    <row r="31" spans="1:18" s="150" customFormat="1" x14ac:dyDescent="0.25">
      <c r="A31" s="555">
        <f t="shared" si="1"/>
        <v>23</v>
      </c>
      <c r="B31" s="1070" t="s">
        <v>677</v>
      </c>
      <c r="C31" s="1090"/>
      <c r="D31" s="1070"/>
      <c r="E31" s="1096"/>
      <c r="F31" s="1090">
        <v>0</v>
      </c>
      <c r="G31" s="451"/>
      <c r="H31" s="451"/>
      <c r="I31" s="451"/>
      <c r="J31" s="451">
        <f t="shared" si="2"/>
        <v>0</v>
      </c>
      <c r="K31" s="968"/>
      <c r="L31" s="965">
        <f t="shared" si="3"/>
        <v>0</v>
      </c>
      <c r="M31" s="179">
        <f t="shared" si="3"/>
        <v>0</v>
      </c>
      <c r="N31" s="179">
        <f t="shared" si="3"/>
        <v>0</v>
      </c>
      <c r="O31" s="179">
        <f t="shared" si="3"/>
        <v>0</v>
      </c>
      <c r="P31" s="179">
        <f t="shared" si="3"/>
        <v>0</v>
      </c>
      <c r="Q31" s="179">
        <f t="shared" si="3"/>
        <v>0</v>
      </c>
      <c r="R31" s="141"/>
    </row>
    <row r="32" spans="1:18" s="150" customFormat="1" x14ac:dyDescent="0.25">
      <c r="A32" s="555">
        <f t="shared" si="1"/>
        <v>24</v>
      </c>
      <c r="B32" s="1070" t="s">
        <v>630</v>
      </c>
      <c r="C32" s="1090"/>
      <c r="D32" s="1070"/>
      <c r="E32" s="1096"/>
      <c r="F32" s="1090">
        <v>0</v>
      </c>
      <c r="G32" s="451"/>
      <c r="H32" s="451"/>
      <c r="I32" s="451"/>
      <c r="J32" s="451">
        <f t="shared" si="2"/>
        <v>0</v>
      </c>
      <c r="K32" s="968"/>
      <c r="L32" s="965">
        <f t="shared" si="3"/>
        <v>0</v>
      </c>
      <c r="M32" s="179">
        <f t="shared" si="3"/>
        <v>0</v>
      </c>
      <c r="N32" s="179">
        <f t="shared" si="3"/>
        <v>0</v>
      </c>
      <c r="O32" s="179">
        <f t="shared" si="3"/>
        <v>0</v>
      </c>
      <c r="P32" s="179">
        <f t="shared" si="3"/>
        <v>0</v>
      </c>
      <c r="Q32" s="179">
        <f t="shared" si="3"/>
        <v>0</v>
      </c>
      <c r="R32" s="141"/>
    </row>
    <row r="33" spans="1:18" s="150" customFormat="1" x14ac:dyDescent="0.25">
      <c r="A33" s="555">
        <f t="shared" si="1"/>
        <v>25</v>
      </c>
      <c r="B33" s="1070" t="s">
        <v>613</v>
      </c>
      <c r="C33" s="1090"/>
      <c r="D33" s="1070"/>
      <c r="E33" s="1096"/>
      <c r="F33" s="1090">
        <v>30000</v>
      </c>
      <c r="G33" s="451"/>
      <c r="H33" s="451"/>
      <c r="I33" s="451"/>
      <c r="J33" s="451">
        <f t="shared" si="2"/>
        <v>180000</v>
      </c>
      <c r="K33" s="968"/>
      <c r="L33" s="965">
        <f t="shared" si="3"/>
        <v>30000</v>
      </c>
      <c r="M33" s="179">
        <f t="shared" si="3"/>
        <v>30000</v>
      </c>
      <c r="N33" s="179">
        <f t="shared" si="3"/>
        <v>30000</v>
      </c>
      <c r="O33" s="179">
        <f t="shared" si="3"/>
        <v>30000</v>
      </c>
      <c r="P33" s="179">
        <f t="shared" si="3"/>
        <v>30000</v>
      </c>
      <c r="Q33" s="179">
        <f t="shared" si="3"/>
        <v>30000</v>
      </c>
      <c r="R33" s="141"/>
    </row>
    <row r="34" spans="1:18" s="150" customFormat="1" x14ac:dyDescent="0.25">
      <c r="A34" s="555">
        <f t="shared" si="1"/>
        <v>26</v>
      </c>
      <c r="B34" s="1070" t="s">
        <v>614</v>
      </c>
      <c r="C34" s="1090"/>
      <c r="D34" s="1070"/>
      <c r="E34" s="1096"/>
      <c r="F34" s="1090">
        <v>0</v>
      </c>
      <c r="G34" s="451"/>
      <c r="H34" s="451"/>
      <c r="I34" s="451"/>
      <c r="J34" s="451">
        <f t="shared" si="2"/>
        <v>0</v>
      </c>
      <c r="K34" s="968"/>
      <c r="L34" s="965">
        <f t="shared" si="3"/>
        <v>0</v>
      </c>
      <c r="M34" s="179">
        <f t="shared" si="3"/>
        <v>0</v>
      </c>
      <c r="N34" s="179">
        <f t="shared" si="3"/>
        <v>0</v>
      </c>
      <c r="O34" s="179">
        <f t="shared" si="3"/>
        <v>0</v>
      </c>
      <c r="P34" s="179">
        <f t="shared" si="3"/>
        <v>0</v>
      </c>
      <c r="Q34" s="179">
        <f t="shared" si="3"/>
        <v>0</v>
      </c>
      <c r="R34" s="141"/>
    </row>
    <row r="35" spans="1:18" s="150" customFormat="1" x14ac:dyDescent="0.25">
      <c r="A35" s="555">
        <f t="shared" si="1"/>
        <v>27</v>
      </c>
      <c r="B35" s="1070" t="s">
        <v>664</v>
      </c>
      <c r="C35" s="1090"/>
      <c r="D35" s="1070"/>
      <c r="E35" s="1096"/>
      <c r="F35" s="1090">
        <v>0</v>
      </c>
      <c r="G35" s="451"/>
      <c r="H35" s="451"/>
      <c r="I35" s="451"/>
      <c r="J35" s="451">
        <f t="shared" si="2"/>
        <v>0</v>
      </c>
      <c r="K35" s="968">
        <v>0</v>
      </c>
      <c r="L35" s="965">
        <f t="shared" si="3"/>
        <v>0</v>
      </c>
      <c r="M35" s="179">
        <f t="shared" si="3"/>
        <v>0</v>
      </c>
      <c r="N35" s="179">
        <f t="shared" si="3"/>
        <v>0</v>
      </c>
      <c r="O35" s="179">
        <f t="shared" si="3"/>
        <v>0</v>
      </c>
      <c r="P35" s="179">
        <f t="shared" si="3"/>
        <v>0</v>
      </c>
      <c r="Q35" s="179">
        <f t="shared" si="3"/>
        <v>0</v>
      </c>
      <c r="R35" s="141"/>
    </row>
    <row r="36" spans="1:18" s="150" customFormat="1" x14ac:dyDescent="0.25">
      <c r="A36" s="555">
        <f t="shared" si="1"/>
        <v>28</v>
      </c>
      <c r="B36" s="1070" t="s">
        <v>671</v>
      </c>
      <c r="C36" s="1090"/>
      <c r="D36" s="1070"/>
      <c r="E36" s="1096"/>
      <c r="F36" s="1090">
        <v>0</v>
      </c>
      <c r="G36" s="451"/>
      <c r="H36" s="451"/>
      <c r="I36" s="451"/>
      <c r="J36" s="451">
        <f t="shared" si="2"/>
        <v>0</v>
      </c>
      <c r="K36" s="968"/>
      <c r="L36" s="965">
        <f t="shared" si="3"/>
        <v>0</v>
      </c>
      <c r="M36" s="179">
        <f t="shared" si="3"/>
        <v>0</v>
      </c>
      <c r="N36" s="179">
        <f t="shared" si="3"/>
        <v>0</v>
      </c>
      <c r="O36" s="179">
        <f t="shared" si="3"/>
        <v>0</v>
      </c>
      <c r="P36" s="179">
        <f t="shared" si="3"/>
        <v>0</v>
      </c>
      <c r="Q36" s="179">
        <f t="shared" si="3"/>
        <v>0</v>
      </c>
      <c r="R36" s="141"/>
    </row>
    <row r="37" spans="1:18" s="150" customFormat="1" x14ac:dyDescent="0.25">
      <c r="A37" s="555">
        <f t="shared" si="1"/>
        <v>29</v>
      </c>
      <c r="B37" s="1070" t="s">
        <v>672</v>
      </c>
      <c r="C37" s="1090"/>
      <c r="D37" s="1070"/>
      <c r="E37" s="1096"/>
      <c r="F37" s="1090">
        <v>0</v>
      </c>
      <c r="G37" s="451"/>
      <c r="H37" s="451"/>
      <c r="I37" s="451"/>
      <c r="J37" s="451">
        <f t="shared" si="2"/>
        <v>0</v>
      </c>
      <c r="K37" s="968"/>
      <c r="L37" s="965">
        <f t="shared" si="3"/>
        <v>0</v>
      </c>
      <c r="M37" s="179">
        <f t="shared" si="3"/>
        <v>0</v>
      </c>
      <c r="N37" s="179">
        <f t="shared" si="3"/>
        <v>0</v>
      </c>
      <c r="O37" s="179">
        <f t="shared" si="3"/>
        <v>0</v>
      </c>
      <c r="P37" s="179">
        <f t="shared" si="3"/>
        <v>0</v>
      </c>
      <c r="Q37" s="179">
        <f t="shared" si="3"/>
        <v>0</v>
      </c>
      <c r="R37" s="141"/>
    </row>
    <row r="38" spans="1:18" s="150" customFormat="1" x14ac:dyDescent="0.25">
      <c r="A38" s="555">
        <f t="shared" si="1"/>
        <v>30</v>
      </c>
      <c r="B38" s="1070" t="s">
        <v>485</v>
      </c>
      <c r="C38" s="1090"/>
      <c r="D38" s="1070"/>
      <c r="E38" s="1096"/>
      <c r="F38" s="1097"/>
      <c r="G38" s="451"/>
      <c r="H38" s="451"/>
      <c r="I38" s="451"/>
      <c r="J38" s="451">
        <f t="shared" si="2"/>
        <v>0</v>
      </c>
      <c r="K38" s="968"/>
      <c r="L38" s="965">
        <f t="shared" si="3"/>
        <v>0</v>
      </c>
      <c r="M38" s="179">
        <f t="shared" si="3"/>
        <v>0</v>
      </c>
      <c r="N38" s="179">
        <f t="shared" si="3"/>
        <v>0</v>
      </c>
      <c r="O38" s="179">
        <f t="shared" si="3"/>
        <v>0</v>
      </c>
      <c r="P38" s="179">
        <f t="shared" si="3"/>
        <v>0</v>
      </c>
      <c r="Q38" s="179">
        <f t="shared" si="3"/>
        <v>0</v>
      </c>
      <c r="R38" s="141"/>
    </row>
    <row r="39" spans="1:18" s="150" customFormat="1" x14ac:dyDescent="0.25">
      <c r="A39" s="555">
        <f t="shared" si="1"/>
        <v>31</v>
      </c>
      <c r="B39" s="1070" t="s">
        <v>673</v>
      </c>
      <c r="C39" s="1090"/>
      <c r="D39" s="1070"/>
      <c r="E39" s="1096"/>
      <c r="F39" s="1097"/>
      <c r="G39" s="451"/>
      <c r="H39" s="451"/>
      <c r="I39" s="451"/>
      <c r="J39" s="451">
        <f t="shared" si="2"/>
        <v>0</v>
      </c>
      <c r="K39" s="968"/>
      <c r="L39" s="965">
        <f t="shared" si="3"/>
        <v>0</v>
      </c>
      <c r="M39" s="179">
        <f t="shared" si="3"/>
        <v>0</v>
      </c>
      <c r="N39" s="179">
        <f t="shared" si="3"/>
        <v>0</v>
      </c>
      <c r="O39" s="179">
        <f t="shared" si="3"/>
        <v>0</v>
      </c>
      <c r="P39" s="179">
        <f t="shared" si="3"/>
        <v>0</v>
      </c>
      <c r="Q39" s="179">
        <f t="shared" si="3"/>
        <v>0</v>
      </c>
      <c r="R39" s="141"/>
    </row>
    <row r="40" spans="1:18" s="150" customFormat="1" x14ac:dyDescent="0.25">
      <c r="A40" s="555">
        <f t="shared" si="1"/>
        <v>32</v>
      </c>
      <c r="B40" s="1070" t="s">
        <v>484</v>
      </c>
      <c r="C40" s="1090"/>
      <c r="D40" s="1070"/>
      <c r="E40" s="1096"/>
      <c r="F40" s="1097"/>
      <c r="G40" s="451"/>
      <c r="H40" s="451"/>
      <c r="I40" s="451"/>
      <c r="J40" s="451">
        <f t="shared" si="2"/>
        <v>0</v>
      </c>
      <c r="K40" s="968"/>
      <c r="L40" s="965">
        <f t="shared" si="3"/>
        <v>0</v>
      </c>
      <c r="M40" s="179">
        <f t="shared" si="3"/>
        <v>0</v>
      </c>
      <c r="N40" s="179">
        <f t="shared" si="3"/>
        <v>0</v>
      </c>
      <c r="O40" s="179">
        <f t="shared" si="3"/>
        <v>0</v>
      </c>
      <c r="P40" s="179">
        <f t="shared" si="3"/>
        <v>0</v>
      </c>
      <c r="Q40" s="179">
        <f t="shared" si="3"/>
        <v>0</v>
      </c>
      <c r="R40" s="141"/>
    </row>
    <row r="41" spans="1:18" s="150" customFormat="1" x14ac:dyDescent="0.25">
      <c r="A41" s="555">
        <f t="shared" si="1"/>
        <v>33</v>
      </c>
      <c r="B41" s="1070" t="s">
        <v>678</v>
      </c>
      <c r="C41" s="1090"/>
      <c r="D41" s="1070"/>
      <c r="E41" s="1096"/>
      <c r="F41" s="1097"/>
      <c r="G41" s="451"/>
      <c r="H41" s="451"/>
      <c r="I41" s="451"/>
      <c r="J41" s="451">
        <f t="shared" si="2"/>
        <v>0</v>
      </c>
      <c r="K41" s="968"/>
      <c r="L41" s="965">
        <f t="shared" si="3"/>
        <v>0</v>
      </c>
      <c r="M41" s="179">
        <f t="shared" si="3"/>
        <v>0</v>
      </c>
      <c r="N41" s="179">
        <f t="shared" si="3"/>
        <v>0</v>
      </c>
      <c r="O41" s="179">
        <f t="shared" si="3"/>
        <v>0</v>
      </c>
      <c r="P41" s="179">
        <f t="shared" si="3"/>
        <v>0</v>
      </c>
      <c r="Q41" s="179">
        <f t="shared" si="3"/>
        <v>0</v>
      </c>
      <c r="R41" s="141"/>
    </row>
    <row r="42" spans="1:18" s="150" customFormat="1" x14ac:dyDescent="0.25">
      <c r="A42" s="555">
        <f t="shared" si="1"/>
        <v>34</v>
      </c>
      <c r="B42" s="1070" t="s">
        <v>487</v>
      </c>
      <c r="C42" s="1090"/>
      <c r="D42" s="1070"/>
      <c r="E42" s="1096"/>
      <c r="F42" s="1097"/>
      <c r="G42" s="451"/>
      <c r="H42" s="451"/>
      <c r="I42" s="451"/>
      <c r="J42" s="451">
        <f t="shared" si="2"/>
        <v>0</v>
      </c>
      <c r="K42" s="968"/>
      <c r="L42" s="965">
        <f t="shared" si="3"/>
        <v>0</v>
      </c>
      <c r="M42" s="179">
        <f t="shared" si="3"/>
        <v>0</v>
      </c>
      <c r="N42" s="179">
        <f t="shared" si="3"/>
        <v>0</v>
      </c>
      <c r="O42" s="179">
        <f t="shared" si="3"/>
        <v>0</v>
      </c>
      <c r="P42" s="179">
        <f t="shared" si="3"/>
        <v>0</v>
      </c>
      <c r="Q42" s="179">
        <f t="shared" si="3"/>
        <v>0</v>
      </c>
      <c r="R42" s="141"/>
    </row>
    <row r="43" spans="1:18" s="150" customFormat="1" x14ac:dyDescent="0.25">
      <c r="A43" s="555">
        <f t="shared" si="1"/>
        <v>35</v>
      </c>
      <c r="B43" s="1070" t="s">
        <v>670</v>
      </c>
      <c r="C43" s="1090"/>
      <c r="D43" s="1070"/>
      <c r="E43" s="1096"/>
      <c r="F43" s="1097"/>
      <c r="G43" s="451"/>
      <c r="H43" s="451"/>
      <c r="I43" s="451"/>
      <c r="J43" s="451">
        <f t="shared" si="2"/>
        <v>0</v>
      </c>
      <c r="K43" s="968"/>
      <c r="L43" s="965">
        <f t="shared" si="3"/>
        <v>0</v>
      </c>
      <c r="M43" s="179">
        <f t="shared" si="3"/>
        <v>0</v>
      </c>
      <c r="N43" s="179">
        <f t="shared" si="3"/>
        <v>0</v>
      </c>
      <c r="O43" s="179">
        <f t="shared" si="3"/>
        <v>0</v>
      </c>
      <c r="P43" s="179">
        <f t="shared" si="3"/>
        <v>0</v>
      </c>
      <c r="Q43" s="179">
        <f t="shared" si="3"/>
        <v>0</v>
      </c>
      <c r="R43" s="141"/>
    </row>
    <row r="44" spans="1:18" s="150" customFormat="1" x14ac:dyDescent="0.25">
      <c r="A44" s="555">
        <f t="shared" si="1"/>
        <v>36</v>
      </c>
      <c r="B44" s="1070" t="s">
        <v>669</v>
      </c>
      <c r="C44" s="1090"/>
      <c r="D44" s="1070"/>
      <c r="E44" s="1096"/>
      <c r="F44" s="1097"/>
      <c r="G44" s="451"/>
      <c r="H44" s="451"/>
      <c r="I44" s="451"/>
      <c r="J44" s="451">
        <f t="shared" si="2"/>
        <v>0</v>
      </c>
      <c r="K44" s="968"/>
      <c r="L44" s="965">
        <f t="shared" si="3"/>
        <v>0</v>
      </c>
      <c r="M44" s="179">
        <f t="shared" si="3"/>
        <v>0</v>
      </c>
      <c r="N44" s="179">
        <f t="shared" si="3"/>
        <v>0</v>
      </c>
      <c r="O44" s="179">
        <f t="shared" si="3"/>
        <v>0</v>
      </c>
      <c r="P44" s="179">
        <f t="shared" si="3"/>
        <v>0</v>
      </c>
      <c r="Q44" s="179">
        <f t="shared" si="3"/>
        <v>0</v>
      </c>
      <c r="R44" s="141"/>
    </row>
    <row r="45" spans="1:18" s="150" customFormat="1" x14ac:dyDescent="0.25">
      <c r="A45" s="555">
        <f t="shared" si="1"/>
        <v>37</v>
      </c>
      <c r="B45" s="1070" t="s">
        <v>616</v>
      </c>
      <c r="C45" s="1090"/>
      <c r="D45" s="1070"/>
      <c r="E45" s="1096"/>
      <c r="F45" s="1097"/>
      <c r="G45" s="451"/>
      <c r="H45" s="451"/>
      <c r="I45" s="451"/>
      <c r="J45" s="451">
        <f t="shared" si="2"/>
        <v>0</v>
      </c>
      <c r="K45" s="968"/>
      <c r="L45" s="965">
        <f t="shared" si="3"/>
        <v>0</v>
      </c>
      <c r="M45" s="179">
        <f t="shared" si="3"/>
        <v>0</v>
      </c>
      <c r="N45" s="179">
        <f t="shared" si="3"/>
        <v>0</v>
      </c>
      <c r="O45" s="179">
        <f t="shared" si="3"/>
        <v>0</v>
      </c>
      <c r="P45" s="179">
        <f t="shared" si="3"/>
        <v>0</v>
      </c>
      <c r="Q45" s="179">
        <f t="shared" si="3"/>
        <v>0</v>
      </c>
      <c r="R45" s="141"/>
    </row>
    <row r="46" spans="1:18" s="150" customFormat="1" x14ac:dyDescent="0.25">
      <c r="A46" s="555">
        <f t="shared" si="1"/>
        <v>38</v>
      </c>
      <c r="B46" s="1070" t="s">
        <v>615</v>
      </c>
      <c r="C46" s="1090"/>
      <c r="D46" s="1070"/>
      <c r="E46" s="1096"/>
      <c r="F46" s="1097"/>
      <c r="G46" s="451"/>
      <c r="H46" s="451"/>
      <c r="I46" s="451"/>
      <c r="J46" s="451">
        <f t="shared" si="2"/>
        <v>0</v>
      </c>
      <c r="K46" s="968"/>
      <c r="L46" s="965">
        <f t="shared" si="3"/>
        <v>0</v>
      </c>
      <c r="M46" s="179">
        <f t="shared" si="3"/>
        <v>0</v>
      </c>
      <c r="N46" s="179">
        <f t="shared" si="3"/>
        <v>0</v>
      </c>
      <c r="O46" s="179">
        <f t="shared" si="3"/>
        <v>0</v>
      </c>
      <c r="P46" s="179">
        <f t="shared" si="3"/>
        <v>0</v>
      </c>
      <c r="Q46" s="179">
        <f t="shared" si="3"/>
        <v>0</v>
      </c>
      <c r="R46" s="141"/>
    </row>
    <row r="47" spans="1:18" s="150" customFormat="1" x14ac:dyDescent="0.25">
      <c r="A47" s="555">
        <f t="shared" si="1"/>
        <v>39</v>
      </c>
      <c r="B47" s="1070" t="s">
        <v>659</v>
      </c>
      <c r="C47" s="1090"/>
      <c r="D47" s="1070"/>
      <c r="E47" s="1096"/>
      <c r="F47" s="1097"/>
      <c r="G47" s="451"/>
      <c r="H47" s="451"/>
      <c r="I47" s="451"/>
      <c r="J47" s="451">
        <f t="shared" si="2"/>
        <v>0</v>
      </c>
      <c r="K47" s="968"/>
      <c r="L47" s="965">
        <f t="shared" si="3"/>
        <v>0</v>
      </c>
      <c r="M47" s="179">
        <f t="shared" si="3"/>
        <v>0</v>
      </c>
      <c r="N47" s="179">
        <f t="shared" si="3"/>
        <v>0</v>
      </c>
      <c r="O47" s="179">
        <f t="shared" si="3"/>
        <v>0</v>
      </c>
      <c r="P47" s="179">
        <f t="shared" si="3"/>
        <v>0</v>
      </c>
      <c r="Q47" s="179">
        <f t="shared" si="3"/>
        <v>0</v>
      </c>
      <c r="R47" s="141"/>
    </row>
    <row r="48" spans="1:18" s="150" customFormat="1" x14ac:dyDescent="0.25">
      <c r="A48" s="555">
        <f t="shared" si="1"/>
        <v>40</v>
      </c>
      <c r="B48" s="1070" t="s">
        <v>658</v>
      </c>
      <c r="C48" s="1090"/>
      <c r="D48" s="1070"/>
      <c r="E48" s="1096"/>
      <c r="F48" s="1097"/>
      <c r="G48" s="451"/>
      <c r="H48" s="451"/>
      <c r="I48" s="451"/>
      <c r="J48" s="451">
        <f t="shared" si="2"/>
        <v>0</v>
      </c>
      <c r="K48" s="968"/>
      <c r="L48" s="965">
        <f t="shared" si="3"/>
        <v>0</v>
      </c>
      <c r="M48" s="179">
        <f t="shared" si="3"/>
        <v>0</v>
      </c>
      <c r="N48" s="179">
        <f t="shared" si="3"/>
        <v>0</v>
      </c>
      <c r="O48" s="179">
        <f t="shared" si="3"/>
        <v>0</v>
      </c>
      <c r="P48" s="179">
        <f t="shared" si="3"/>
        <v>0</v>
      </c>
      <c r="Q48" s="179">
        <f t="shared" si="3"/>
        <v>0</v>
      </c>
      <c r="R48" s="141"/>
    </row>
    <row r="49" spans="1:18" s="150" customFormat="1" x14ac:dyDescent="0.25">
      <c r="A49" s="555">
        <f t="shared" si="1"/>
        <v>41</v>
      </c>
      <c r="B49" s="1070" t="s">
        <v>617</v>
      </c>
      <c r="C49" s="1098"/>
      <c r="D49" s="1070"/>
      <c r="E49" s="1096"/>
      <c r="F49" s="1097"/>
      <c r="G49" s="451"/>
      <c r="H49" s="451"/>
      <c r="I49" s="451"/>
      <c r="J49" s="451">
        <f t="shared" si="2"/>
        <v>0</v>
      </c>
      <c r="K49" s="968"/>
      <c r="L49" s="965">
        <f t="shared" si="3"/>
        <v>0</v>
      </c>
      <c r="M49" s="179">
        <f t="shared" si="3"/>
        <v>0</v>
      </c>
      <c r="N49" s="179">
        <f t="shared" si="3"/>
        <v>0</v>
      </c>
      <c r="O49" s="179">
        <f t="shared" si="3"/>
        <v>0</v>
      </c>
      <c r="P49" s="179">
        <f t="shared" si="3"/>
        <v>0</v>
      </c>
      <c r="Q49" s="179">
        <f t="shared" si="3"/>
        <v>0</v>
      </c>
      <c r="R49" s="141"/>
    </row>
    <row r="50" spans="1:18" s="150" customFormat="1" x14ac:dyDescent="0.25">
      <c r="A50" s="555">
        <f t="shared" si="1"/>
        <v>42</v>
      </c>
      <c r="B50" s="1070" t="s">
        <v>663</v>
      </c>
      <c r="C50" s="1090"/>
      <c r="D50" s="1070"/>
      <c r="E50" s="1096"/>
      <c r="F50" s="1097"/>
      <c r="G50" s="451"/>
      <c r="H50" s="451"/>
      <c r="I50" s="451"/>
      <c r="J50" s="451">
        <f t="shared" si="2"/>
        <v>0</v>
      </c>
      <c r="K50" s="968"/>
      <c r="L50" s="965">
        <f t="shared" si="3"/>
        <v>0</v>
      </c>
      <c r="M50" s="179">
        <f t="shared" si="3"/>
        <v>0</v>
      </c>
      <c r="N50" s="179">
        <f t="shared" si="3"/>
        <v>0</v>
      </c>
      <c r="O50" s="179">
        <f t="shared" si="3"/>
        <v>0</v>
      </c>
      <c r="P50" s="179">
        <f t="shared" si="3"/>
        <v>0</v>
      </c>
      <c r="Q50" s="179">
        <f t="shared" si="3"/>
        <v>0</v>
      </c>
      <c r="R50" s="141"/>
    </row>
    <row r="51" spans="1:18" s="150" customFormat="1" x14ac:dyDescent="0.25">
      <c r="A51" s="555">
        <f t="shared" si="1"/>
        <v>43</v>
      </c>
      <c r="B51" s="1070" t="s">
        <v>665</v>
      </c>
      <c r="C51" s="1090"/>
      <c r="D51" s="1070"/>
      <c r="E51" s="1096"/>
      <c r="F51" s="1097"/>
      <c r="G51" s="451"/>
      <c r="H51" s="451"/>
      <c r="I51" s="451"/>
      <c r="J51" s="451">
        <f t="shared" si="2"/>
        <v>0</v>
      </c>
      <c r="K51" s="968"/>
      <c r="L51" s="965">
        <f t="shared" si="3"/>
        <v>0</v>
      </c>
      <c r="M51" s="179">
        <f t="shared" si="3"/>
        <v>0</v>
      </c>
      <c r="N51" s="179">
        <f t="shared" si="3"/>
        <v>0</v>
      </c>
      <c r="O51" s="179">
        <f t="shared" si="3"/>
        <v>0</v>
      </c>
      <c r="P51" s="179">
        <f t="shared" si="3"/>
        <v>0</v>
      </c>
      <c r="Q51" s="179">
        <f t="shared" si="3"/>
        <v>0</v>
      </c>
      <c r="R51" s="141"/>
    </row>
    <row r="52" spans="1:18" s="150" customFormat="1" x14ac:dyDescent="0.25">
      <c r="A52" s="555">
        <f t="shared" si="1"/>
        <v>44</v>
      </c>
      <c r="B52" s="1070" t="s">
        <v>629</v>
      </c>
      <c r="C52" s="1090"/>
      <c r="D52" s="1070"/>
      <c r="E52" s="1096"/>
      <c r="F52" s="1097"/>
      <c r="G52" s="451"/>
      <c r="H52" s="451"/>
      <c r="I52" s="451"/>
      <c r="J52" s="451">
        <f t="shared" si="2"/>
        <v>0</v>
      </c>
      <c r="K52" s="968"/>
      <c r="L52" s="965">
        <f t="shared" si="3"/>
        <v>0</v>
      </c>
      <c r="M52" s="179">
        <f t="shared" si="3"/>
        <v>0</v>
      </c>
      <c r="N52" s="179">
        <f t="shared" si="3"/>
        <v>0</v>
      </c>
      <c r="O52" s="179">
        <f t="shared" si="3"/>
        <v>0</v>
      </c>
      <c r="P52" s="179">
        <f t="shared" si="3"/>
        <v>0</v>
      </c>
      <c r="Q52" s="179">
        <f t="shared" si="3"/>
        <v>0</v>
      </c>
      <c r="R52" s="141"/>
    </row>
    <row r="53" spans="1:18" s="150" customFormat="1" x14ac:dyDescent="0.25">
      <c r="A53" s="555">
        <f t="shared" si="1"/>
        <v>45</v>
      </c>
      <c r="B53" s="1070" t="s">
        <v>660</v>
      </c>
      <c r="C53" s="1090"/>
      <c r="D53" s="1070"/>
      <c r="E53" s="1096"/>
      <c r="F53" s="1097"/>
      <c r="G53" s="451"/>
      <c r="H53" s="451"/>
      <c r="I53" s="451"/>
      <c r="J53" s="451">
        <f t="shared" si="2"/>
        <v>0</v>
      </c>
      <c r="K53" s="968"/>
      <c r="L53" s="965">
        <f t="shared" si="3"/>
        <v>0</v>
      </c>
      <c r="M53" s="179">
        <f t="shared" si="3"/>
        <v>0</v>
      </c>
      <c r="N53" s="179">
        <f t="shared" si="3"/>
        <v>0</v>
      </c>
      <c r="O53" s="179">
        <f t="shared" si="3"/>
        <v>0</v>
      </c>
      <c r="P53" s="179">
        <f t="shared" si="3"/>
        <v>0</v>
      </c>
      <c r="Q53" s="179">
        <f t="shared" si="3"/>
        <v>0</v>
      </c>
      <c r="R53" s="141"/>
    </row>
    <row r="54" spans="1:18" s="150" customFormat="1" x14ac:dyDescent="0.25">
      <c r="A54" s="555">
        <f t="shared" si="1"/>
        <v>46</v>
      </c>
      <c r="B54" s="1070" t="s">
        <v>686</v>
      </c>
      <c r="C54" s="1090"/>
      <c r="D54" s="1070"/>
      <c r="E54" s="1096"/>
      <c r="F54" s="1097"/>
      <c r="G54" s="451"/>
      <c r="H54" s="451"/>
      <c r="I54" s="451"/>
      <c r="J54" s="451">
        <f t="shared" si="2"/>
        <v>0</v>
      </c>
      <c r="K54" s="968"/>
      <c r="L54" s="965">
        <f t="shared" si="3"/>
        <v>0</v>
      </c>
      <c r="M54" s="179">
        <f t="shared" si="3"/>
        <v>0</v>
      </c>
      <c r="N54" s="179">
        <f t="shared" si="3"/>
        <v>0</v>
      </c>
      <c r="O54" s="179">
        <f t="shared" si="3"/>
        <v>0</v>
      </c>
      <c r="P54" s="179">
        <f t="shared" si="3"/>
        <v>0</v>
      </c>
      <c r="Q54" s="179">
        <f t="shared" si="3"/>
        <v>0</v>
      </c>
      <c r="R54" s="141"/>
    </row>
    <row r="55" spans="1:18" s="150" customFormat="1" x14ac:dyDescent="0.25">
      <c r="A55" s="555">
        <f t="shared" si="1"/>
        <v>47</v>
      </c>
      <c r="B55" s="1070" t="s">
        <v>686</v>
      </c>
      <c r="C55" s="1090"/>
      <c r="D55" s="1070"/>
      <c r="E55" s="1096"/>
      <c r="F55" s="1097"/>
      <c r="G55" s="451"/>
      <c r="H55" s="451"/>
      <c r="I55" s="451"/>
      <c r="J55" s="451">
        <f t="shared" si="2"/>
        <v>0</v>
      </c>
      <c r="K55" s="968"/>
      <c r="L55" s="965">
        <f t="shared" si="3"/>
        <v>0</v>
      </c>
      <c r="M55" s="179">
        <f t="shared" si="3"/>
        <v>0</v>
      </c>
      <c r="N55" s="179">
        <f t="shared" si="3"/>
        <v>0</v>
      </c>
      <c r="O55" s="179">
        <f t="shared" si="3"/>
        <v>0</v>
      </c>
      <c r="P55" s="179">
        <f t="shared" si="3"/>
        <v>0</v>
      </c>
      <c r="Q55" s="179">
        <f t="shared" si="3"/>
        <v>0</v>
      </c>
      <c r="R55" s="141"/>
    </row>
    <row r="56" spans="1:18" s="150" customFormat="1" x14ac:dyDescent="0.25">
      <c r="A56" s="555">
        <f t="shared" si="1"/>
        <v>48</v>
      </c>
      <c r="B56" s="1070" t="s">
        <v>686</v>
      </c>
      <c r="C56" s="1090"/>
      <c r="D56" s="1070"/>
      <c r="E56" s="1096"/>
      <c r="F56" s="1097"/>
      <c r="G56" s="451"/>
      <c r="H56" s="451"/>
      <c r="I56" s="451"/>
      <c r="J56" s="451">
        <f t="shared" si="2"/>
        <v>0</v>
      </c>
      <c r="K56" s="968"/>
      <c r="L56" s="965">
        <f t="shared" si="3"/>
        <v>0</v>
      </c>
      <c r="M56" s="179">
        <f t="shared" si="3"/>
        <v>0</v>
      </c>
      <c r="N56" s="179">
        <f t="shared" si="3"/>
        <v>0</v>
      </c>
      <c r="O56" s="179">
        <f t="shared" si="3"/>
        <v>0</v>
      </c>
      <c r="P56" s="179">
        <f t="shared" si="3"/>
        <v>0</v>
      </c>
      <c r="Q56" s="179">
        <f t="shared" si="3"/>
        <v>0</v>
      </c>
      <c r="R56" s="141"/>
    </row>
    <row r="57" spans="1:18" s="150" customFormat="1" x14ac:dyDescent="0.25">
      <c r="A57" s="555">
        <f t="shared" si="1"/>
        <v>49</v>
      </c>
      <c r="B57" s="1070" t="s">
        <v>686</v>
      </c>
      <c r="C57" s="1090"/>
      <c r="D57" s="1070"/>
      <c r="E57" s="1096"/>
      <c r="F57" s="1097"/>
      <c r="G57" s="451"/>
      <c r="H57" s="451"/>
      <c r="I57" s="451"/>
      <c r="J57" s="451">
        <f t="shared" si="2"/>
        <v>0</v>
      </c>
      <c r="K57" s="968"/>
      <c r="L57" s="965">
        <f t="shared" si="3"/>
        <v>0</v>
      </c>
      <c r="M57" s="179">
        <f t="shared" si="3"/>
        <v>0</v>
      </c>
      <c r="N57" s="179">
        <f t="shared" si="3"/>
        <v>0</v>
      </c>
      <c r="O57" s="179">
        <f t="shared" si="3"/>
        <v>0</v>
      </c>
      <c r="P57" s="179">
        <f t="shared" si="3"/>
        <v>0</v>
      </c>
      <c r="Q57" s="179">
        <f t="shared" si="3"/>
        <v>0</v>
      </c>
      <c r="R57" s="141"/>
    </row>
    <row r="58" spans="1:18" s="150" customFormat="1" x14ac:dyDescent="0.25">
      <c r="A58" s="555">
        <f t="shared" si="1"/>
        <v>50</v>
      </c>
      <c r="B58" s="1070" t="s">
        <v>686</v>
      </c>
      <c r="C58" s="1070"/>
      <c r="D58" s="1070"/>
      <c r="E58" s="1096"/>
      <c r="F58" s="1097">
        <v>0</v>
      </c>
      <c r="G58" s="451"/>
      <c r="H58" s="451"/>
      <c r="I58" s="451"/>
      <c r="J58" s="451">
        <f t="shared" si="2"/>
        <v>0</v>
      </c>
      <c r="K58" s="969"/>
      <c r="L58" s="965">
        <f t="shared" ref="L58:Q58" si="4">+$F58</f>
        <v>0</v>
      </c>
      <c r="M58" s="179">
        <f t="shared" si="4"/>
        <v>0</v>
      </c>
      <c r="N58" s="179">
        <f t="shared" si="4"/>
        <v>0</v>
      </c>
      <c r="O58" s="179">
        <f t="shared" si="4"/>
        <v>0</v>
      </c>
      <c r="P58" s="179">
        <f t="shared" si="4"/>
        <v>0</v>
      </c>
      <c r="Q58" s="179">
        <f t="shared" si="4"/>
        <v>0</v>
      </c>
      <c r="R58" s="141"/>
    </row>
    <row r="59" spans="1:18" ht="15.75" x14ac:dyDescent="0.25">
      <c r="F59" s="455">
        <f>SUM(F9:F58)</f>
        <v>30000</v>
      </c>
      <c r="G59" s="456"/>
      <c r="H59" s="456"/>
      <c r="I59" s="456"/>
      <c r="J59" s="970">
        <f t="shared" ref="J59:Q59" si="5">SUM(J9:J58)</f>
        <v>180000</v>
      </c>
      <c r="K59" s="971">
        <f t="shared" si="5"/>
        <v>0</v>
      </c>
      <c r="L59" s="972">
        <f t="shared" si="5"/>
        <v>30000</v>
      </c>
      <c r="M59" s="970">
        <f t="shared" si="5"/>
        <v>30000</v>
      </c>
      <c r="N59" s="970">
        <f t="shared" si="5"/>
        <v>30000</v>
      </c>
      <c r="O59" s="970">
        <f t="shared" si="5"/>
        <v>30000</v>
      </c>
      <c r="P59" s="970">
        <f t="shared" si="5"/>
        <v>30000</v>
      </c>
      <c r="Q59" s="970">
        <f t="shared" si="5"/>
        <v>30000</v>
      </c>
    </row>
    <row r="60" spans="1:18" x14ac:dyDescent="0.25">
      <c r="B60" s="812" t="s">
        <v>754</v>
      </c>
    </row>
    <row r="61" spans="1:18" x14ac:dyDescent="0.25">
      <c r="B61" s="812" t="s">
        <v>780</v>
      </c>
    </row>
    <row r="62" spans="1:18" x14ac:dyDescent="0.25">
      <c r="B62" s="812" t="s">
        <v>755</v>
      </c>
    </row>
  </sheetData>
  <sheetProtection algorithmName="SHA-512" hashValue="E1aJZDj/o8qASCnsOtyUKF6Dfz2b1L0cBA6YBYBLi8rvpKI1GwrTgaL+6Qpp+rx7WiBoiSTYvznp8Ho2YktCyA==" saltValue="ii4A1wc4tk36sYPUeHpisw==" spinCount="100000" sheet="1" selectLockedCells="1"/>
  <pageMargins left="0.25" right="0.25" top="0.5" bottom="0.45" header="0.25" footer="0.25"/>
  <pageSetup scale="61" fitToHeight="2" orientation="landscape" r:id="rId1"/>
  <headerFooter>
    <oddHeader xml:space="preserve">&amp;L &amp;C &amp;R </oddHeader>
    <oddFooter>&amp;L&amp;7&amp;D  at &amp;T Mike 702.486.8879&amp;C&amp;7&amp;F  &amp;A&amp;R&amp;7Page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L94"/>
  <sheetViews>
    <sheetView zoomScale="70" zoomScaleNormal="70" zoomScaleSheetLayoutView="85" workbookViewId="0">
      <selection activeCell="O25" sqref="O25"/>
    </sheetView>
  </sheetViews>
  <sheetFormatPr defaultColWidth="8.85546875" defaultRowHeight="12.75" x14ac:dyDescent="0.2"/>
  <cols>
    <col min="1" max="1" width="3.140625" style="11" customWidth="1"/>
    <col min="2" max="2" width="30.140625" style="11" customWidth="1"/>
    <col min="3" max="3" width="16.7109375" style="11" customWidth="1"/>
    <col min="4" max="4" width="15.28515625" style="11" bestFit="1" customWidth="1"/>
    <col min="5" max="5" width="13.7109375" style="11" customWidth="1"/>
    <col min="6" max="6" width="3.7109375" style="11" customWidth="1"/>
    <col min="7" max="16384" width="8.85546875" style="11"/>
  </cols>
  <sheetData>
    <row r="1" spans="1:12" ht="18" x14ac:dyDescent="0.25">
      <c r="A1" s="66" t="s">
        <v>762</v>
      </c>
      <c r="B1" s="65"/>
      <c r="C1" s="65"/>
    </row>
    <row r="2" spans="1:12" ht="15.75" x14ac:dyDescent="0.25">
      <c r="A2" s="71" t="s">
        <v>401</v>
      </c>
      <c r="B2" s="70"/>
      <c r="C2" s="70"/>
    </row>
    <row r="3" spans="1:12" x14ac:dyDescent="0.2">
      <c r="A3" s="15" t="s">
        <v>416</v>
      </c>
    </row>
    <row r="4" spans="1:12" x14ac:dyDescent="0.2">
      <c r="A4" s="14" t="s">
        <v>415</v>
      </c>
    </row>
    <row r="5" spans="1:12" x14ac:dyDescent="0.2">
      <c r="A5" s="13" t="str">
        <f ca="1">CELL("filename")</f>
        <v>C:\Users\Kyle.McOmber\Work Folders\Desktop\Alaka'i Appeal Submissions\Second Submission\[Copy of Attachment 16 - Financial Plan Workbook - AHA (002).xlsx]Market</v>
      </c>
    </row>
    <row r="6" spans="1:12" x14ac:dyDescent="0.2">
      <c r="A6" s="12"/>
      <c r="B6" s="12"/>
      <c r="C6" s="12"/>
      <c r="D6" s="12"/>
      <c r="E6" s="12"/>
      <c r="F6" s="12"/>
      <c r="G6" s="12"/>
      <c r="H6" s="12"/>
      <c r="I6" s="12"/>
      <c r="J6" s="12"/>
      <c r="K6" s="12"/>
      <c r="L6" s="12"/>
    </row>
    <row r="7" spans="1:12" x14ac:dyDescent="0.2">
      <c r="A7" s="12"/>
      <c r="B7" s="12"/>
      <c r="C7" s="12"/>
      <c r="D7" s="12"/>
      <c r="E7" s="828">
        <f>+'Enrol Staff &amp; Exp'!H6-2</f>
        <v>2018</v>
      </c>
      <c r="F7" s="12"/>
      <c r="G7" s="12"/>
      <c r="H7" s="12"/>
      <c r="I7" s="12"/>
      <c r="J7" s="12"/>
      <c r="K7" s="12"/>
      <c r="L7" s="12"/>
    </row>
    <row r="8" spans="1:12" x14ac:dyDescent="0.2">
      <c r="A8" s="12"/>
      <c r="B8" s="12"/>
      <c r="C8" s="12"/>
      <c r="D8" s="12"/>
      <c r="E8" s="829">
        <f>+E7+1</f>
        <v>2019</v>
      </c>
      <c r="F8" s="12"/>
      <c r="G8" s="12"/>
      <c r="H8" s="12"/>
      <c r="I8" s="12"/>
      <c r="J8" s="12"/>
      <c r="K8" s="12"/>
      <c r="L8" s="12"/>
    </row>
    <row r="9" spans="1:12" ht="14.25" customHeight="1" x14ac:dyDescent="0.2">
      <c r="A9" s="12"/>
      <c r="B9" s="1441" t="s">
        <v>763</v>
      </c>
      <c r="C9" s="1442"/>
      <c r="D9" s="1442"/>
      <c r="E9" s="1443"/>
      <c r="F9" s="12"/>
      <c r="G9" s="12"/>
      <c r="H9" s="12"/>
      <c r="I9" s="12"/>
      <c r="J9" s="12"/>
      <c r="K9" s="12"/>
      <c r="L9" s="12"/>
    </row>
    <row r="10" spans="1:12" ht="42.75" x14ac:dyDescent="0.2">
      <c r="A10" s="12"/>
      <c r="B10" s="34" t="s">
        <v>417</v>
      </c>
      <c r="C10" s="35" t="s">
        <v>418</v>
      </c>
      <c r="D10" s="35" t="s">
        <v>442</v>
      </c>
      <c r="E10" s="36" t="s">
        <v>764</v>
      </c>
      <c r="F10" s="12"/>
      <c r="G10" s="12"/>
      <c r="H10" s="12"/>
      <c r="I10" s="12"/>
      <c r="J10" s="12"/>
      <c r="K10" s="12"/>
      <c r="L10" s="12"/>
    </row>
    <row r="11" spans="1:12" ht="15" x14ac:dyDescent="0.25">
      <c r="A11" s="12"/>
      <c r="B11" s="793" t="s">
        <v>422</v>
      </c>
      <c r="C11" s="999">
        <v>0</v>
      </c>
      <c r="D11" s="1004">
        <v>0</v>
      </c>
      <c r="E11" s="28">
        <f t="shared" ref="E11:E18" si="0">C11*D11</f>
        <v>0</v>
      </c>
      <c r="F11" s="12"/>
      <c r="G11" s="12"/>
      <c r="H11" s="12"/>
      <c r="I11" s="12"/>
      <c r="J11" s="12"/>
      <c r="K11" s="12"/>
      <c r="L11" s="12"/>
    </row>
    <row r="12" spans="1:12" ht="15" x14ac:dyDescent="0.25">
      <c r="A12" s="12"/>
      <c r="B12" s="794" t="s">
        <v>364</v>
      </c>
      <c r="C12" s="1000">
        <v>0</v>
      </c>
      <c r="D12" s="1002">
        <v>0</v>
      </c>
      <c r="E12" s="29">
        <f t="shared" si="0"/>
        <v>0</v>
      </c>
      <c r="F12" s="12"/>
      <c r="G12" s="12"/>
      <c r="H12" s="12"/>
      <c r="I12" s="12"/>
      <c r="J12" s="12"/>
      <c r="K12" s="12"/>
      <c r="L12" s="12"/>
    </row>
    <row r="13" spans="1:12" ht="15" x14ac:dyDescent="0.25">
      <c r="A13" s="12"/>
      <c r="B13" s="794" t="s">
        <v>423</v>
      </c>
      <c r="C13" s="1000">
        <v>0</v>
      </c>
      <c r="D13" s="1002">
        <v>0</v>
      </c>
      <c r="E13" s="29">
        <f t="shared" si="0"/>
        <v>0</v>
      </c>
      <c r="F13" s="12"/>
      <c r="G13" s="12"/>
      <c r="H13" s="12"/>
      <c r="I13" s="12"/>
      <c r="J13" s="12"/>
      <c r="K13" s="12"/>
      <c r="L13" s="12"/>
    </row>
    <row r="14" spans="1:12" ht="15" x14ac:dyDescent="0.25">
      <c r="A14" s="12"/>
      <c r="B14" s="794" t="s">
        <v>424</v>
      </c>
      <c r="C14" s="1001">
        <v>0</v>
      </c>
      <c r="D14" s="1003">
        <v>0</v>
      </c>
      <c r="E14" s="29">
        <f t="shared" si="0"/>
        <v>0</v>
      </c>
      <c r="F14" s="12"/>
      <c r="G14" s="12"/>
      <c r="H14" s="12"/>
      <c r="I14" s="12"/>
      <c r="J14" s="12"/>
      <c r="K14" s="12"/>
      <c r="L14" s="12"/>
    </row>
    <row r="15" spans="1:12" ht="15" x14ac:dyDescent="0.25">
      <c r="A15" s="12"/>
      <c r="B15" s="795" t="s">
        <v>421</v>
      </c>
      <c r="C15" s="1001">
        <v>0</v>
      </c>
      <c r="D15" s="1003">
        <v>0</v>
      </c>
      <c r="E15" s="29">
        <f t="shared" si="0"/>
        <v>0</v>
      </c>
      <c r="F15" s="12"/>
      <c r="G15" s="12"/>
      <c r="H15" s="12"/>
      <c r="I15" s="12"/>
      <c r="J15" s="12"/>
      <c r="K15" s="12"/>
      <c r="L15" s="12"/>
    </row>
    <row r="16" spans="1:12" ht="15" x14ac:dyDescent="0.25">
      <c r="A16" s="12"/>
      <c r="B16" s="795" t="s">
        <v>419</v>
      </c>
      <c r="C16" s="1001">
        <v>0</v>
      </c>
      <c r="D16" s="1003">
        <v>0</v>
      </c>
      <c r="E16" s="29">
        <f t="shared" si="0"/>
        <v>0</v>
      </c>
      <c r="F16" s="12"/>
      <c r="G16" s="12"/>
      <c r="H16" s="12"/>
      <c r="I16" s="12"/>
      <c r="J16" s="12"/>
      <c r="K16" s="12"/>
      <c r="L16" s="12"/>
    </row>
    <row r="17" spans="1:12" ht="15" x14ac:dyDescent="0.25">
      <c r="A17" s="12"/>
      <c r="B17" s="795" t="s">
        <v>420</v>
      </c>
      <c r="C17" s="1001">
        <v>0</v>
      </c>
      <c r="D17" s="1003">
        <v>0</v>
      </c>
      <c r="E17" s="29">
        <f t="shared" si="0"/>
        <v>0</v>
      </c>
      <c r="F17" s="12"/>
      <c r="G17" s="12"/>
      <c r="H17" s="12"/>
      <c r="I17" s="12"/>
      <c r="J17" s="12"/>
      <c r="K17" s="12"/>
      <c r="L17" s="12"/>
    </row>
    <row r="18" spans="1:12" ht="15" x14ac:dyDescent="0.25">
      <c r="A18" s="12"/>
      <c r="B18" s="796"/>
      <c r="C18" s="797"/>
      <c r="D18" s="798"/>
      <c r="E18" s="30">
        <f t="shared" si="0"/>
        <v>0</v>
      </c>
      <c r="F18" s="12"/>
      <c r="G18" s="12"/>
      <c r="H18" s="12"/>
      <c r="I18" s="12"/>
      <c r="J18" s="12"/>
      <c r="K18" s="12"/>
      <c r="L18" s="12"/>
    </row>
    <row r="19" spans="1:12" ht="15" x14ac:dyDescent="0.25">
      <c r="A19" s="12"/>
      <c r="B19" s="1082" t="s">
        <v>307</v>
      </c>
      <c r="C19" s="1083"/>
      <c r="D19" s="1084"/>
      <c r="E19" s="831">
        <f>SUM(E11:E18)</f>
        <v>0</v>
      </c>
      <c r="F19" s="42"/>
      <c r="G19" s="12"/>
      <c r="H19" s="12"/>
      <c r="I19" s="12"/>
      <c r="J19" s="12"/>
      <c r="K19" s="12"/>
      <c r="L19" s="12"/>
    </row>
    <row r="20" spans="1:12" ht="15" x14ac:dyDescent="0.25">
      <c r="A20" s="12"/>
      <c r="B20" s="1085"/>
      <c r="C20" s="1086"/>
      <c r="D20" s="1087"/>
      <c r="E20" s="832"/>
      <c r="F20" s="42"/>
      <c r="G20" s="12"/>
      <c r="H20" s="12"/>
      <c r="I20" s="12"/>
      <c r="J20" s="12"/>
      <c r="K20" s="12"/>
      <c r="L20" s="12"/>
    </row>
    <row r="21" spans="1:12" ht="15" x14ac:dyDescent="0.25">
      <c r="A21" s="12"/>
      <c r="B21" s="833" t="s">
        <v>425</v>
      </c>
      <c r="C21" s="834">
        <v>0</v>
      </c>
      <c r="D21" s="835"/>
      <c r="E21" s="836">
        <f>+$E$19*C21</f>
        <v>0</v>
      </c>
      <c r="F21" s="12"/>
      <c r="G21" s="12"/>
      <c r="H21" s="12"/>
      <c r="I21" s="12"/>
      <c r="J21" s="12"/>
      <c r="K21" s="12"/>
      <c r="L21" s="12"/>
    </row>
    <row r="22" spans="1:12" ht="15" x14ac:dyDescent="0.25">
      <c r="A22" s="12"/>
      <c r="B22" s="786" t="s">
        <v>426</v>
      </c>
      <c r="C22" s="799">
        <v>0</v>
      </c>
      <c r="D22" s="644"/>
      <c r="E22" s="29">
        <f>+$E$19*C22</f>
        <v>0</v>
      </c>
      <c r="F22" s="12"/>
      <c r="G22" s="12"/>
      <c r="H22" s="12"/>
      <c r="I22" s="12"/>
      <c r="J22" s="12"/>
      <c r="K22" s="12"/>
      <c r="L22" s="12"/>
    </row>
    <row r="23" spans="1:12" ht="15" x14ac:dyDescent="0.25">
      <c r="A23" s="12"/>
      <c r="B23" s="800" t="s">
        <v>980</v>
      </c>
      <c r="C23" s="801"/>
      <c r="D23" s="802">
        <f>D42</f>
        <v>26250</v>
      </c>
      <c r="E23" s="30">
        <f>+D23</f>
        <v>26250</v>
      </c>
      <c r="F23" s="12"/>
      <c r="G23" s="12"/>
      <c r="H23" s="12"/>
      <c r="I23" s="12"/>
      <c r="J23" s="12"/>
      <c r="K23" s="12"/>
      <c r="L23" s="12"/>
    </row>
    <row r="24" spans="1:12" ht="15" x14ac:dyDescent="0.25">
      <c r="A24" s="12"/>
      <c r="B24" s="800" t="s">
        <v>441</v>
      </c>
      <c r="C24" s="801"/>
      <c r="D24" s="802">
        <v>0</v>
      </c>
      <c r="E24" s="30">
        <f>+D24</f>
        <v>0</v>
      </c>
      <c r="F24" s="12"/>
      <c r="G24" s="12"/>
      <c r="H24" s="12"/>
      <c r="I24" s="12"/>
      <c r="J24" s="12"/>
      <c r="K24" s="12"/>
      <c r="L24" s="12"/>
    </row>
    <row r="25" spans="1:12" ht="15" x14ac:dyDescent="0.25">
      <c r="A25" s="12"/>
      <c r="B25" s="830" t="s">
        <v>307</v>
      </c>
      <c r="C25" s="23"/>
      <c r="D25" s="24"/>
      <c r="E25" s="31">
        <f>SUM(E19:E24)</f>
        <v>26250</v>
      </c>
      <c r="F25" s="12"/>
      <c r="G25" s="12"/>
      <c r="H25" s="12"/>
      <c r="I25" s="12"/>
      <c r="J25" s="12"/>
      <c r="K25" s="12"/>
      <c r="L25" s="12"/>
    </row>
    <row r="26" spans="1:12" x14ac:dyDescent="0.2">
      <c r="A26" s="12"/>
      <c r="B26" s="25"/>
      <c r="C26" s="25"/>
      <c r="D26" s="25"/>
      <c r="E26" s="32"/>
      <c r="F26" s="12"/>
      <c r="G26" s="12"/>
      <c r="H26" s="12"/>
      <c r="I26" s="12"/>
      <c r="J26" s="12"/>
      <c r="K26" s="12"/>
      <c r="L26" s="12"/>
    </row>
    <row r="27" spans="1:12" ht="15" x14ac:dyDescent="0.25">
      <c r="A27" s="12"/>
      <c r="B27" s="785" t="s">
        <v>927</v>
      </c>
      <c r="C27" s="641"/>
      <c r="D27" s="642"/>
      <c r="E27" s="998">
        <v>0</v>
      </c>
      <c r="F27" s="37"/>
      <c r="G27" s="12"/>
      <c r="H27" s="12"/>
      <c r="I27" s="12"/>
      <c r="J27" s="12"/>
      <c r="K27" s="12"/>
      <c r="L27" s="12"/>
    </row>
    <row r="28" spans="1:12" ht="15" x14ac:dyDescent="0.25">
      <c r="A28" s="12"/>
      <c r="B28" s="785" t="s">
        <v>974</v>
      </c>
      <c r="C28" s="643"/>
      <c r="D28" s="644">
        <v>8800</v>
      </c>
      <c r="E28" s="803">
        <v>0</v>
      </c>
      <c r="F28" s="37"/>
      <c r="G28" s="12"/>
      <c r="H28" s="12"/>
      <c r="I28" s="12"/>
      <c r="J28" s="12"/>
      <c r="K28" s="12"/>
      <c r="L28" s="12"/>
    </row>
    <row r="29" spans="1:12" ht="15" x14ac:dyDescent="0.25">
      <c r="A29" s="12"/>
      <c r="B29" s="786"/>
      <c r="C29" s="643"/>
      <c r="D29" s="644"/>
      <c r="E29" s="803">
        <v>0</v>
      </c>
      <c r="F29" s="37"/>
      <c r="G29" s="12"/>
      <c r="H29" s="12"/>
      <c r="I29" s="12"/>
      <c r="J29" s="12"/>
      <c r="K29" s="12"/>
      <c r="L29" s="12"/>
    </row>
    <row r="30" spans="1:12" ht="15" x14ac:dyDescent="0.25">
      <c r="A30" s="12"/>
      <c r="B30" s="786" t="s">
        <v>975</v>
      </c>
      <c r="C30" s="643"/>
      <c r="D30" s="644">
        <v>2500</v>
      </c>
      <c r="E30" s="803">
        <v>0</v>
      </c>
      <c r="F30" s="37"/>
      <c r="G30" s="12"/>
      <c r="H30" s="12"/>
      <c r="I30" s="12"/>
      <c r="J30" s="12"/>
      <c r="K30" s="12"/>
      <c r="L30" s="12"/>
    </row>
    <row r="31" spans="1:12" ht="15" x14ac:dyDescent="0.25">
      <c r="A31" s="12"/>
      <c r="B31" s="786" t="s">
        <v>976</v>
      </c>
      <c r="C31" s="643"/>
      <c r="D31" s="644">
        <v>3000</v>
      </c>
      <c r="E31" s="803">
        <v>0</v>
      </c>
      <c r="F31" s="37"/>
      <c r="G31" s="12"/>
      <c r="H31" s="12"/>
      <c r="I31" s="12"/>
      <c r="J31" s="12"/>
      <c r="K31" s="12"/>
      <c r="L31" s="12"/>
    </row>
    <row r="32" spans="1:12" ht="15" x14ac:dyDescent="0.25">
      <c r="A32" s="12"/>
      <c r="B32" s="786" t="s">
        <v>977</v>
      </c>
      <c r="C32" s="643"/>
      <c r="D32" s="644">
        <v>4000</v>
      </c>
      <c r="E32" s="803">
        <v>0</v>
      </c>
      <c r="F32" s="37"/>
      <c r="G32" s="12"/>
      <c r="H32" s="12"/>
      <c r="I32" s="12"/>
      <c r="J32" s="12"/>
      <c r="K32" s="12"/>
      <c r="L32" s="12"/>
    </row>
    <row r="33" spans="1:12" ht="15" x14ac:dyDescent="0.25">
      <c r="A33" s="12"/>
      <c r="B33" s="786" t="s">
        <v>978</v>
      </c>
      <c r="C33" s="643"/>
      <c r="D33" s="644">
        <v>2100</v>
      </c>
      <c r="E33" s="803">
        <v>0</v>
      </c>
      <c r="F33" s="37"/>
      <c r="G33" s="12"/>
      <c r="H33" s="12"/>
      <c r="I33" s="12"/>
      <c r="J33" s="12"/>
      <c r="K33" s="12"/>
      <c r="L33" s="12"/>
    </row>
    <row r="34" spans="1:12" ht="15" x14ac:dyDescent="0.25">
      <c r="A34" s="12"/>
      <c r="B34" s="786" t="s">
        <v>979</v>
      </c>
      <c r="C34" s="643"/>
      <c r="D34" s="644">
        <v>1850</v>
      </c>
      <c r="E34" s="803">
        <v>0</v>
      </c>
      <c r="F34" s="37"/>
      <c r="G34" s="12"/>
      <c r="H34" s="12"/>
      <c r="I34" s="12"/>
      <c r="J34" s="12"/>
      <c r="K34" s="12"/>
      <c r="L34" s="12"/>
    </row>
    <row r="35" spans="1:12" ht="15" x14ac:dyDescent="0.25">
      <c r="A35" s="12"/>
      <c r="B35" s="786"/>
      <c r="C35" s="643"/>
      <c r="D35" s="644"/>
      <c r="E35" s="803">
        <v>0</v>
      </c>
      <c r="F35" s="37"/>
      <c r="G35" s="12"/>
      <c r="H35" s="12"/>
      <c r="I35" s="12"/>
      <c r="J35" s="12"/>
      <c r="K35" s="12"/>
      <c r="L35" s="12"/>
    </row>
    <row r="36" spans="1:12" ht="15" x14ac:dyDescent="0.25">
      <c r="A36" s="12"/>
      <c r="B36" s="786" t="s">
        <v>427</v>
      </c>
      <c r="C36" s="643"/>
      <c r="D36" s="644"/>
      <c r="E36" s="803">
        <v>0</v>
      </c>
      <c r="F36" s="37"/>
      <c r="G36" s="12"/>
      <c r="H36" s="12"/>
      <c r="I36" s="12"/>
      <c r="J36" s="12"/>
      <c r="K36" s="12"/>
      <c r="L36" s="12"/>
    </row>
    <row r="37" spans="1:12" ht="15" x14ac:dyDescent="0.25">
      <c r="A37" s="12"/>
      <c r="B37" s="786" t="s">
        <v>428</v>
      </c>
      <c r="C37" s="643"/>
      <c r="D37" s="644"/>
      <c r="E37" s="803">
        <v>0</v>
      </c>
      <c r="F37" s="37"/>
      <c r="G37" s="12"/>
      <c r="H37" s="12"/>
      <c r="I37" s="12"/>
      <c r="J37" s="12"/>
      <c r="K37" s="12"/>
      <c r="L37" s="12"/>
    </row>
    <row r="38" spans="1:12" ht="15" x14ac:dyDescent="0.25">
      <c r="A38" s="12"/>
      <c r="B38" s="786" t="s">
        <v>429</v>
      </c>
      <c r="C38" s="643"/>
      <c r="D38" s="644">
        <v>4000</v>
      </c>
      <c r="E38" s="803">
        <v>0</v>
      </c>
      <c r="F38" s="37"/>
      <c r="G38" s="12"/>
      <c r="H38" s="12"/>
      <c r="I38" s="12"/>
      <c r="J38" s="12"/>
      <c r="K38" s="12"/>
      <c r="L38" s="12"/>
    </row>
    <row r="39" spans="1:12" ht="15" x14ac:dyDescent="0.25">
      <c r="A39" s="12"/>
      <c r="B39" s="786" t="s">
        <v>430</v>
      </c>
      <c r="C39" s="643"/>
      <c r="D39" s="644"/>
      <c r="E39" s="803">
        <v>0</v>
      </c>
      <c r="F39" s="37"/>
      <c r="G39" s="12"/>
      <c r="H39" s="12"/>
      <c r="I39" s="12"/>
      <c r="J39" s="12"/>
      <c r="K39" s="12"/>
      <c r="L39" s="12"/>
    </row>
    <row r="40" spans="1:12" ht="15" x14ac:dyDescent="0.25">
      <c r="A40" s="12"/>
      <c r="B40" s="786" t="s">
        <v>431</v>
      </c>
      <c r="C40" s="643"/>
      <c r="D40" s="644"/>
      <c r="E40" s="803">
        <v>0</v>
      </c>
      <c r="F40" s="37"/>
      <c r="G40" s="12"/>
      <c r="H40" s="12"/>
      <c r="I40" s="12"/>
      <c r="J40" s="12"/>
      <c r="K40" s="12"/>
      <c r="L40" s="12"/>
    </row>
    <row r="41" spans="1:12" ht="15" x14ac:dyDescent="0.25">
      <c r="A41" s="12"/>
      <c r="B41" s="786" t="s">
        <v>432</v>
      </c>
      <c r="C41" s="643"/>
      <c r="D41" s="644"/>
      <c r="E41" s="803">
        <v>0</v>
      </c>
      <c r="F41" s="37"/>
      <c r="G41" s="12"/>
      <c r="H41" s="12"/>
      <c r="I41" s="12"/>
      <c r="J41" s="12"/>
      <c r="K41" s="12"/>
      <c r="L41" s="12"/>
    </row>
    <row r="42" spans="1:12" ht="15" x14ac:dyDescent="0.25">
      <c r="A42" s="12"/>
      <c r="B42" s="22"/>
      <c r="C42" s="38"/>
      <c r="D42" s="33">
        <f>SUM(D28:D38)</f>
        <v>26250</v>
      </c>
      <c r="E42" s="39"/>
      <c r="F42" s="37"/>
      <c r="G42" s="12"/>
      <c r="H42" s="12"/>
      <c r="I42" s="12"/>
      <c r="J42" s="12"/>
      <c r="K42" s="12"/>
      <c r="L42" s="12"/>
    </row>
    <row r="43" spans="1:12" ht="15" x14ac:dyDescent="0.25">
      <c r="A43" s="12"/>
      <c r="B43" s="26" t="s">
        <v>443</v>
      </c>
      <c r="C43" s="26"/>
      <c r="D43" s="27"/>
      <c r="E43" s="41">
        <f>SUM(E25:E42)</f>
        <v>26250</v>
      </c>
      <c r="F43" s="42"/>
      <c r="G43" s="12"/>
      <c r="H43" s="12"/>
      <c r="I43" s="12"/>
      <c r="J43" s="12"/>
      <c r="K43" s="12"/>
      <c r="L43" s="12"/>
    </row>
    <row r="44" spans="1:12" ht="15" x14ac:dyDescent="0.25">
      <c r="A44" s="12"/>
      <c r="B44" s="6"/>
      <c r="C44" s="6"/>
      <c r="D44" s="6"/>
      <c r="E44" s="6"/>
      <c r="F44" s="12"/>
      <c r="G44" s="12"/>
      <c r="H44" s="12"/>
      <c r="I44" s="12"/>
      <c r="J44" s="12"/>
      <c r="K44" s="12"/>
      <c r="L44" s="12"/>
    </row>
    <row r="45" spans="1:12" ht="14.25" x14ac:dyDescent="0.2">
      <c r="A45" s="12"/>
      <c r="B45" s="43" t="s">
        <v>765</v>
      </c>
      <c r="C45" s="44"/>
      <c r="D45" s="44"/>
      <c r="E45" s="44"/>
      <c r="F45" s="12"/>
      <c r="G45" s="12"/>
      <c r="H45" s="12"/>
      <c r="I45" s="12"/>
      <c r="J45" s="12"/>
      <c r="K45" s="12"/>
      <c r="L45" s="12"/>
    </row>
    <row r="46" spans="1:12" ht="15" x14ac:dyDescent="0.25">
      <c r="A46" s="12"/>
      <c r="B46" s="787"/>
      <c r="C46" s="788"/>
      <c r="D46" s="788"/>
      <c r="E46" s="804">
        <v>0</v>
      </c>
      <c r="F46" s="46"/>
      <c r="G46" s="12"/>
      <c r="H46" s="12"/>
      <c r="I46" s="12"/>
      <c r="J46" s="12"/>
      <c r="K46" s="12"/>
      <c r="L46" s="12"/>
    </row>
    <row r="47" spans="1:12" ht="15" x14ac:dyDescent="0.25">
      <c r="A47" s="12"/>
      <c r="B47" s="553"/>
      <c r="C47" s="789"/>
      <c r="D47" s="789"/>
      <c r="E47" s="789">
        <v>0</v>
      </c>
      <c r="F47" s="46"/>
      <c r="G47" s="12"/>
      <c r="H47" s="12"/>
      <c r="I47" s="12"/>
      <c r="J47" s="12"/>
      <c r="K47" s="12"/>
      <c r="L47" s="12"/>
    </row>
    <row r="48" spans="1:12" ht="15" x14ac:dyDescent="0.25">
      <c r="A48" s="12"/>
      <c r="B48" s="553"/>
      <c r="C48" s="789"/>
      <c r="D48" s="789"/>
      <c r="E48" s="789">
        <v>0</v>
      </c>
      <c r="F48" s="46"/>
      <c r="G48" s="12"/>
      <c r="H48" s="12"/>
      <c r="I48" s="12"/>
      <c r="J48" s="12"/>
      <c r="K48" s="12"/>
      <c r="L48" s="12"/>
    </row>
    <row r="49" spans="1:12" ht="15" x14ac:dyDescent="0.25">
      <c r="A49" s="12"/>
      <c r="B49" s="790"/>
      <c r="C49" s="791"/>
      <c r="D49" s="791"/>
      <c r="E49" s="791">
        <v>0</v>
      </c>
      <c r="F49" s="46"/>
      <c r="G49" s="12"/>
      <c r="H49" s="12"/>
      <c r="I49" s="12"/>
      <c r="J49" s="12"/>
      <c r="K49" s="12"/>
      <c r="L49" s="12"/>
    </row>
    <row r="50" spans="1:12" ht="15" x14ac:dyDescent="0.25">
      <c r="A50" s="12"/>
      <c r="B50" s="48" t="s">
        <v>444</v>
      </c>
      <c r="C50" s="49"/>
      <c r="D50" s="49"/>
      <c r="E50" s="47">
        <f>SUM(E46:E49)</f>
        <v>0</v>
      </c>
      <c r="F50" s="40"/>
      <c r="G50" s="12"/>
      <c r="H50" s="12"/>
      <c r="I50" s="12"/>
      <c r="J50" s="12"/>
      <c r="K50" s="12"/>
      <c r="L50" s="12"/>
    </row>
    <row r="51" spans="1:12" ht="15" x14ac:dyDescent="0.2">
      <c r="A51" s="12"/>
      <c r="B51" s="16"/>
      <c r="C51" s="45"/>
      <c r="D51" s="45"/>
      <c r="E51" s="45"/>
      <c r="F51" s="45"/>
      <c r="G51" s="12"/>
      <c r="H51" s="12"/>
      <c r="I51" s="12"/>
      <c r="J51" s="12"/>
      <c r="K51" s="12"/>
      <c r="L51" s="12"/>
    </row>
    <row r="52" spans="1:12" ht="15.75" thickBot="1" x14ac:dyDescent="0.3">
      <c r="A52" s="12"/>
      <c r="B52" s="72" t="s">
        <v>458</v>
      </c>
      <c r="C52" s="50"/>
      <c r="D52" s="50"/>
      <c r="E52" s="51">
        <f>+E50-E43</f>
        <v>-26250</v>
      </c>
      <c r="F52" s="50"/>
      <c r="G52" s="12"/>
      <c r="H52" s="12"/>
      <c r="I52" s="12"/>
      <c r="J52" s="12"/>
      <c r="K52" s="12"/>
      <c r="L52" s="12"/>
    </row>
    <row r="53" spans="1:12" ht="15.75" thickTop="1" x14ac:dyDescent="0.2">
      <c r="A53" s="12"/>
      <c r="B53" s="16"/>
      <c r="C53" s="45"/>
      <c r="D53" s="45"/>
      <c r="E53" s="45"/>
      <c r="F53" s="45"/>
      <c r="G53" s="12"/>
      <c r="H53" s="12"/>
      <c r="I53" s="12"/>
      <c r="J53" s="12"/>
      <c r="K53" s="12"/>
      <c r="L53" s="12"/>
    </row>
    <row r="54" spans="1:12" ht="15" x14ac:dyDescent="0.2">
      <c r="A54" s="12"/>
      <c r="B54" s="792" t="s">
        <v>756</v>
      </c>
      <c r="C54" s="12"/>
      <c r="D54" s="12"/>
      <c r="E54" s="12"/>
      <c r="F54" s="12"/>
      <c r="G54" s="12"/>
      <c r="H54" s="12"/>
      <c r="I54" s="12"/>
      <c r="J54" s="12"/>
      <c r="K54" s="12"/>
      <c r="L54" s="12"/>
    </row>
    <row r="55" spans="1:12" ht="15" x14ac:dyDescent="0.2">
      <c r="A55" s="12"/>
      <c r="B55" s="16"/>
      <c r="C55" s="12"/>
      <c r="D55" s="12"/>
      <c r="E55" s="12"/>
      <c r="F55" s="12"/>
      <c r="G55" s="12"/>
      <c r="H55" s="12"/>
      <c r="I55" s="12"/>
      <c r="J55" s="12"/>
      <c r="K55" s="12"/>
      <c r="L55" s="12"/>
    </row>
    <row r="56" spans="1:12" ht="15" x14ac:dyDescent="0.2">
      <c r="A56" s="12"/>
      <c r="B56" s="16"/>
      <c r="C56" s="12"/>
      <c r="D56" s="12"/>
      <c r="E56" s="12"/>
      <c r="F56" s="12"/>
      <c r="G56" s="12"/>
      <c r="H56" s="12"/>
      <c r="I56" s="12"/>
      <c r="J56" s="12"/>
      <c r="K56" s="12"/>
      <c r="L56" s="12"/>
    </row>
    <row r="57" spans="1:12" ht="15" x14ac:dyDescent="0.2">
      <c r="A57" s="12"/>
      <c r="B57" s="16"/>
      <c r="C57" s="12"/>
      <c r="D57" s="12"/>
      <c r="E57" s="12"/>
      <c r="F57" s="12"/>
      <c r="G57" s="12"/>
      <c r="H57" s="12"/>
      <c r="I57" s="12"/>
      <c r="J57" s="12"/>
      <c r="K57" s="12"/>
      <c r="L57" s="12"/>
    </row>
    <row r="58" spans="1:12" ht="15" x14ac:dyDescent="0.2">
      <c r="A58" s="12"/>
      <c r="B58" s="16"/>
      <c r="C58" s="12"/>
      <c r="D58" s="12"/>
      <c r="E58" s="12"/>
      <c r="F58" s="12"/>
      <c r="G58" s="12"/>
      <c r="H58" s="12"/>
      <c r="I58" s="12"/>
      <c r="J58" s="12"/>
      <c r="K58" s="12"/>
      <c r="L58" s="12"/>
    </row>
    <row r="59" spans="1:12" x14ac:dyDescent="0.2">
      <c r="A59" s="12"/>
      <c r="B59" s="12"/>
      <c r="C59" s="12"/>
      <c r="D59" s="12"/>
      <c r="E59" s="12"/>
      <c r="F59" s="12"/>
      <c r="G59" s="12"/>
      <c r="H59" s="12"/>
      <c r="I59" s="12"/>
      <c r="J59" s="12"/>
      <c r="K59" s="12"/>
      <c r="L59" s="12"/>
    </row>
    <row r="60" spans="1:12" x14ac:dyDescent="0.2">
      <c r="A60" s="12"/>
      <c r="B60" s="12"/>
      <c r="C60" s="12"/>
      <c r="D60" s="12"/>
      <c r="E60" s="12"/>
      <c r="F60" s="12"/>
      <c r="G60" s="12"/>
      <c r="H60" s="12"/>
      <c r="I60" s="12"/>
      <c r="J60" s="12"/>
      <c r="K60" s="12"/>
      <c r="L60" s="12"/>
    </row>
    <row r="61" spans="1:12" x14ac:dyDescent="0.2">
      <c r="A61" s="12"/>
      <c r="B61" s="12"/>
      <c r="C61" s="12"/>
      <c r="D61" s="12"/>
      <c r="E61" s="12"/>
      <c r="F61" s="12"/>
      <c r="G61" s="12"/>
      <c r="H61" s="12"/>
      <c r="I61" s="12"/>
      <c r="J61" s="12"/>
      <c r="K61" s="12"/>
      <c r="L61" s="12"/>
    </row>
    <row r="62" spans="1:12" x14ac:dyDescent="0.2">
      <c r="A62" s="12"/>
      <c r="B62" s="12"/>
      <c r="C62" s="12"/>
      <c r="D62" s="12"/>
      <c r="E62" s="12"/>
      <c r="F62" s="12"/>
      <c r="G62" s="12"/>
      <c r="H62" s="12"/>
      <c r="I62" s="12"/>
      <c r="J62" s="12"/>
      <c r="K62" s="12"/>
      <c r="L62" s="12"/>
    </row>
    <row r="63" spans="1:12" x14ac:dyDescent="0.2">
      <c r="A63" s="12"/>
      <c r="B63" s="12"/>
      <c r="C63" s="12"/>
      <c r="D63" s="12"/>
      <c r="E63" s="12"/>
      <c r="F63" s="12"/>
      <c r="G63" s="12"/>
      <c r="H63" s="12"/>
      <c r="I63" s="12"/>
      <c r="J63" s="12"/>
      <c r="K63" s="12"/>
      <c r="L63" s="12"/>
    </row>
    <row r="64" spans="1:12" x14ac:dyDescent="0.2">
      <c r="A64" s="12"/>
      <c r="B64" s="12"/>
      <c r="C64" s="12"/>
      <c r="D64" s="12"/>
      <c r="E64" s="12"/>
      <c r="F64" s="12"/>
      <c r="G64" s="12"/>
      <c r="H64" s="12"/>
      <c r="I64" s="12"/>
      <c r="J64" s="12"/>
      <c r="K64" s="12"/>
      <c r="L64" s="12"/>
    </row>
    <row r="65" spans="1:12" x14ac:dyDescent="0.2">
      <c r="A65" s="12"/>
      <c r="B65" s="12"/>
      <c r="C65" s="12"/>
      <c r="D65" s="12"/>
      <c r="E65" s="12"/>
      <c r="F65" s="12"/>
      <c r="G65" s="12"/>
      <c r="H65" s="12"/>
      <c r="I65" s="12"/>
      <c r="J65" s="12"/>
      <c r="K65" s="12"/>
      <c r="L65" s="12"/>
    </row>
    <row r="66" spans="1:12" x14ac:dyDescent="0.2">
      <c r="A66" s="12"/>
      <c r="B66" s="12"/>
      <c r="C66" s="12"/>
      <c r="D66" s="12"/>
      <c r="E66" s="12"/>
      <c r="F66" s="12"/>
      <c r="G66" s="12"/>
      <c r="H66" s="12"/>
      <c r="I66" s="12"/>
      <c r="J66" s="12"/>
      <c r="K66" s="12"/>
      <c r="L66" s="12"/>
    </row>
    <row r="67" spans="1:12" x14ac:dyDescent="0.2">
      <c r="A67" s="12"/>
      <c r="B67" s="12"/>
      <c r="C67" s="12"/>
      <c r="D67" s="12"/>
      <c r="E67" s="12"/>
      <c r="F67" s="12"/>
      <c r="G67" s="12"/>
      <c r="H67" s="12"/>
      <c r="I67" s="12"/>
      <c r="J67" s="12"/>
      <c r="K67" s="12"/>
      <c r="L67" s="12"/>
    </row>
    <row r="68" spans="1:12" x14ac:dyDescent="0.2">
      <c r="A68" s="12"/>
      <c r="B68" s="12"/>
      <c r="C68" s="12"/>
      <c r="D68" s="12"/>
      <c r="E68" s="12"/>
      <c r="F68" s="12"/>
      <c r="G68" s="12"/>
      <c r="H68" s="12"/>
      <c r="I68" s="12"/>
      <c r="J68" s="12"/>
      <c r="K68" s="12"/>
      <c r="L68" s="12"/>
    </row>
    <row r="69" spans="1:12" x14ac:dyDescent="0.2">
      <c r="A69" s="12"/>
      <c r="B69" s="12"/>
      <c r="C69" s="12"/>
      <c r="D69" s="12"/>
      <c r="E69" s="12"/>
      <c r="F69" s="12"/>
      <c r="G69" s="12"/>
      <c r="H69" s="12"/>
      <c r="I69" s="12"/>
      <c r="J69" s="12"/>
      <c r="K69" s="12"/>
      <c r="L69" s="12"/>
    </row>
    <row r="70" spans="1:12" x14ac:dyDescent="0.2">
      <c r="A70" s="12"/>
      <c r="B70" s="12"/>
      <c r="C70" s="12"/>
      <c r="D70" s="12"/>
      <c r="E70" s="12"/>
      <c r="F70" s="12"/>
      <c r="G70" s="12"/>
      <c r="H70" s="12"/>
      <c r="I70" s="12"/>
      <c r="J70" s="12"/>
      <c r="K70" s="12"/>
      <c r="L70" s="12"/>
    </row>
    <row r="71" spans="1:12" x14ac:dyDescent="0.2">
      <c r="A71" s="12"/>
      <c r="B71" s="12"/>
      <c r="C71" s="12"/>
      <c r="D71" s="12"/>
      <c r="E71" s="12"/>
      <c r="F71" s="12"/>
      <c r="G71" s="12"/>
      <c r="H71" s="12"/>
      <c r="I71" s="12"/>
      <c r="J71" s="12"/>
      <c r="K71" s="12"/>
      <c r="L71" s="12"/>
    </row>
    <row r="72" spans="1:12" x14ac:dyDescent="0.2">
      <c r="A72" s="12"/>
      <c r="B72" s="12"/>
      <c r="C72" s="12"/>
      <c r="D72" s="12"/>
      <c r="E72" s="12"/>
      <c r="F72" s="12"/>
      <c r="G72" s="12"/>
      <c r="H72" s="12"/>
      <c r="I72" s="12"/>
      <c r="J72" s="12"/>
      <c r="K72" s="12"/>
      <c r="L72" s="12"/>
    </row>
    <row r="73" spans="1:12" x14ac:dyDescent="0.2">
      <c r="A73" s="12"/>
      <c r="B73" s="12"/>
      <c r="C73" s="12"/>
      <c r="D73" s="12"/>
      <c r="E73" s="12"/>
      <c r="F73" s="12"/>
      <c r="G73" s="12"/>
      <c r="H73" s="12"/>
      <c r="I73" s="12"/>
      <c r="J73" s="12"/>
      <c r="K73" s="12"/>
      <c r="L73" s="12"/>
    </row>
    <row r="74" spans="1:12" x14ac:dyDescent="0.2">
      <c r="A74" s="12"/>
      <c r="B74" s="12"/>
      <c r="C74" s="12"/>
      <c r="D74" s="12"/>
      <c r="E74" s="12"/>
      <c r="F74" s="12"/>
      <c r="G74" s="12"/>
      <c r="H74" s="12"/>
      <c r="I74" s="12"/>
      <c r="J74" s="12"/>
      <c r="K74" s="12"/>
      <c r="L74" s="12"/>
    </row>
    <row r="75" spans="1:12" x14ac:dyDescent="0.2">
      <c r="A75" s="12"/>
      <c r="B75" s="12"/>
      <c r="C75" s="12"/>
      <c r="D75" s="12"/>
      <c r="E75" s="12"/>
      <c r="F75" s="12"/>
      <c r="G75" s="12"/>
      <c r="H75" s="12"/>
      <c r="I75" s="12"/>
      <c r="J75" s="12"/>
      <c r="K75" s="12"/>
      <c r="L75" s="12"/>
    </row>
    <row r="76" spans="1:12" x14ac:dyDescent="0.2">
      <c r="A76" s="12"/>
      <c r="B76" s="12"/>
      <c r="C76" s="12"/>
      <c r="D76" s="12"/>
      <c r="E76" s="12"/>
      <c r="F76" s="12"/>
      <c r="G76" s="12"/>
      <c r="H76" s="12"/>
      <c r="I76" s="12"/>
      <c r="J76" s="12"/>
      <c r="K76" s="12"/>
      <c r="L76" s="12"/>
    </row>
    <row r="77" spans="1:12" x14ac:dyDescent="0.2">
      <c r="A77" s="12"/>
      <c r="B77" s="12"/>
      <c r="C77" s="12"/>
      <c r="D77" s="12"/>
      <c r="E77" s="12"/>
      <c r="F77" s="12"/>
      <c r="G77" s="12"/>
      <c r="H77" s="12"/>
      <c r="I77" s="12"/>
      <c r="J77" s="12"/>
      <c r="K77" s="12"/>
      <c r="L77" s="12"/>
    </row>
    <row r="78" spans="1:12" x14ac:dyDescent="0.2">
      <c r="A78" s="12"/>
      <c r="B78" s="12"/>
      <c r="C78" s="12"/>
      <c r="D78" s="12"/>
      <c r="E78" s="12"/>
      <c r="F78" s="12"/>
      <c r="G78" s="12"/>
      <c r="H78" s="12"/>
      <c r="I78" s="12"/>
      <c r="J78" s="12"/>
      <c r="K78" s="12"/>
      <c r="L78" s="12"/>
    </row>
    <row r="79" spans="1:12" x14ac:dyDescent="0.2">
      <c r="A79" s="12"/>
      <c r="B79" s="12"/>
      <c r="C79" s="12"/>
      <c r="D79" s="12"/>
      <c r="E79" s="12"/>
      <c r="F79" s="12"/>
      <c r="G79" s="12"/>
      <c r="H79" s="12"/>
      <c r="I79" s="12"/>
      <c r="J79" s="12"/>
      <c r="K79" s="12"/>
      <c r="L79" s="12"/>
    </row>
    <row r="80" spans="1:12" x14ac:dyDescent="0.2">
      <c r="A80" s="12"/>
      <c r="B80" s="12"/>
      <c r="C80" s="12"/>
      <c r="D80" s="12"/>
      <c r="E80" s="12"/>
      <c r="F80" s="12"/>
      <c r="G80" s="12"/>
      <c r="H80" s="12"/>
      <c r="I80" s="12"/>
      <c r="J80" s="12"/>
      <c r="K80" s="12"/>
      <c r="L80" s="12"/>
    </row>
    <row r="81" spans="1:12" x14ac:dyDescent="0.2">
      <c r="A81" s="12"/>
      <c r="B81" s="12"/>
      <c r="C81" s="12"/>
      <c r="D81" s="12"/>
      <c r="E81" s="12"/>
      <c r="F81" s="12"/>
      <c r="G81" s="12"/>
      <c r="H81" s="12"/>
      <c r="I81" s="12"/>
      <c r="J81" s="12"/>
      <c r="K81" s="12"/>
      <c r="L81" s="12"/>
    </row>
    <row r="82" spans="1:12" x14ac:dyDescent="0.2">
      <c r="A82" s="12"/>
      <c r="B82" s="12"/>
      <c r="C82" s="12"/>
      <c r="D82" s="12"/>
      <c r="E82" s="12"/>
      <c r="F82" s="12"/>
      <c r="G82" s="12"/>
      <c r="H82" s="12"/>
      <c r="I82" s="12"/>
      <c r="J82" s="12"/>
      <c r="K82" s="12"/>
      <c r="L82" s="12"/>
    </row>
    <row r="83" spans="1:12" x14ac:dyDescent="0.2">
      <c r="A83" s="12"/>
      <c r="B83" s="12"/>
      <c r="C83" s="12"/>
      <c r="D83" s="12"/>
      <c r="E83" s="12"/>
      <c r="F83" s="12"/>
      <c r="G83" s="12"/>
      <c r="H83" s="12"/>
      <c r="I83" s="12"/>
      <c r="J83" s="12"/>
      <c r="K83" s="12"/>
      <c r="L83" s="12"/>
    </row>
    <row r="84" spans="1:12" x14ac:dyDescent="0.2">
      <c r="A84" s="12"/>
      <c r="B84" s="12"/>
      <c r="C84" s="12"/>
      <c r="D84" s="12"/>
      <c r="E84" s="12"/>
      <c r="F84" s="12"/>
      <c r="G84" s="12"/>
      <c r="H84" s="12"/>
      <c r="I84" s="12"/>
      <c r="J84" s="12"/>
      <c r="K84" s="12"/>
      <c r="L84" s="12"/>
    </row>
    <row r="85" spans="1:12" x14ac:dyDescent="0.2">
      <c r="A85" s="12"/>
      <c r="B85" s="12"/>
      <c r="C85" s="12"/>
      <c r="D85" s="12"/>
      <c r="E85" s="12"/>
      <c r="F85" s="12"/>
      <c r="G85" s="12"/>
      <c r="H85" s="12"/>
      <c r="I85" s="12"/>
      <c r="J85" s="12"/>
      <c r="K85" s="12"/>
      <c r="L85" s="12"/>
    </row>
    <row r="86" spans="1:12" x14ac:dyDescent="0.2">
      <c r="A86" s="12"/>
      <c r="B86" s="12"/>
      <c r="C86" s="12"/>
      <c r="D86" s="12"/>
      <c r="E86" s="12"/>
      <c r="F86" s="12"/>
      <c r="G86" s="12"/>
      <c r="H86" s="12"/>
      <c r="I86" s="12"/>
      <c r="J86" s="12"/>
      <c r="K86" s="12"/>
      <c r="L86" s="12"/>
    </row>
    <row r="87" spans="1:12" x14ac:dyDescent="0.2">
      <c r="A87" s="12"/>
      <c r="B87" s="12"/>
      <c r="C87" s="12"/>
      <c r="D87" s="12"/>
      <c r="E87" s="12"/>
      <c r="F87" s="12"/>
      <c r="G87" s="12"/>
      <c r="H87" s="12"/>
      <c r="I87" s="12"/>
      <c r="J87" s="12"/>
      <c r="K87" s="12"/>
      <c r="L87" s="12"/>
    </row>
    <row r="88" spans="1:12" x14ac:dyDescent="0.2">
      <c r="A88" s="12"/>
      <c r="B88" s="12"/>
      <c r="C88" s="12"/>
      <c r="D88" s="12"/>
      <c r="E88" s="12"/>
      <c r="F88" s="12"/>
      <c r="G88" s="12"/>
      <c r="H88" s="12"/>
      <c r="I88" s="12"/>
      <c r="J88" s="12"/>
      <c r="K88" s="12"/>
      <c r="L88" s="12"/>
    </row>
    <row r="89" spans="1:12" x14ac:dyDescent="0.2">
      <c r="A89" s="12"/>
      <c r="B89" s="12"/>
      <c r="C89" s="12"/>
      <c r="D89" s="12"/>
      <c r="E89" s="12"/>
      <c r="F89" s="12"/>
      <c r="G89" s="12"/>
      <c r="H89" s="12"/>
      <c r="I89" s="12"/>
      <c r="J89" s="12"/>
      <c r="K89" s="12"/>
      <c r="L89" s="12"/>
    </row>
    <row r="90" spans="1:12" x14ac:dyDescent="0.2">
      <c r="A90" s="12"/>
      <c r="B90" s="12"/>
      <c r="C90" s="12"/>
      <c r="D90" s="12"/>
      <c r="E90" s="12"/>
      <c r="F90" s="12"/>
      <c r="G90" s="12"/>
      <c r="H90" s="12"/>
      <c r="I90" s="12"/>
      <c r="J90" s="12"/>
      <c r="K90" s="12"/>
      <c r="L90" s="12"/>
    </row>
    <row r="91" spans="1:12" x14ac:dyDescent="0.2">
      <c r="A91" s="12"/>
      <c r="B91" s="12"/>
      <c r="C91" s="12"/>
      <c r="D91" s="12"/>
      <c r="E91" s="12"/>
      <c r="F91" s="12"/>
      <c r="G91" s="12"/>
      <c r="H91" s="12"/>
      <c r="I91" s="12"/>
      <c r="J91" s="12"/>
      <c r="K91" s="12"/>
      <c r="L91" s="12"/>
    </row>
    <row r="92" spans="1:12" x14ac:dyDescent="0.2">
      <c r="A92" s="12"/>
      <c r="B92" s="12"/>
      <c r="C92" s="12"/>
      <c r="D92" s="12"/>
      <c r="E92" s="12"/>
      <c r="F92" s="12"/>
      <c r="G92" s="12"/>
      <c r="H92" s="12"/>
      <c r="I92" s="12"/>
      <c r="J92" s="12"/>
      <c r="K92" s="12"/>
      <c r="L92" s="12"/>
    </row>
    <row r="93" spans="1:12" x14ac:dyDescent="0.2">
      <c r="A93" s="12"/>
      <c r="B93" s="12"/>
      <c r="C93" s="12"/>
      <c r="D93" s="12"/>
      <c r="E93" s="12"/>
      <c r="F93" s="12"/>
      <c r="G93" s="12"/>
      <c r="H93" s="12"/>
      <c r="I93" s="12"/>
      <c r="J93" s="12"/>
      <c r="K93" s="12"/>
      <c r="L93" s="12"/>
    </row>
    <row r="94" spans="1:12" x14ac:dyDescent="0.2">
      <c r="A94" s="12"/>
      <c r="B94" s="12"/>
      <c r="C94" s="12"/>
      <c r="D94" s="12"/>
      <c r="E94" s="12"/>
      <c r="F94" s="12"/>
      <c r="G94" s="12"/>
      <c r="H94" s="12"/>
      <c r="I94" s="12"/>
      <c r="J94" s="12"/>
      <c r="K94" s="12"/>
      <c r="L94" s="12"/>
    </row>
  </sheetData>
  <sheetProtection algorithmName="SHA-512" hashValue="5kDrvWxlLFwosJIFZJ5vIOUbiBpHnFekc1YmWfuuyZEEnZOnJd+WBL3S5aQrHlqXY2NgwSkHqTpUOGQfQfN+zw==" saltValue="L8kpvBAq/1tiyj8XZHoxkA==" spinCount="100000" sheet="1" objects="1" scenarios="1"/>
  <mergeCells count="1">
    <mergeCell ref="B9:E9"/>
  </mergeCells>
  <dataValidations xWindow="141" yWindow="716" count="1">
    <dataValidation allowBlank="1" showInputMessage="1" showErrorMessage="1" prompt="You may change any of the job titles." sqref="B19:B25 B11:B14 B27:B41"/>
  </dataValidations>
  <pageMargins left="0.25" right="0.25" top="0.5" bottom="0.45" header="0.25" footer="0.25"/>
  <pageSetup scale="69" orientation="landscape" r:id="rId1"/>
  <headerFooter alignWithMargins="0">
    <oddHeader xml:space="preserve">&amp;L &amp;C &amp;R </oddHeader>
    <oddFooter>&amp;L&amp;7&amp;D  at &amp;T Mike 702.486.8879&amp;C&amp;7&amp;F  &amp;A&amp;R&amp;7Page &amp;P of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FF00"/>
  </sheetPr>
  <dimension ref="A1:Q61"/>
  <sheetViews>
    <sheetView showGridLines="0" zoomScale="70" zoomScaleNormal="70" zoomScaleSheetLayoutView="70" workbookViewId="0">
      <selection activeCell="B29" sqref="B29"/>
    </sheetView>
  </sheetViews>
  <sheetFormatPr defaultColWidth="8.85546875" defaultRowHeight="15" x14ac:dyDescent="0.25"/>
  <cols>
    <col min="1" max="1" width="6.7109375" style="217" bestFit="1" customWidth="1"/>
    <col min="2" max="2" width="47.85546875" style="217" customWidth="1"/>
    <col min="3" max="3" width="10.28515625" style="217" customWidth="1"/>
    <col min="4" max="4" width="14.5703125" style="221" customWidth="1"/>
    <col min="5" max="5" width="12.5703125" style="221" customWidth="1"/>
    <col min="6" max="6" width="13.42578125" style="221" customWidth="1"/>
    <col min="7" max="7" width="14.85546875" style="217" customWidth="1"/>
    <col min="8" max="8" width="12.7109375" style="217" customWidth="1"/>
    <col min="9" max="9" width="14" style="217" customWidth="1"/>
    <col min="10" max="10" width="15.28515625" style="217" customWidth="1"/>
    <col min="11" max="11" width="16.28515625" style="217" customWidth="1"/>
    <col min="12" max="12" width="3.140625" style="217" customWidth="1"/>
    <col min="13" max="13" width="8" style="217" customWidth="1"/>
    <col min="14" max="16384" width="8.85546875" style="217"/>
  </cols>
  <sheetData>
    <row r="1" spans="1:13" ht="18" x14ac:dyDescent="0.25">
      <c r="A1" s="1014" t="s">
        <v>757</v>
      </c>
      <c r="B1" s="149"/>
      <c r="C1" s="141"/>
      <c r="D1" s="775" t="s">
        <v>854</v>
      </c>
      <c r="E1" s="150"/>
      <c r="F1" s="150"/>
      <c r="G1" s="168"/>
      <c r="H1" s="168"/>
      <c r="I1" s="170"/>
      <c r="J1" s="170"/>
      <c r="K1" s="170"/>
      <c r="L1" s="282"/>
      <c r="M1" s="282"/>
    </row>
    <row r="2" spans="1:13" ht="15.75" x14ac:dyDescent="0.25">
      <c r="A2" s="459" t="str">
        <f>SchoolName</f>
        <v xml:space="preserve">Alaka'i Heritage Academy </v>
      </c>
      <c r="B2" s="153"/>
      <c r="C2" s="141"/>
      <c r="D2" s="775" t="s">
        <v>855</v>
      </c>
      <c r="E2" s="150"/>
      <c r="F2" s="150"/>
      <c r="G2" s="168"/>
      <c r="H2" s="168"/>
      <c r="I2" s="1015"/>
      <c r="J2" s="1015"/>
      <c r="K2" s="594"/>
      <c r="L2" s="595"/>
      <c r="M2" s="595"/>
    </row>
    <row r="3" spans="1:13" x14ac:dyDescent="0.25">
      <c r="A3" s="154" t="s">
        <v>415</v>
      </c>
      <c r="B3" s="141"/>
      <c r="C3" s="141"/>
      <c r="D3" s="1016" t="s">
        <v>856</v>
      </c>
      <c r="E3" s="150"/>
      <c r="F3" s="150"/>
      <c r="G3" s="168"/>
      <c r="H3" s="168"/>
      <c r="I3" s="1017"/>
      <c r="J3" s="1017"/>
      <c r="K3" s="594"/>
      <c r="L3" s="595"/>
      <c r="M3" s="595"/>
    </row>
    <row r="4" spans="1:13" x14ac:dyDescent="0.25">
      <c r="A4" s="155" t="s">
        <v>452</v>
      </c>
      <c r="B4" s="141"/>
      <c r="C4" s="141"/>
      <c r="D4" s="775" t="s">
        <v>857</v>
      </c>
      <c r="E4" s="150"/>
      <c r="F4" s="150"/>
      <c r="G4" s="168"/>
      <c r="H4" s="168"/>
      <c r="I4" s="170"/>
      <c r="J4" s="170"/>
      <c r="K4" s="170"/>
      <c r="L4" s="282"/>
      <c r="M4" s="282"/>
    </row>
    <row r="5" spans="1:13" x14ac:dyDescent="0.25">
      <c r="A5" s="129" t="str">
        <f ca="1">CELL("filename")</f>
        <v>C:\Users\Kyle.McOmber\Work Folders\Desktop\Alaka'i Appeal Submissions\Second Submission\[Copy of Attachment 16 - Financial Plan Workbook - AHA (002).xlsx]Market</v>
      </c>
      <c r="B5" s="141"/>
      <c r="C5" s="141"/>
      <c r="D5" s="150"/>
      <c r="E5" s="150"/>
      <c r="F5" s="150"/>
      <c r="G5" s="168"/>
      <c r="H5" s="168"/>
      <c r="I5" s="1015"/>
      <c r="J5" s="1015"/>
      <c r="K5" s="594"/>
      <c r="L5" s="595"/>
      <c r="M5" s="595"/>
    </row>
    <row r="6" spans="1:13" x14ac:dyDescent="0.25">
      <c r="A6" s="1018"/>
      <c r="B6" s="130" t="s">
        <v>689</v>
      </c>
      <c r="C6" s="130"/>
      <c r="D6" s="150"/>
      <c r="E6" s="150"/>
      <c r="F6" s="150"/>
      <c r="G6" s="168"/>
      <c r="H6" s="168"/>
      <c r="I6" s="168"/>
      <c r="J6" s="168"/>
      <c r="K6" s="168"/>
      <c r="L6" s="282"/>
      <c r="M6" s="282"/>
    </row>
    <row r="7" spans="1:13" x14ac:dyDescent="0.25">
      <c r="A7" s="1018"/>
      <c r="B7" s="130" t="s">
        <v>690</v>
      </c>
      <c r="C7" s="1019"/>
      <c r="D7" s="141"/>
      <c r="E7" s="1019" t="s">
        <v>403</v>
      </c>
      <c r="F7" s="1020">
        <f>'Enrol Staff &amp; Exp'!H6</f>
        <v>2020</v>
      </c>
      <c r="G7" s="141"/>
      <c r="H7" s="141"/>
      <c r="I7" s="141"/>
      <c r="J7" s="141"/>
      <c r="K7" s="141"/>
    </row>
    <row r="8" spans="1:13" x14ac:dyDescent="0.25">
      <c r="A8" s="1018"/>
      <c r="B8" s="130"/>
      <c r="C8" s="1021"/>
      <c r="D8" s="141"/>
      <c r="E8" s="1021" t="s">
        <v>402</v>
      </c>
      <c r="F8" s="135">
        <f>+F7+1</f>
        <v>2021</v>
      </c>
      <c r="G8" s="141"/>
      <c r="H8" s="141"/>
      <c r="I8" s="141"/>
      <c r="J8" s="141"/>
      <c r="K8" s="141"/>
    </row>
    <row r="9" spans="1:13" x14ac:dyDescent="0.25">
      <c r="A9" s="1022"/>
      <c r="B9" s="130"/>
      <c r="C9" s="150"/>
      <c r="D9" s="1023"/>
      <c r="E9" s="1024"/>
      <c r="F9" s="181" t="s">
        <v>433</v>
      </c>
      <c r="G9" s="1025"/>
      <c r="H9" s="1025"/>
      <c r="I9" s="1025"/>
      <c r="J9" s="1025"/>
      <c r="K9" s="1026"/>
    </row>
    <row r="10" spans="1:13" x14ac:dyDescent="0.25">
      <c r="A10" s="1022">
        <f>ROW()</f>
        <v>10</v>
      </c>
      <c r="B10" s="130"/>
      <c r="C10" s="150"/>
      <c r="D10" s="1027"/>
      <c r="E10" s="919" t="s">
        <v>434</v>
      </c>
      <c r="F10" s="919" t="s">
        <v>404</v>
      </c>
      <c r="G10" s="919" t="s">
        <v>405</v>
      </c>
      <c r="H10" s="919" t="s">
        <v>406</v>
      </c>
      <c r="I10" s="919" t="s">
        <v>407</v>
      </c>
      <c r="J10" s="919" t="s">
        <v>408</v>
      </c>
      <c r="K10" s="1028" t="s">
        <v>409</v>
      </c>
    </row>
    <row r="11" spans="1:13" ht="15.75" x14ac:dyDescent="0.25">
      <c r="A11" s="1022">
        <f>ROW()</f>
        <v>11</v>
      </c>
      <c r="B11" s="130"/>
      <c r="C11" s="141"/>
      <c r="D11" s="1029"/>
      <c r="E11" s="1030">
        <f>+F11-1</f>
        <v>2019</v>
      </c>
      <c r="F11" s="1030">
        <f>+F7</f>
        <v>2020</v>
      </c>
      <c r="G11" s="1030">
        <f>+F12</f>
        <v>2021</v>
      </c>
      <c r="H11" s="1030">
        <f>+G12</f>
        <v>2022</v>
      </c>
      <c r="I11" s="1030">
        <f>+H12</f>
        <v>2023</v>
      </c>
      <c r="J11" s="1030">
        <f>+I12</f>
        <v>2024</v>
      </c>
      <c r="K11" s="1031">
        <f>+J12</f>
        <v>2025</v>
      </c>
    </row>
    <row r="12" spans="1:13" s="221" customFormat="1" ht="15.75" x14ac:dyDescent="0.25">
      <c r="A12" s="1022">
        <f>ROW()</f>
        <v>12</v>
      </c>
      <c r="B12" s="130"/>
      <c r="C12" s="150"/>
      <c r="D12" s="1032" t="s">
        <v>440</v>
      </c>
      <c r="E12" s="1033">
        <f>+F12-1</f>
        <v>2020</v>
      </c>
      <c r="F12" s="1034">
        <f t="shared" ref="F12:K12" si="0">+F11+1</f>
        <v>2021</v>
      </c>
      <c r="G12" s="1034">
        <f t="shared" si="0"/>
        <v>2022</v>
      </c>
      <c r="H12" s="1034">
        <f t="shared" si="0"/>
        <v>2023</v>
      </c>
      <c r="I12" s="1034">
        <f t="shared" si="0"/>
        <v>2024</v>
      </c>
      <c r="J12" s="1034">
        <f t="shared" si="0"/>
        <v>2025</v>
      </c>
      <c r="K12" s="1035">
        <f t="shared" si="0"/>
        <v>2026</v>
      </c>
    </row>
    <row r="13" spans="1:13" s="221" customFormat="1" ht="15.75" x14ac:dyDescent="0.25">
      <c r="A13" s="1022">
        <f>ROW()</f>
        <v>13</v>
      </c>
      <c r="B13" s="130" t="s">
        <v>305</v>
      </c>
      <c r="C13" s="283"/>
      <c r="D13" s="1029"/>
      <c r="E13" s="1030"/>
      <c r="F13" s="1036">
        <f>Market!E28</f>
        <v>330</v>
      </c>
      <c r="G13" s="1036">
        <f>Market!F28</f>
        <v>540</v>
      </c>
      <c r="H13" s="1036">
        <f>Market!G28</f>
        <v>760</v>
      </c>
      <c r="I13" s="1036">
        <f>Market!H28</f>
        <v>840</v>
      </c>
      <c r="J13" s="1036">
        <f>Market!I28</f>
        <v>900</v>
      </c>
      <c r="K13" s="1037">
        <f>Market!J28</f>
        <v>960</v>
      </c>
    </row>
    <row r="14" spans="1:13" s="221" customFormat="1" ht="15.75" x14ac:dyDescent="0.25">
      <c r="A14" s="1022">
        <f>ROW()</f>
        <v>14</v>
      </c>
      <c r="B14" s="130" t="s">
        <v>597</v>
      </c>
      <c r="C14" s="283"/>
      <c r="D14" s="1038">
        <f>SUM(E14:K14)</f>
        <v>40852443.351010792</v>
      </c>
      <c r="E14" s="1030"/>
      <c r="F14" s="1039">
        <f>+'Enrol Staff &amp; Exp'!H75</f>
        <v>2892025.3188368049</v>
      </c>
      <c r="G14" s="1039">
        <f>+'Enrol Staff &amp; Exp'!I75</f>
        <v>4848274.1592031252</v>
      </c>
      <c r="H14" s="1039">
        <f>+'Enrol Staff &amp; Exp'!J75</f>
        <v>6991464.2337485291</v>
      </c>
      <c r="I14" s="1039">
        <f>+'Enrol Staff &amp; Exp'!K75</f>
        <v>7918625.3124200366</v>
      </c>
      <c r="J14" s="1039">
        <f>+'Enrol Staff &amp; Exp'!L75</f>
        <v>8695263.5483492538</v>
      </c>
      <c r="K14" s="1040">
        <f>+'Enrol Staff &amp; Exp'!M75</f>
        <v>9506790.7784530465</v>
      </c>
    </row>
    <row r="15" spans="1:13" s="221" customFormat="1" ht="15.75" x14ac:dyDescent="0.25">
      <c r="A15" s="1022">
        <f>ROW()</f>
        <v>15</v>
      </c>
      <c r="B15" s="130" t="s">
        <v>688</v>
      </c>
      <c r="C15" s="283"/>
      <c r="D15" s="1038">
        <f>SUM(E15:K15)</f>
        <v>21025091.309721611</v>
      </c>
      <c r="E15" s="1041">
        <f>SUM(Summary!E67:E74,Summary!E62)</f>
        <v>52500</v>
      </c>
      <c r="F15" s="1039">
        <f>SUM(Summary!F67:F74,Summary!F62)</f>
        <v>1336853.0660000001</v>
      </c>
      <c r="G15" s="1039">
        <f>SUM(Summary!G67:G74,Summary!G62)</f>
        <v>2418695.6130650002</v>
      </c>
      <c r="H15" s="1039">
        <f>SUM(Summary!H67:H74,Summary!H62)</f>
        <v>3242374.7377712494</v>
      </c>
      <c r="I15" s="1039">
        <f>SUM(Summary!I67:I74,Summary!I62)</f>
        <v>4150165.0322142565</v>
      </c>
      <c r="J15" s="1039">
        <f>SUM(Summary!J67:J74,Summary!J62)</f>
        <v>4677568.4842007132</v>
      </c>
      <c r="K15" s="1040">
        <f>SUM(Summary!K67:K74,Summary!K62)</f>
        <v>5146934.3764703898</v>
      </c>
    </row>
    <row r="16" spans="1:13" s="221" customFormat="1" ht="15.75" x14ac:dyDescent="0.25">
      <c r="A16" s="1022">
        <f>ROW()</f>
        <v>16</v>
      </c>
      <c r="B16" s="170"/>
      <c r="C16" s="283"/>
      <c r="D16" s="1042"/>
      <c r="E16" s="1030"/>
      <c r="F16" s="1034"/>
      <c r="G16" s="1034"/>
      <c r="H16" s="1034"/>
      <c r="I16" s="1034"/>
      <c r="J16" s="1034"/>
      <c r="K16" s="1035"/>
    </row>
    <row r="17" spans="1:17" ht="15.75" x14ac:dyDescent="0.25">
      <c r="A17" s="1022">
        <f>ROW()</f>
        <v>17</v>
      </c>
      <c r="B17" s="1044" t="s">
        <v>758</v>
      </c>
      <c r="C17" s="168" t="s">
        <v>305</v>
      </c>
      <c r="D17" s="1043"/>
      <c r="E17" s="1391"/>
      <c r="F17" s="1390">
        <f>'Enrol Staff &amp; Exp'!H15</f>
        <v>7</v>
      </c>
      <c r="G17" s="1388">
        <f>'Enrol Staff &amp; Exp'!I15</f>
        <v>9</v>
      </c>
      <c r="H17" s="1388">
        <f>'Enrol Staff &amp; Exp'!J15</f>
        <v>10</v>
      </c>
      <c r="I17" s="1388">
        <f>'Enrol Staff &amp; Exp'!K15</f>
        <v>9</v>
      </c>
      <c r="J17" s="1388">
        <f>'Enrol Staff &amp; Exp'!L15</f>
        <v>9</v>
      </c>
      <c r="K17" s="1389">
        <f>'Enrol Staff &amp; Exp'!M15</f>
        <v>9</v>
      </c>
      <c r="N17" s="10"/>
      <c r="O17" s="10"/>
      <c r="P17" s="10"/>
      <c r="Q17" s="10"/>
    </row>
    <row r="18" spans="1:17" x14ac:dyDescent="0.25">
      <c r="A18" s="1022">
        <f>ROW()</f>
        <v>18</v>
      </c>
      <c r="B18" s="1046" t="s">
        <v>880</v>
      </c>
      <c r="C18" s="1047"/>
      <c r="D18" s="1045"/>
      <c r="E18" s="1393"/>
      <c r="F18" s="1048"/>
      <c r="G18" s="1048"/>
      <c r="H18" s="1048"/>
      <c r="I18" s="1048"/>
      <c r="J18" s="1048"/>
      <c r="K18" s="1392"/>
      <c r="N18" s="10"/>
      <c r="O18" s="10"/>
      <c r="P18" s="10"/>
      <c r="Q18" s="10"/>
    </row>
    <row r="19" spans="1:17" x14ac:dyDescent="0.25">
      <c r="A19" s="1022">
        <f>ROW()</f>
        <v>19</v>
      </c>
      <c r="B19" s="1068" t="s">
        <v>589</v>
      </c>
      <c r="C19" s="1069">
        <v>0</v>
      </c>
      <c r="D19" s="1049">
        <f>SUM(E19:K19)</f>
        <v>733500</v>
      </c>
      <c r="E19" s="645">
        <v>0</v>
      </c>
      <c r="F19" s="645">
        <f>450*SUM('Enrol Staff &amp; Exp'!H18:H30)</f>
        <v>148500</v>
      </c>
      <c r="G19" s="645">
        <f>450*SUM('Enrol Staff &amp; Exp'!I18:I30)</f>
        <v>243000</v>
      </c>
      <c r="H19" s="645">
        <f>450*SUM('Enrol Staff &amp; Exp'!J18:J30)</f>
        <v>342000</v>
      </c>
      <c r="I19" s="645">
        <v>0</v>
      </c>
      <c r="J19" s="645">
        <v>0</v>
      </c>
      <c r="K19" s="645">
        <v>0</v>
      </c>
      <c r="N19" s="10"/>
      <c r="O19" s="10"/>
      <c r="P19" s="10"/>
      <c r="Q19" s="10"/>
    </row>
    <row r="20" spans="1:17" x14ac:dyDescent="0.25">
      <c r="A20" s="1022">
        <f>ROW()</f>
        <v>20</v>
      </c>
      <c r="B20" s="1070" t="s">
        <v>588</v>
      </c>
      <c r="C20" s="1071">
        <v>0</v>
      </c>
      <c r="D20" s="1049">
        <f>SUM(E20:K20)</f>
        <v>1215000</v>
      </c>
      <c r="E20" s="645">
        <v>0</v>
      </c>
      <c r="F20" s="645">
        <v>0</v>
      </c>
      <c r="G20" s="645">
        <v>0</v>
      </c>
      <c r="H20" s="645">
        <v>0</v>
      </c>
      <c r="I20" s="645">
        <f>450*SUM('Enrol Staff &amp; Exp'!K18:K30)</f>
        <v>378000</v>
      </c>
      <c r="J20" s="645">
        <f>450*SUM('Enrol Staff &amp; Exp'!L18:L30)</f>
        <v>405000</v>
      </c>
      <c r="K20" s="645">
        <f>450*SUM('Enrol Staff &amp; Exp'!M18:M30)</f>
        <v>432000</v>
      </c>
      <c r="N20" s="10"/>
      <c r="O20" s="10"/>
      <c r="P20" s="10"/>
      <c r="Q20" s="10"/>
    </row>
    <row r="21" spans="1:17" x14ac:dyDescent="0.25">
      <c r="A21" s="1022">
        <f>ROW()</f>
        <v>21</v>
      </c>
      <c r="B21" s="1274" t="s">
        <v>928</v>
      </c>
      <c r="C21" s="1071"/>
      <c r="D21" s="1049"/>
      <c r="E21" s="645">
        <v>0</v>
      </c>
      <c r="F21" s="645">
        <v>0</v>
      </c>
      <c r="G21" s="645">
        <v>0</v>
      </c>
      <c r="H21" s="645">
        <v>0</v>
      </c>
      <c r="I21" s="645">
        <v>0</v>
      </c>
      <c r="J21" s="645">
        <v>0</v>
      </c>
      <c r="K21" s="645">
        <v>0</v>
      </c>
      <c r="N21" s="10"/>
      <c r="O21" s="10"/>
      <c r="P21" s="10"/>
      <c r="Q21" s="10"/>
    </row>
    <row r="22" spans="1:17" x14ac:dyDescent="0.25">
      <c r="A22" s="1022">
        <f>ROW()</f>
        <v>22</v>
      </c>
      <c r="B22" s="1070" t="s">
        <v>590</v>
      </c>
      <c r="C22" s="1072">
        <v>0</v>
      </c>
      <c r="D22" s="1049">
        <f>SUM(E22:K22)</f>
        <v>0</v>
      </c>
      <c r="E22" s="645">
        <v>0</v>
      </c>
      <c r="F22" s="645">
        <v>0</v>
      </c>
      <c r="G22" s="645">
        <v>0</v>
      </c>
      <c r="H22" s="645">
        <v>0</v>
      </c>
      <c r="I22" s="645">
        <v>0</v>
      </c>
      <c r="J22" s="645">
        <v>0</v>
      </c>
      <c r="K22" s="645">
        <v>0</v>
      </c>
      <c r="N22" s="10"/>
      <c r="O22" s="10"/>
      <c r="P22" s="10"/>
      <c r="Q22" s="10"/>
    </row>
    <row r="23" spans="1:17" x14ac:dyDescent="0.25">
      <c r="A23" s="1022">
        <f>ROW()</f>
        <v>23</v>
      </c>
      <c r="B23" s="1070" t="s">
        <v>591</v>
      </c>
      <c r="C23" s="1072">
        <v>0</v>
      </c>
      <c r="D23" s="1049">
        <f>SUM(E23:K23)</f>
        <v>0</v>
      </c>
      <c r="E23" s="645">
        <v>0</v>
      </c>
      <c r="F23" s="645">
        <v>0</v>
      </c>
      <c r="G23" s="645">
        <v>0</v>
      </c>
      <c r="H23" s="645">
        <v>0</v>
      </c>
      <c r="I23" s="645">
        <v>0</v>
      </c>
      <c r="J23" s="645">
        <v>0</v>
      </c>
      <c r="K23" s="645">
        <v>0</v>
      </c>
      <c r="N23" s="10"/>
      <c r="O23" s="10"/>
      <c r="P23" s="10"/>
      <c r="Q23" s="10"/>
    </row>
    <row r="24" spans="1:17" x14ac:dyDescent="0.25">
      <c r="A24" s="1022">
        <f>ROW()</f>
        <v>24</v>
      </c>
      <c r="B24" s="1274" t="s">
        <v>928</v>
      </c>
      <c r="C24" s="1072"/>
      <c r="D24" s="1049"/>
      <c r="E24" s="645">
        <v>0</v>
      </c>
      <c r="F24" s="645">
        <v>0</v>
      </c>
      <c r="G24" s="645">
        <v>0</v>
      </c>
      <c r="H24" s="645">
        <v>0</v>
      </c>
      <c r="I24" s="645">
        <v>0</v>
      </c>
      <c r="J24" s="645">
        <v>0</v>
      </c>
      <c r="K24" s="645">
        <v>0</v>
      </c>
      <c r="N24" s="10"/>
      <c r="O24" s="10"/>
      <c r="P24" s="10"/>
      <c r="Q24" s="10"/>
    </row>
    <row r="25" spans="1:17" x14ac:dyDescent="0.25">
      <c r="A25" s="1022">
        <f>ROW()</f>
        <v>25</v>
      </c>
      <c r="B25" s="1070" t="s">
        <v>862</v>
      </c>
      <c r="C25" s="1072">
        <v>0</v>
      </c>
      <c r="D25" s="1049">
        <f>SUM(E25:K25)</f>
        <v>0</v>
      </c>
      <c r="E25" s="645">
        <v>0</v>
      </c>
      <c r="F25" s="645">
        <v>0</v>
      </c>
      <c r="G25" s="645">
        <v>0</v>
      </c>
      <c r="H25" s="645">
        <v>0</v>
      </c>
      <c r="I25" s="645">
        <v>0</v>
      </c>
      <c r="J25" s="645">
        <v>0</v>
      </c>
      <c r="K25" s="645">
        <v>0</v>
      </c>
      <c r="N25" s="10"/>
      <c r="O25" s="10"/>
      <c r="P25" s="10"/>
      <c r="Q25" s="10"/>
    </row>
    <row r="26" spans="1:17" x14ac:dyDescent="0.25">
      <c r="A26" s="1022">
        <f>ROW()</f>
        <v>26</v>
      </c>
      <c r="B26" s="1070" t="s">
        <v>596</v>
      </c>
      <c r="C26" s="1072">
        <v>0</v>
      </c>
      <c r="D26" s="1049">
        <f>SUM(E26:K26)</f>
        <v>0</v>
      </c>
      <c r="E26" s="645">
        <v>0</v>
      </c>
      <c r="F26" s="645">
        <v>0</v>
      </c>
      <c r="G26" s="645">
        <v>0</v>
      </c>
      <c r="H26" s="645">
        <v>0</v>
      </c>
      <c r="I26" s="645">
        <v>0</v>
      </c>
      <c r="J26" s="645">
        <v>0</v>
      </c>
      <c r="K26" s="645">
        <v>0</v>
      </c>
      <c r="N26" s="10"/>
      <c r="O26" s="10"/>
      <c r="P26" s="10"/>
      <c r="Q26" s="10"/>
    </row>
    <row r="27" spans="1:17" x14ac:dyDescent="0.25">
      <c r="A27" s="1022">
        <f>ROW()</f>
        <v>27</v>
      </c>
      <c r="B27" s="1274" t="s">
        <v>928</v>
      </c>
      <c r="C27" s="1072"/>
      <c r="D27" s="1049"/>
      <c r="E27" s="645">
        <v>0</v>
      </c>
      <c r="F27" s="645">
        <v>0</v>
      </c>
      <c r="G27" s="645">
        <v>0</v>
      </c>
      <c r="H27" s="645">
        <v>0</v>
      </c>
      <c r="I27" s="645">
        <v>0</v>
      </c>
      <c r="J27" s="645">
        <v>0</v>
      </c>
      <c r="K27" s="645">
        <v>0</v>
      </c>
      <c r="N27" s="10"/>
      <c r="O27" s="10"/>
      <c r="P27" s="10"/>
      <c r="Q27" s="10"/>
    </row>
    <row r="28" spans="1:17" x14ac:dyDescent="0.25">
      <c r="A28" s="1022">
        <f>ROW()</f>
        <v>28</v>
      </c>
      <c r="B28" s="1070" t="s">
        <v>610</v>
      </c>
      <c r="C28" s="1072"/>
      <c r="D28" s="1049"/>
      <c r="E28" s="645">
        <v>0</v>
      </c>
      <c r="F28" s="645">
        <v>0</v>
      </c>
      <c r="G28" s="645">
        <v>0</v>
      </c>
      <c r="H28" s="645">
        <v>0</v>
      </c>
      <c r="I28" s="645">
        <v>0</v>
      </c>
      <c r="J28" s="645">
        <v>0</v>
      </c>
      <c r="K28" s="645">
        <v>0</v>
      </c>
      <c r="N28" s="10"/>
      <c r="O28" s="10"/>
      <c r="P28" s="10"/>
      <c r="Q28" s="10"/>
    </row>
    <row r="29" spans="1:17" x14ac:dyDescent="0.25">
      <c r="A29" s="1022">
        <f>ROW()</f>
        <v>29</v>
      </c>
      <c r="B29" s="1070" t="s">
        <v>983</v>
      </c>
      <c r="C29" s="1073"/>
      <c r="D29" s="1049">
        <f>SUM(E29:K29)</f>
        <v>52500</v>
      </c>
      <c r="E29" s="645">
        <v>0</v>
      </c>
      <c r="F29" s="645">
        <v>0</v>
      </c>
      <c r="G29" s="645">
        <v>12500</v>
      </c>
      <c r="H29" s="645">
        <v>20000</v>
      </c>
      <c r="I29" s="645">
        <v>20000</v>
      </c>
      <c r="J29" s="645">
        <v>0</v>
      </c>
      <c r="K29" s="645">
        <v>0</v>
      </c>
      <c r="N29" s="10"/>
      <c r="O29" s="10"/>
      <c r="P29" s="10"/>
      <c r="Q29" s="10"/>
    </row>
    <row r="30" spans="1:17" x14ac:dyDescent="0.25">
      <c r="A30" s="1022">
        <f>ROW()</f>
        <v>30</v>
      </c>
      <c r="B30" s="1050"/>
      <c r="C30" s="1051"/>
      <c r="D30" s="1052">
        <f>SUM(E30:K30)</f>
        <v>2001000</v>
      </c>
      <c r="E30" s="1052">
        <f t="shared" ref="E30:K30" si="1">SUM(E19:E29)</f>
        <v>0</v>
      </c>
      <c r="F30" s="1052">
        <f t="shared" si="1"/>
        <v>148500</v>
      </c>
      <c r="G30" s="1052">
        <f t="shared" si="1"/>
        <v>255500</v>
      </c>
      <c r="H30" s="1052">
        <f t="shared" si="1"/>
        <v>362000</v>
      </c>
      <c r="I30" s="1052">
        <f t="shared" si="1"/>
        <v>398000</v>
      </c>
      <c r="J30" s="1052">
        <f t="shared" si="1"/>
        <v>405000</v>
      </c>
      <c r="K30" s="1052">
        <f t="shared" si="1"/>
        <v>432000</v>
      </c>
      <c r="N30" s="10"/>
      <c r="O30" s="10"/>
      <c r="P30" s="10"/>
      <c r="Q30" s="10"/>
    </row>
    <row r="31" spans="1:17" x14ac:dyDescent="0.25">
      <c r="A31" s="1022">
        <f>ROW()</f>
        <v>31</v>
      </c>
      <c r="B31" s="1050"/>
      <c r="C31" s="168"/>
      <c r="D31" s="168"/>
      <c r="E31" s="168"/>
      <c r="F31" s="1051"/>
      <c r="G31" s="1049"/>
      <c r="H31" s="1053"/>
      <c r="I31" s="1054"/>
      <c r="J31" s="1054"/>
      <c r="K31" s="1054"/>
      <c r="L31" s="593"/>
      <c r="M31" s="593"/>
      <c r="N31" s="10"/>
      <c r="O31" s="10"/>
      <c r="P31" s="10"/>
      <c r="Q31" s="10"/>
    </row>
    <row r="32" spans="1:17" x14ac:dyDescent="0.25">
      <c r="A32" s="1022">
        <f>ROW()</f>
        <v>32</v>
      </c>
      <c r="B32" s="1050"/>
      <c r="C32" s="168"/>
      <c r="D32" s="175" t="s">
        <v>692</v>
      </c>
      <c r="E32" s="1055" t="s">
        <v>881</v>
      </c>
      <c r="F32" s="175" t="s">
        <v>592</v>
      </c>
      <c r="G32" s="1049"/>
      <c r="H32" s="1053"/>
      <c r="I32" s="1054"/>
      <c r="J32" s="1054"/>
      <c r="K32" s="1054"/>
      <c r="L32" s="593"/>
      <c r="M32" s="593"/>
      <c r="N32" s="10"/>
      <c r="O32" s="10"/>
      <c r="P32" s="10"/>
      <c r="Q32" s="10"/>
    </row>
    <row r="33" spans="1:17" x14ac:dyDescent="0.25">
      <c r="A33" s="1022">
        <f>ROW()</f>
        <v>33</v>
      </c>
      <c r="B33" s="1050"/>
      <c r="C33" s="168"/>
      <c r="D33" s="175" t="s">
        <v>693</v>
      </c>
      <c r="E33" s="175" t="s">
        <v>694</v>
      </c>
      <c r="F33" s="175" t="s">
        <v>593</v>
      </c>
      <c r="G33" s="1049"/>
      <c r="H33" s="1053"/>
      <c r="I33" s="1054"/>
      <c r="J33" s="1054"/>
      <c r="K33" s="1054"/>
      <c r="L33" s="593"/>
      <c r="M33" s="593"/>
      <c r="N33" s="10"/>
      <c r="O33" s="10"/>
      <c r="P33" s="10"/>
      <c r="Q33" s="10"/>
    </row>
    <row r="34" spans="1:17" ht="15.75" x14ac:dyDescent="0.25">
      <c r="A34" s="1022">
        <f>ROW()</f>
        <v>34</v>
      </c>
      <c r="B34" s="1056" t="s">
        <v>858</v>
      </c>
      <c r="C34" s="461"/>
      <c r="D34" s="1057" t="s">
        <v>586</v>
      </c>
      <c r="E34" s="1057" t="s">
        <v>586</v>
      </c>
      <c r="F34" s="1057" t="s">
        <v>586</v>
      </c>
      <c r="G34" s="1049"/>
      <c r="H34" s="1053"/>
      <c r="I34" s="1054"/>
      <c r="J34" s="1054"/>
      <c r="K34" s="1054"/>
      <c r="L34" s="593"/>
      <c r="M34" s="593"/>
      <c r="N34" s="10"/>
      <c r="O34" s="10"/>
      <c r="P34" s="10"/>
      <c r="Q34" s="10"/>
    </row>
    <row r="35" spans="1:17" ht="30" x14ac:dyDescent="0.25">
      <c r="A35" s="1022">
        <f>ROW()</f>
        <v>35</v>
      </c>
      <c r="B35" s="1058" t="s">
        <v>706</v>
      </c>
      <c r="C35" s="159"/>
      <c r="D35" s="1074" t="s">
        <v>595</v>
      </c>
      <c r="E35" s="1074" t="s">
        <v>595</v>
      </c>
      <c r="F35" s="1075" t="s">
        <v>595</v>
      </c>
      <c r="G35" s="1049"/>
      <c r="H35" s="1053"/>
      <c r="I35" s="1054"/>
      <c r="J35" s="1054"/>
      <c r="K35" s="1054"/>
      <c r="L35" s="593"/>
      <c r="M35" s="593"/>
      <c r="N35" s="10"/>
      <c r="O35" s="10"/>
      <c r="P35" s="10"/>
      <c r="Q35" s="10"/>
    </row>
    <row r="36" spans="1:17" x14ac:dyDescent="0.25">
      <c r="A36" s="1022">
        <f>ROW()</f>
        <v>36</v>
      </c>
      <c r="B36" s="1059" t="s">
        <v>698</v>
      </c>
      <c r="C36" s="1059"/>
      <c r="D36" s="1076" t="s">
        <v>595</v>
      </c>
      <c r="E36" s="1076" t="s">
        <v>595</v>
      </c>
      <c r="F36" s="1077" t="s">
        <v>595</v>
      </c>
      <c r="G36" s="1049"/>
      <c r="H36" s="1053"/>
      <c r="I36" s="1054"/>
      <c r="J36" s="1054"/>
      <c r="K36" s="1054"/>
      <c r="L36" s="593"/>
      <c r="M36" s="593"/>
      <c r="N36" s="10"/>
      <c r="O36" s="10"/>
      <c r="P36" s="10"/>
      <c r="Q36" s="10"/>
    </row>
    <row r="37" spans="1:17" x14ac:dyDescent="0.25">
      <c r="A37" s="1022">
        <f>ROW()</f>
        <v>37</v>
      </c>
      <c r="B37" s="1059" t="s">
        <v>696</v>
      </c>
      <c r="C37" s="1059"/>
      <c r="D37" s="1076" t="s">
        <v>595</v>
      </c>
      <c r="E37" s="1076" t="s">
        <v>595</v>
      </c>
      <c r="F37" s="1077" t="s">
        <v>595</v>
      </c>
      <c r="G37" s="1049"/>
      <c r="H37" s="1053"/>
      <c r="I37" s="1054"/>
      <c r="J37" s="1054"/>
      <c r="K37" s="1054"/>
      <c r="L37" s="593"/>
      <c r="M37" s="593"/>
      <c r="N37" s="10"/>
      <c r="O37" s="10"/>
      <c r="P37" s="10"/>
      <c r="Q37" s="10"/>
    </row>
    <row r="38" spans="1:17" x14ac:dyDescent="0.25">
      <c r="A38" s="1022">
        <f>ROW()</f>
        <v>38</v>
      </c>
      <c r="B38" s="1059" t="s">
        <v>695</v>
      </c>
      <c r="C38" s="1059"/>
      <c r="D38" s="1076" t="s">
        <v>595</v>
      </c>
      <c r="E38" s="1076" t="s">
        <v>595</v>
      </c>
      <c r="F38" s="1077" t="s">
        <v>595</v>
      </c>
      <c r="G38" s="1049"/>
      <c r="H38" s="1053"/>
      <c r="I38" s="1054"/>
      <c r="J38" s="1054"/>
      <c r="K38" s="1054"/>
      <c r="L38" s="593"/>
      <c r="M38" s="593"/>
      <c r="N38" s="10"/>
      <c r="O38" s="10"/>
      <c r="P38" s="10"/>
      <c r="Q38" s="10"/>
    </row>
    <row r="39" spans="1:17" x14ac:dyDescent="0.25">
      <c r="A39" s="1022">
        <f>ROW()</f>
        <v>39</v>
      </c>
      <c r="B39" s="1059" t="s">
        <v>702</v>
      </c>
      <c r="C39" s="1059"/>
      <c r="D39" s="1076" t="s">
        <v>595</v>
      </c>
      <c r="E39" s="1076" t="s">
        <v>595</v>
      </c>
      <c r="F39" s="1077" t="s">
        <v>595</v>
      </c>
      <c r="G39" s="1049"/>
      <c r="H39" s="1053"/>
      <c r="I39" s="1054"/>
      <c r="J39" s="1054"/>
      <c r="K39" s="1054"/>
      <c r="L39" s="593"/>
      <c r="M39" s="593"/>
      <c r="N39" s="10"/>
      <c r="O39" s="10"/>
      <c r="P39" s="10"/>
      <c r="Q39" s="10"/>
    </row>
    <row r="40" spans="1:17" x14ac:dyDescent="0.25">
      <c r="A40" s="1022">
        <f>ROW()</f>
        <v>40</v>
      </c>
      <c r="B40" s="1059" t="s">
        <v>704</v>
      </c>
      <c r="C40" s="1059"/>
      <c r="D40" s="1076" t="s">
        <v>595</v>
      </c>
      <c r="E40" s="1076" t="s">
        <v>595</v>
      </c>
      <c r="F40" s="1077" t="s">
        <v>595</v>
      </c>
      <c r="G40" s="1049"/>
      <c r="H40" s="1053"/>
      <c r="I40" s="1054"/>
      <c r="J40" s="1054"/>
      <c r="K40" s="1054"/>
      <c r="L40" s="593"/>
      <c r="M40" s="593"/>
      <c r="N40" s="10"/>
      <c r="O40" s="10"/>
      <c r="P40" s="10"/>
      <c r="Q40" s="10"/>
    </row>
    <row r="41" spans="1:17" x14ac:dyDescent="0.25">
      <c r="A41" s="1060">
        <f>ROW()</f>
        <v>41</v>
      </c>
      <c r="B41" s="1059" t="s">
        <v>481</v>
      </c>
      <c r="C41" s="1061"/>
      <c r="D41" s="1078" t="s">
        <v>595</v>
      </c>
      <c r="E41" s="1078" t="s">
        <v>595</v>
      </c>
      <c r="F41" s="1079" t="s">
        <v>595</v>
      </c>
      <c r="G41" s="1049"/>
      <c r="H41" s="1053"/>
      <c r="I41" s="1054"/>
      <c r="J41" s="1054"/>
      <c r="K41" s="1054"/>
      <c r="L41" s="593"/>
      <c r="M41" s="593"/>
      <c r="N41" s="10"/>
      <c r="O41" s="10"/>
      <c r="P41" s="10"/>
      <c r="Q41" s="10"/>
    </row>
    <row r="42" spans="1:17" x14ac:dyDescent="0.25">
      <c r="A42" s="1022">
        <f>ROW()</f>
        <v>42</v>
      </c>
      <c r="B42" s="1059" t="s">
        <v>483</v>
      </c>
      <c r="C42" s="1059"/>
      <c r="D42" s="1076" t="s">
        <v>595</v>
      </c>
      <c r="E42" s="1076" t="s">
        <v>595</v>
      </c>
      <c r="F42" s="1077" t="s">
        <v>595</v>
      </c>
      <c r="G42" s="1049"/>
      <c r="H42" s="1053"/>
      <c r="I42" s="1054"/>
      <c r="J42" s="1054"/>
      <c r="K42" s="1054"/>
      <c r="L42" s="593"/>
      <c r="M42" s="593"/>
      <c r="N42" s="10"/>
      <c r="O42" s="10"/>
      <c r="P42" s="10"/>
      <c r="Q42" s="10"/>
    </row>
    <row r="43" spans="1:17" x14ac:dyDescent="0.25">
      <c r="A43" s="1022">
        <f>ROW()</f>
        <v>43</v>
      </c>
      <c r="B43" s="1059" t="s">
        <v>697</v>
      </c>
      <c r="C43" s="1059"/>
      <c r="D43" s="1076" t="s">
        <v>595</v>
      </c>
      <c r="E43" s="1076" t="s">
        <v>595</v>
      </c>
      <c r="F43" s="1077" t="s">
        <v>595</v>
      </c>
      <c r="G43" s="1049"/>
      <c r="H43" s="1053"/>
      <c r="I43" s="1054"/>
      <c r="J43" s="1054"/>
      <c r="K43" s="1054"/>
      <c r="L43" s="593"/>
      <c r="M43" s="593"/>
      <c r="N43" s="10"/>
      <c r="O43" s="10"/>
      <c r="P43" s="10"/>
      <c r="Q43" s="10"/>
    </row>
    <row r="44" spans="1:17" x14ac:dyDescent="0.25">
      <c r="A44" s="1022">
        <f>ROW()</f>
        <v>44</v>
      </c>
      <c r="B44" s="1059" t="s">
        <v>703</v>
      </c>
      <c r="C44" s="1059"/>
      <c r="D44" s="1076" t="s">
        <v>595</v>
      </c>
      <c r="E44" s="1076" t="s">
        <v>595</v>
      </c>
      <c r="F44" s="1077" t="s">
        <v>595</v>
      </c>
      <c r="G44" s="1049"/>
      <c r="H44" s="1053"/>
      <c r="I44" s="1054"/>
      <c r="J44" s="1054"/>
      <c r="K44" s="1054"/>
      <c r="L44" s="593"/>
      <c r="M44" s="593"/>
      <c r="N44" s="10"/>
      <c r="O44" s="10"/>
      <c r="P44" s="10"/>
      <c r="Q44" s="10"/>
    </row>
    <row r="45" spans="1:17" x14ac:dyDescent="0.25">
      <c r="A45" s="1022">
        <f>ROW()</f>
        <v>45</v>
      </c>
      <c r="B45" s="1059" t="s">
        <v>700</v>
      </c>
      <c r="C45" s="1059"/>
      <c r="D45" s="1076" t="s">
        <v>595</v>
      </c>
      <c r="E45" s="1076" t="s">
        <v>595</v>
      </c>
      <c r="F45" s="1077" t="s">
        <v>595</v>
      </c>
      <c r="G45" s="1049"/>
      <c r="H45" s="1053"/>
      <c r="I45" s="1054"/>
      <c r="J45" s="1054"/>
      <c r="K45" s="1054"/>
      <c r="L45" s="593"/>
      <c r="M45" s="593"/>
      <c r="N45" s="10"/>
      <c r="O45" s="10"/>
      <c r="P45" s="10"/>
      <c r="Q45" s="10"/>
    </row>
    <row r="46" spans="1:17" x14ac:dyDescent="0.25">
      <c r="A46" s="1022">
        <f>ROW()</f>
        <v>46</v>
      </c>
      <c r="B46" s="1059" t="s">
        <v>687</v>
      </c>
      <c r="C46" s="1059"/>
      <c r="D46" s="1076" t="s">
        <v>595</v>
      </c>
      <c r="E46" s="1076" t="s">
        <v>595</v>
      </c>
      <c r="F46" s="1077" t="s">
        <v>595</v>
      </c>
      <c r="G46" s="1049"/>
      <c r="H46" s="1053"/>
      <c r="I46" s="1054"/>
      <c r="J46" s="1054"/>
      <c r="K46" s="1054"/>
      <c r="L46" s="593"/>
      <c r="M46" s="593"/>
      <c r="N46" s="10"/>
      <c r="O46" s="10"/>
      <c r="P46" s="10"/>
      <c r="Q46" s="10"/>
    </row>
    <row r="47" spans="1:17" x14ac:dyDescent="0.25">
      <c r="A47" s="1022">
        <f>ROW()</f>
        <v>47</v>
      </c>
      <c r="B47" s="1059" t="s">
        <v>705</v>
      </c>
      <c r="C47" s="1059"/>
      <c r="D47" s="1076" t="s">
        <v>595</v>
      </c>
      <c r="E47" s="1076" t="s">
        <v>595</v>
      </c>
      <c r="F47" s="1077" t="s">
        <v>595</v>
      </c>
      <c r="G47" s="1049"/>
      <c r="H47" s="1053"/>
      <c r="I47" s="1054"/>
      <c r="J47" s="1054"/>
      <c r="K47" s="1054"/>
      <c r="L47" s="593"/>
      <c r="M47" s="593"/>
      <c r="N47" s="10"/>
      <c r="O47" s="10"/>
      <c r="P47" s="10"/>
      <c r="Q47" s="10"/>
    </row>
    <row r="48" spans="1:17" x14ac:dyDescent="0.25">
      <c r="A48" s="1022">
        <f>ROW()</f>
        <v>48</v>
      </c>
      <c r="B48" s="1059" t="s">
        <v>691</v>
      </c>
      <c r="C48" s="1059"/>
      <c r="D48" s="1076" t="s">
        <v>595</v>
      </c>
      <c r="E48" s="1076" t="s">
        <v>595</v>
      </c>
      <c r="F48" s="1077" t="s">
        <v>595</v>
      </c>
      <c r="G48" s="1049"/>
      <c r="H48" s="1053"/>
      <c r="I48" s="1054"/>
      <c r="J48" s="1054"/>
      <c r="K48" s="1054"/>
      <c r="L48" s="593"/>
      <c r="M48" s="593"/>
      <c r="N48" s="10"/>
      <c r="O48" s="10"/>
      <c r="P48" s="10"/>
      <c r="Q48" s="10"/>
    </row>
    <row r="49" spans="1:13" x14ac:dyDescent="0.25">
      <c r="A49" s="1022">
        <f>ROW()</f>
        <v>49</v>
      </c>
      <c r="B49" s="1059" t="s">
        <v>482</v>
      </c>
      <c r="C49" s="1059"/>
      <c r="D49" s="1076" t="s">
        <v>595</v>
      </c>
      <c r="E49" s="1076" t="s">
        <v>595</v>
      </c>
      <c r="F49" s="1077" t="s">
        <v>595</v>
      </c>
      <c r="G49" s="1049"/>
      <c r="H49" s="1053"/>
      <c r="I49" s="1054"/>
      <c r="J49" s="1054"/>
      <c r="K49" s="1054"/>
      <c r="L49" s="593"/>
      <c r="M49" s="593"/>
    </row>
    <row r="50" spans="1:13" x14ac:dyDescent="0.25">
      <c r="A50" s="1022">
        <f>ROW()</f>
        <v>50</v>
      </c>
      <c r="B50" s="1059" t="s">
        <v>489</v>
      </c>
      <c r="C50" s="1059"/>
      <c r="D50" s="1076" t="s">
        <v>595</v>
      </c>
      <c r="E50" s="1076" t="s">
        <v>595</v>
      </c>
      <c r="F50" s="1077" t="s">
        <v>595</v>
      </c>
      <c r="G50" s="1049"/>
      <c r="H50" s="1053"/>
      <c r="I50" s="1054"/>
      <c r="J50" s="1054"/>
      <c r="K50" s="1054"/>
      <c r="L50" s="593"/>
      <c r="M50" s="593"/>
    </row>
    <row r="51" spans="1:13" x14ac:dyDescent="0.25">
      <c r="A51" s="1022">
        <f>ROW()</f>
        <v>51</v>
      </c>
      <c r="B51" s="1059" t="s">
        <v>480</v>
      </c>
      <c r="C51" s="1059"/>
      <c r="D51" s="1076" t="s">
        <v>595</v>
      </c>
      <c r="E51" s="1076" t="s">
        <v>595</v>
      </c>
      <c r="F51" s="1077" t="s">
        <v>595</v>
      </c>
      <c r="G51" s="1049"/>
      <c r="H51" s="1053"/>
      <c r="I51" s="1054"/>
      <c r="J51" s="1054"/>
      <c r="K51" s="1054"/>
      <c r="L51" s="593"/>
      <c r="M51" s="593"/>
    </row>
    <row r="52" spans="1:13" x14ac:dyDescent="0.25">
      <c r="A52" s="1022">
        <f>ROW()</f>
        <v>52</v>
      </c>
      <c r="B52" s="1059" t="s">
        <v>699</v>
      </c>
      <c r="C52" s="1059"/>
      <c r="D52" s="1076" t="s">
        <v>595</v>
      </c>
      <c r="E52" s="1076" t="s">
        <v>595</v>
      </c>
      <c r="F52" s="1077" t="s">
        <v>595</v>
      </c>
      <c r="G52" s="1049"/>
      <c r="H52" s="1053"/>
      <c r="I52" s="1054"/>
      <c r="J52" s="1054"/>
      <c r="K52" s="1054"/>
      <c r="L52" s="593"/>
      <c r="M52" s="593"/>
    </row>
    <row r="53" spans="1:13" x14ac:dyDescent="0.25">
      <c r="A53" s="1022">
        <f>ROW()</f>
        <v>53</v>
      </c>
      <c r="B53" s="1059" t="s">
        <v>701</v>
      </c>
      <c r="C53" s="1059"/>
      <c r="D53" s="1076" t="s">
        <v>595</v>
      </c>
      <c r="E53" s="1076" t="s">
        <v>595</v>
      </c>
      <c r="F53" s="1077" t="s">
        <v>595</v>
      </c>
      <c r="G53" s="1049"/>
      <c r="H53" s="1053"/>
      <c r="I53" s="1054"/>
      <c r="J53" s="1054"/>
      <c r="K53" s="1054"/>
      <c r="L53" s="593"/>
      <c r="M53" s="593"/>
    </row>
    <row r="54" spans="1:13" x14ac:dyDescent="0.25">
      <c r="A54" s="1022">
        <f>ROW()</f>
        <v>54</v>
      </c>
      <c r="B54" s="1059" t="s">
        <v>128</v>
      </c>
      <c r="C54" s="1059"/>
      <c r="D54" s="1076" t="s">
        <v>595</v>
      </c>
      <c r="E54" s="1076" t="s">
        <v>595</v>
      </c>
      <c r="F54" s="1080" t="s">
        <v>595</v>
      </c>
      <c r="G54" s="1049"/>
      <c r="H54" s="1053"/>
      <c r="I54" s="1054"/>
      <c r="J54" s="1054"/>
      <c r="K54" s="1054"/>
      <c r="L54" s="593"/>
      <c r="M54" s="593"/>
    </row>
    <row r="55" spans="1:13" x14ac:dyDescent="0.25">
      <c r="A55" s="1022">
        <f>ROW()</f>
        <v>55</v>
      </c>
      <c r="B55" s="552" t="s">
        <v>594</v>
      </c>
      <c r="C55" s="552"/>
      <c r="D55" s="1076" t="s">
        <v>595</v>
      </c>
      <c r="E55" s="1076" t="s">
        <v>595</v>
      </c>
      <c r="F55" s="1080" t="s">
        <v>595</v>
      </c>
      <c r="G55" s="1049"/>
      <c r="H55" s="1053"/>
      <c r="I55" s="1054"/>
      <c r="J55" s="1054"/>
      <c r="K55" s="1054"/>
      <c r="L55" s="593"/>
      <c r="M55" s="593"/>
    </row>
    <row r="56" spans="1:13" x14ac:dyDescent="0.25">
      <c r="A56" s="1022">
        <f>ROW()</f>
        <v>56</v>
      </c>
      <c r="B56" s="552" t="s">
        <v>594</v>
      </c>
      <c r="C56" s="552"/>
      <c r="D56" s="1076" t="s">
        <v>595</v>
      </c>
      <c r="E56" s="1076" t="s">
        <v>595</v>
      </c>
      <c r="F56" s="1080" t="s">
        <v>595</v>
      </c>
      <c r="G56" s="1049"/>
      <c r="H56" s="1053"/>
      <c r="I56" s="1054"/>
      <c r="J56" s="1054"/>
      <c r="K56" s="1054"/>
      <c r="L56" s="593"/>
      <c r="M56" s="593"/>
    </row>
    <row r="57" spans="1:13" x14ac:dyDescent="0.25">
      <c r="A57" s="1022">
        <f>ROW()</f>
        <v>57</v>
      </c>
      <c r="B57" s="552" t="s">
        <v>594</v>
      </c>
      <c r="C57" s="552"/>
      <c r="D57" s="1076" t="s">
        <v>595</v>
      </c>
      <c r="E57" s="1076" t="s">
        <v>595</v>
      </c>
      <c r="F57" s="1081" t="s">
        <v>595</v>
      </c>
      <c r="G57" s="1049"/>
      <c r="H57" s="1053"/>
      <c r="I57" s="1054"/>
      <c r="J57" s="1054"/>
      <c r="K57" s="1054"/>
      <c r="L57" s="593"/>
      <c r="M57" s="593"/>
    </row>
    <row r="58" spans="1:13" x14ac:dyDescent="0.25">
      <c r="A58" s="1022">
        <f>ROW()</f>
        <v>58</v>
      </c>
      <c r="B58" s="1062" t="s">
        <v>476</v>
      </c>
      <c r="C58" s="1063"/>
      <c r="D58" s="1064"/>
      <c r="E58" s="1064"/>
      <c r="F58" s="1064"/>
      <c r="G58" s="141"/>
      <c r="H58" s="141"/>
      <c r="I58" s="141"/>
      <c r="J58" s="141"/>
      <c r="K58" s="141"/>
    </row>
    <row r="59" spans="1:13" x14ac:dyDescent="0.25">
      <c r="A59" s="1022"/>
      <c r="B59" s="1065" t="s">
        <v>882</v>
      </c>
      <c r="C59" s="159"/>
      <c r="D59" s="1066"/>
      <c r="E59" s="175"/>
      <c r="F59" s="175"/>
      <c r="G59" s="175"/>
      <c r="H59" s="1066"/>
      <c r="I59" s="1066"/>
      <c r="J59" s="1066"/>
      <c r="K59" s="1066"/>
      <c r="L59" s="301"/>
      <c r="M59" s="301"/>
    </row>
    <row r="60" spans="1:13" x14ac:dyDescent="0.25">
      <c r="A60" s="1022"/>
      <c r="B60" s="1065" t="s">
        <v>883</v>
      </c>
      <c r="C60" s="159"/>
      <c r="D60" s="159"/>
      <c r="E60" s="1067"/>
      <c r="F60" s="1067"/>
      <c r="G60" s="1067"/>
      <c r="H60" s="1067"/>
      <c r="I60" s="1067"/>
      <c r="J60" s="1067"/>
      <c r="K60" s="1067"/>
      <c r="L60" s="303"/>
      <c r="M60" s="303"/>
    </row>
    <row r="61" spans="1:13" x14ac:dyDescent="0.25">
      <c r="A61" s="141"/>
      <c r="B61" s="141"/>
      <c r="C61" s="141"/>
      <c r="D61" s="150"/>
      <c r="E61" s="150"/>
      <c r="F61" s="150"/>
      <c r="G61" s="141"/>
      <c r="H61" s="141"/>
      <c r="I61" s="141"/>
      <c r="J61" s="141"/>
      <c r="K61" s="141"/>
    </row>
  </sheetData>
  <sheetProtection algorithmName="SHA-512" hashValue="zcKzo1HDkY04FJ9sMYPaAfrtZQfRWXjbU6dVGHWnZaStakBPpMfDcIGFDjBbOGGN5h3Z7PsuO+X5tGuEGBAnRQ==" saltValue="5pVPCzmf3vCgQUIU01HWhg==" spinCount="100000" sheet="1" selectLockedCells="1"/>
  <protectedRanges>
    <protectedRange sqref="G31:M57 D17:K29" name="Student Input"/>
  </protectedRanges>
  <sortState ref="B35:B54">
    <sortCondition ref="B35:B54"/>
  </sortState>
  <conditionalFormatting sqref="F17:K17">
    <cfRule type="cellIs" dxfId="11" priority="70" stopIfTrue="1" operator="equal">
      <formula>0</formula>
    </cfRule>
  </conditionalFormatting>
  <conditionalFormatting sqref="B41 B35:C40 B42:C54">
    <cfRule type="expression" dxfId="10" priority="72" stopIfTrue="1">
      <formula>MOD(ROW(),2)=0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Q141"/>
  <sheetViews>
    <sheetView zoomScale="70" zoomScaleNormal="70" zoomScaleSheetLayoutView="70" workbookViewId="0">
      <selection activeCell="F41" sqref="F41"/>
    </sheetView>
  </sheetViews>
  <sheetFormatPr defaultColWidth="9.140625" defaultRowHeight="15" x14ac:dyDescent="0.25"/>
  <cols>
    <col min="1" max="1" width="22.28515625" style="141" customWidth="1"/>
    <col min="2" max="2" width="12.28515625" style="141" customWidth="1"/>
    <col min="3" max="3" width="11.5703125" style="141" customWidth="1"/>
    <col min="4" max="5" width="13.7109375" style="141" customWidth="1"/>
    <col min="6" max="14" width="12.7109375" style="141" customWidth="1"/>
    <col min="15" max="16" width="11.85546875" style="141" customWidth="1"/>
    <col min="17" max="17" width="2.42578125" style="217" customWidth="1"/>
    <col min="18" max="18" width="3.85546875" style="141" customWidth="1"/>
    <col min="19" max="16384" width="9.140625" style="141"/>
  </cols>
  <sheetData>
    <row r="1" spans="1:16" ht="15.75" x14ac:dyDescent="0.25">
      <c r="A1" s="457" t="s">
        <v>759</v>
      </c>
      <c r="B1" s="149"/>
      <c r="E1" s="309"/>
      <c r="G1" s="223"/>
      <c r="O1" s="151"/>
    </row>
    <row r="2" spans="1:16" ht="15.75" x14ac:dyDescent="0.25">
      <c r="A2" s="459" t="str">
        <f>SchoolName</f>
        <v xml:space="preserve">Alaka'i Heritage Academy </v>
      </c>
      <c r="B2" s="152"/>
    </row>
    <row r="3" spans="1:16" x14ac:dyDescent="0.25">
      <c r="A3" s="154" t="s">
        <v>415</v>
      </c>
      <c r="B3" s="154"/>
      <c r="C3" s="154"/>
    </row>
    <row r="4" spans="1:16" x14ac:dyDescent="0.25">
      <c r="A4" s="155" t="s">
        <v>452</v>
      </c>
      <c r="B4" s="155"/>
      <c r="C4" s="155"/>
    </row>
    <row r="5" spans="1:16" x14ac:dyDescent="0.25">
      <c r="A5" s="129" t="str">
        <f ca="1">CELL("filename")</f>
        <v>C:\Users\Kyle.McOmber\Work Folders\Desktop\Alaka'i Appeal Submissions\Second Submission\[Copy of Attachment 16 - Financial Plan Workbook - AHA (002).xlsx]Market</v>
      </c>
      <c r="B5" s="129"/>
      <c r="C5" s="129"/>
    </row>
    <row r="6" spans="1:16" x14ac:dyDescent="0.25">
      <c r="I6" s="197"/>
    </row>
    <row r="7" spans="1:16" ht="18.75" x14ac:dyDescent="0.3">
      <c r="A7" s="306" t="s">
        <v>851</v>
      </c>
      <c r="B7" s="306"/>
      <c r="C7" s="306"/>
      <c r="D7" s="912">
        <f>'Enrol Staff &amp; Exp'!H10</f>
        <v>2020</v>
      </c>
      <c r="E7" s="307" t="s">
        <v>436</v>
      </c>
      <c r="L7" s="17"/>
      <c r="M7" s="17"/>
      <c r="N7" s="17"/>
      <c r="O7" s="17"/>
      <c r="P7" s="17"/>
    </row>
    <row r="8" spans="1:16" x14ac:dyDescent="0.25">
      <c r="A8" s="308" t="s">
        <v>412</v>
      </c>
      <c r="B8" s="308"/>
      <c r="C8" s="308"/>
      <c r="D8" s="912">
        <f>'Enrol Staff &amp; Exp'!H11</f>
        <v>2021</v>
      </c>
      <c r="E8" s="812" t="s">
        <v>438</v>
      </c>
      <c r="F8" s="310"/>
      <c r="K8" s="310"/>
      <c r="L8" s="310"/>
      <c r="M8" s="310"/>
      <c r="N8" s="310"/>
      <c r="O8" s="310"/>
      <c r="P8" s="310"/>
    </row>
    <row r="9" spans="1:16" x14ac:dyDescent="0.25">
      <c r="A9" s="308" t="s">
        <v>490</v>
      </c>
      <c r="B9" s="308"/>
      <c r="C9" s="308"/>
      <c r="D9" s="1005">
        <v>1.2500000000000001E-2</v>
      </c>
      <c r="E9" s="309"/>
      <c r="F9" s="310"/>
      <c r="K9" s="310"/>
      <c r="L9" s="310"/>
      <c r="M9" s="310"/>
      <c r="N9" s="310"/>
      <c r="O9" s="310"/>
      <c r="P9" s="310"/>
    </row>
    <row r="10" spans="1:16" ht="15.75" thickBot="1" x14ac:dyDescent="0.3">
      <c r="A10" s="309" t="s">
        <v>437</v>
      </c>
      <c r="B10" s="309"/>
      <c r="C10" s="309"/>
      <c r="D10" s="17"/>
      <c r="E10" s="311"/>
      <c r="F10" s="311"/>
      <c r="G10" s="17"/>
      <c r="H10" s="311"/>
      <c r="I10" s="17"/>
      <c r="J10" s="17"/>
      <c r="K10" s="17"/>
      <c r="L10" s="17"/>
      <c r="M10" s="17"/>
      <c r="N10" s="17"/>
      <c r="O10" s="17"/>
      <c r="P10" s="17"/>
    </row>
    <row r="11" spans="1:16" ht="15" customHeight="1" x14ac:dyDescent="0.25">
      <c r="B11" s="312" t="s">
        <v>604</v>
      </c>
      <c r="C11" s="312"/>
      <c r="D11" s="312" t="s">
        <v>448</v>
      </c>
      <c r="E11" s="313" t="s">
        <v>447</v>
      </c>
      <c r="F11" s="313" t="s">
        <v>447</v>
      </c>
      <c r="G11" s="314" t="s">
        <v>447</v>
      </c>
      <c r="H11" s="313" t="s">
        <v>447</v>
      </c>
      <c r="I11" s="313" t="s">
        <v>447</v>
      </c>
      <c r="J11" s="314" t="s">
        <v>447</v>
      </c>
      <c r="K11" s="313" t="s">
        <v>447</v>
      </c>
      <c r="L11" s="313" t="s">
        <v>447</v>
      </c>
      <c r="M11" s="314" t="s">
        <v>447</v>
      </c>
      <c r="N11" s="313" t="s">
        <v>447</v>
      </c>
      <c r="O11" s="313" t="s">
        <v>447</v>
      </c>
      <c r="P11" s="314" t="s">
        <v>447</v>
      </c>
    </row>
    <row r="12" spans="1:16" ht="15.75" thickBot="1" x14ac:dyDescent="0.3">
      <c r="A12" s="20"/>
      <c r="B12" s="469" t="s">
        <v>850</v>
      </c>
      <c r="C12" s="635" t="s">
        <v>760</v>
      </c>
      <c r="D12" s="315">
        <f>+D8</f>
        <v>2021</v>
      </c>
      <c r="E12" s="316" t="s">
        <v>314</v>
      </c>
      <c r="F12" s="316" t="s">
        <v>315</v>
      </c>
      <c r="G12" s="317" t="s">
        <v>316</v>
      </c>
      <c r="H12" s="316" t="s">
        <v>317</v>
      </c>
      <c r="I12" s="316" t="s">
        <v>318</v>
      </c>
      <c r="J12" s="317" t="s">
        <v>319</v>
      </c>
      <c r="K12" s="316" t="s">
        <v>320</v>
      </c>
      <c r="L12" s="316" t="s">
        <v>321</v>
      </c>
      <c r="M12" s="317" t="s">
        <v>322</v>
      </c>
      <c r="N12" s="316" t="s">
        <v>323</v>
      </c>
      <c r="O12" s="316" t="s">
        <v>324</v>
      </c>
      <c r="P12" s="317" t="s">
        <v>325</v>
      </c>
    </row>
    <row r="13" spans="1:16" x14ac:dyDescent="0.25">
      <c r="A13" s="318" t="s">
        <v>326</v>
      </c>
      <c r="B13" s="318"/>
      <c r="C13" s="318"/>
      <c r="D13" s="319"/>
      <c r="E13" s="320"/>
      <c r="F13" s="321"/>
      <c r="G13" s="321"/>
      <c r="H13" s="321"/>
      <c r="I13" s="321"/>
      <c r="J13" s="321"/>
      <c r="K13" s="321"/>
      <c r="L13" s="321"/>
      <c r="M13" s="321"/>
      <c r="N13" s="321"/>
      <c r="O13" s="321"/>
      <c r="P13" s="321"/>
    </row>
    <row r="14" spans="1:16" x14ac:dyDescent="0.25">
      <c r="A14" s="18" t="s">
        <v>327</v>
      </c>
      <c r="B14" s="606">
        <f>'Enrol Staff &amp; Exp'!H59</f>
        <v>2390173.4874296761</v>
      </c>
      <c r="C14" s="606">
        <f>+B14-D14</f>
        <v>0</v>
      </c>
      <c r="D14" s="114">
        <f>SUM(E14:P14)</f>
        <v>2390173.4874296761</v>
      </c>
      <c r="E14" s="805">
        <v>0</v>
      </c>
      <c r="F14" s="806">
        <f>Summary!F42/11</f>
        <v>217288.49885724328</v>
      </c>
      <c r="G14" s="806">
        <f>F14</f>
        <v>217288.49885724328</v>
      </c>
      <c r="H14" s="806">
        <f t="shared" ref="H14:P14" si="0">G14</f>
        <v>217288.49885724328</v>
      </c>
      <c r="I14" s="806">
        <f t="shared" si="0"/>
        <v>217288.49885724328</v>
      </c>
      <c r="J14" s="806">
        <f t="shared" si="0"/>
        <v>217288.49885724328</v>
      </c>
      <c r="K14" s="806">
        <f t="shared" si="0"/>
        <v>217288.49885724328</v>
      </c>
      <c r="L14" s="806">
        <f t="shared" si="0"/>
        <v>217288.49885724328</v>
      </c>
      <c r="M14" s="806">
        <f t="shared" si="0"/>
        <v>217288.49885724328</v>
      </c>
      <c r="N14" s="806">
        <f t="shared" si="0"/>
        <v>217288.49885724328</v>
      </c>
      <c r="O14" s="806">
        <f t="shared" si="0"/>
        <v>217288.49885724328</v>
      </c>
      <c r="P14" s="806">
        <f t="shared" si="0"/>
        <v>217288.49885724328</v>
      </c>
    </row>
    <row r="15" spans="1:16" x14ac:dyDescent="0.25">
      <c r="A15" s="18" t="s">
        <v>346</v>
      </c>
      <c r="B15" s="607">
        <f>'Enrol Staff &amp; Exp'!H60</f>
        <v>-29877.168592870952</v>
      </c>
      <c r="C15" s="607">
        <f t="shared" ref="C15:C30" si="1">+B15-D15</f>
        <v>0</v>
      </c>
      <c r="D15" s="128">
        <f>SUM(E15:P15)</f>
        <v>-29877.168592870956</v>
      </c>
      <c r="E15" s="847">
        <f>-0.0125*E14</f>
        <v>0</v>
      </c>
      <c r="F15" s="847">
        <f t="shared" ref="F15:P15" si="2">-0.0125*F14</f>
        <v>-2716.1062357155411</v>
      </c>
      <c r="G15" s="847">
        <f t="shared" si="2"/>
        <v>-2716.1062357155411</v>
      </c>
      <c r="H15" s="847">
        <f t="shared" si="2"/>
        <v>-2716.1062357155411</v>
      </c>
      <c r="I15" s="847">
        <f t="shared" si="2"/>
        <v>-2716.1062357155411</v>
      </c>
      <c r="J15" s="847">
        <f t="shared" si="2"/>
        <v>-2716.1062357155411</v>
      </c>
      <c r="K15" s="847">
        <f t="shared" si="2"/>
        <v>-2716.1062357155411</v>
      </c>
      <c r="L15" s="847">
        <f t="shared" si="2"/>
        <v>-2716.1062357155411</v>
      </c>
      <c r="M15" s="847">
        <f t="shared" si="2"/>
        <v>-2716.1062357155411</v>
      </c>
      <c r="N15" s="847">
        <f t="shared" si="2"/>
        <v>-2716.1062357155411</v>
      </c>
      <c r="O15" s="847">
        <f t="shared" si="2"/>
        <v>-2716.1062357155411</v>
      </c>
      <c r="P15" s="847">
        <f t="shared" si="2"/>
        <v>-2716.1062357155411</v>
      </c>
    </row>
    <row r="16" spans="1:16" x14ac:dyDescent="0.25">
      <c r="A16" s="18" t="s">
        <v>125</v>
      </c>
      <c r="B16" s="607">
        <f>'Enrol Staff &amp; Exp'!H61</f>
        <v>187110</v>
      </c>
      <c r="C16" s="607">
        <f t="shared" si="1"/>
        <v>187110</v>
      </c>
      <c r="D16" s="128">
        <f>SUM(E16:P16)</f>
        <v>0</v>
      </c>
      <c r="E16" s="847"/>
      <c r="F16" s="848"/>
      <c r="G16" s="848"/>
      <c r="H16" s="848"/>
      <c r="I16" s="848"/>
      <c r="J16" s="848"/>
      <c r="K16" s="848"/>
      <c r="L16" s="848"/>
      <c r="M16" s="848"/>
      <c r="N16" s="848"/>
      <c r="O16" s="848"/>
      <c r="P16" s="848">
        <v>0</v>
      </c>
    </row>
    <row r="17" spans="1:16" x14ac:dyDescent="0.25">
      <c r="A17" s="18" t="s">
        <v>354</v>
      </c>
      <c r="B17" s="607">
        <f>'Enrol Staff &amp; Exp'!H62</f>
        <v>1155</v>
      </c>
      <c r="C17" s="607">
        <f t="shared" si="1"/>
        <v>1155</v>
      </c>
      <c r="D17" s="128">
        <f>SUM(E17:P17)</f>
        <v>0</v>
      </c>
      <c r="E17" s="847"/>
      <c r="F17" s="848"/>
      <c r="G17" s="848"/>
      <c r="H17" s="848"/>
      <c r="I17" s="848"/>
      <c r="J17" s="848"/>
      <c r="K17" s="848"/>
      <c r="L17" s="848"/>
      <c r="M17" s="848"/>
      <c r="N17" s="848"/>
      <c r="O17" s="848"/>
      <c r="P17" s="848">
        <v>0</v>
      </c>
    </row>
    <row r="18" spans="1:16" x14ac:dyDescent="0.25">
      <c r="A18" s="18" t="s">
        <v>353</v>
      </c>
      <c r="B18" s="607">
        <f>'Enrol Staff &amp; Exp'!H63</f>
        <v>0</v>
      </c>
      <c r="C18" s="607">
        <f t="shared" si="1"/>
        <v>0</v>
      </c>
      <c r="D18" s="128">
        <f t="shared" ref="D18:D29" si="3">SUM(E18:P18)</f>
        <v>0</v>
      </c>
      <c r="E18" s="847"/>
      <c r="F18" s="848"/>
      <c r="G18" s="848"/>
      <c r="H18" s="848"/>
      <c r="I18" s="848"/>
      <c r="J18" s="848"/>
      <c r="K18" s="848"/>
      <c r="L18" s="848"/>
      <c r="M18" s="848"/>
      <c r="N18" s="848"/>
      <c r="O18" s="848"/>
      <c r="P18" s="848">
        <v>0</v>
      </c>
    </row>
    <row r="19" spans="1:16" x14ac:dyDescent="0.25">
      <c r="A19" s="19" t="s">
        <v>238</v>
      </c>
      <c r="B19" s="607">
        <f>'Enrol Staff &amp; Exp'!H64</f>
        <v>0</v>
      </c>
      <c r="C19" s="607">
        <f t="shared" si="1"/>
        <v>0</v>
      </c>
      <c r="D19" s="128">
        <f t="shared" si="3"/>
        <v>0</v>
      </c>
      <c r="E19" s="849"/>
      <c r="F19" s="848">
        <v>0</v>
      </c>
      <c r="G19" s="848">
        <v>0</v>
      </c>
      <c r="H19" s="848">
        <v>0</v>
      </c>
      <c r="I19" s="848">
        <v>0</v>
      </c>
      <c r="J19" s="848">
        <v>0</v>
      </c>
      <c r="K19" s="848">
        <v>0</v>
      </c>
      <c r="L19" s="848">
        <v>0</v>
      </c>
      <c r="M19" s="848">
        <v>0</v>
      </c>
      <c r="N19" s="848">
        <v>0</v>
      </c>
      <c r="O19" s="848">
        <v>0</v>
      </c>
      <c r="P19" s="848"/>
    </row>
    <row r="20" spans="1:16" x14ac:dyDescent="0.25">
      <c r="A20" s="18" t="s">
        <v>6</v>
      </c>
      <c r="B20" s="607">
        <f>'Enrol Staff &amp; Exp'!H65</f>
        <v>144342</v>
      </c>
      <c r="C20" s="607">
        <f t="shared" si="1"/>
        <v>0</v>
      </c>
      <c r="D20" s="128">
        <f t="shared" si="3"/>
        <v>144342</v>
      </c>
      <c r="E20" s="849"/>
      <c r="F20" s="848">
        <v>0</v>
      </c>
      <c r="G20" s="848">
        <f>Summary!F48/10</f>
        <v>14434.2</v>
      </c>
      <c r="H20" s="848">
        <f>G20</f>
        <v>14434.2</v>
      </c>
      <c r="I20" s="848">
        <f>H20</f>
        <v>14434.2</v>
      </c>
      <c r="J20" s="848">
        <f t="shared" ref="J20:P21" si="4">I20</f>
        <v>14434.2</v>
      </c>
      <c r="K20" s="848">
        <f t="shared" si="4"/>
        <v>14434.2</v>
      </c>
      <c r="L20" s="848">
        <f t="shared" si="4"/>
        <v>14434.2</v>
      </c>
      <c r="M20" s="848">
        <f t="shared" si="4"/>
        <v>14434.2</v>
      </c>
      <c r="N20" s="848">
        <f t="shared" si="4"/>
        <v>14434.2</v>
      </c>
      <c r="O20" s="848">
        <f t="shared" si="4"/>
        <v>14434.2</v>
      </c>
      <c r="P20" s="848">
        <f t="shared" si="4"/>
        <v>14434.2</v>
      </c>
    </row>
    <row r="21" spans="1:16" x14ac:dyDescent="0.25">
      <c r="A21" s="18" t="s">
        <v>228</v>
      </c>
      <c r="B21" s="607">
        <f>'Enrol Staff &amp; Exp'!H66</f>
        <v>48972</v>
      </c>
      <c r="C21" s="607">
        <f t="shared" si="1"/>
        <v>28403.759999999998</v>
      </c>
      <c r="D21" s="128">
        <f t="shared" si="3"/>
        <v>20568.240000000002</v>
      </c>
      <c r="E21" s="849"/>
      <c r="F21" s="848"/>
      <c r="G21" s="848"/>
      <c r="H21" s="848">
        <f>(Summary!F49*0.42)/9</f>
        <v>2285.3599999999997</v>
      </c>
      <c r="I21" s="850">
        <f>H21</f>
        <v>2285.3599999999997</v>
      </c>
      <c r="J21" s="850">
        <f t="shared" ref="J21:O21" si="5">I21</f>
        <v>2285.3599999999997</v>
      </c>
      <c r="K21" s="850">
        <f t="shared" si="5"/>
        <v>2285.3599999999997</v>
      </c>
      <c r="L21" s="850">
        <f t="shared" si="5"/>
        <v>2285.3599999999997</v>
      </c>
      <c r="M21" s="850">
        <f t="shared" si="5"/>
        <v>2285.3599999999997</v>
      </c>
      <c r="N21" s="850">
        <f t="shared" si="5"/>
        <v>2285.3599999999997</v>
      </c>
      <c r="O21" s="850">
        <f t="shared" si="5"/>
        <v>2285.3599999999997</v>
      </c>
      <c r="P21" s="848">
        <f t="shared" si="4"/>
        <v>2285.3599999999997</v>
      </c>
    </row>
    <row r="22" spans="1:16" x14ac:dyDescent="0.25">
      <c r="A22" s="18" t="s">
        <v>553</v>
      </c>
      <c r="B22" s="607">
        <f>'Enrol Staff &amp; Exp'!H67</f>
        <v>150150</v>
      </c>
      <c r="C22" s="607">
        <f t="shared" si="1"/>
        <v>150150</v>
      </c>
      <c r="D22" s="128">
        <f t="shared" si="3"/>
        <v>0</v>
      </c>
      <c r="E22" s="849"/>
      <c r="F22" s="848"/>
      <c r="G22" s="848"/>
      <c r="H22" s="848"/>
      <c r="I22" s="850"/>
      <c r="J22" s="848"/>
      <c r="K22" s="848"/>
      <c r="L22" s="848"/>
      <c r="M22" s="850"/>
      <c r="N22" s="848"/>
      <c r="O22" s="848"/>
      <c r="P22" s="848">
        <v>0</v>
      </c>
    </row>
    <row r="23" spans="1:16" x14ac:dyDescent="0.25">
      <c r="A23" s="18" t="s">
        <v>554</v>
      </c>
      <c r="B23" s="607">
        <f>'Enrol Staff &amp; Exp'!H68</f>
        <v>0</v>
      </c>
      <c r="C23" s="607">
        <f t="shared" si="1"/>
        <v>0</v>
      </c>
      <c r="D23" s="128">
        <f t="shared" si="3"/>
        <v>0</v>
      </c>
      <c r="E23" s="849"/>
      <c r="F23" s="848"/>
      <c r="G23" s="848"/>
      <c r="H23" s="848"/>
      <c r="I23" s="850"/>
      <c r="J23" s="848"/>
      <c r="K23" s="848"/>
      <c r="L23" s="848"/>
      <c r="M23" s="850"/>
      <c r="N23" s="848"/>
      <c r="O23" s="848"/>
      <c r="P23" s="848"/>
    </row>
    <row r="24" spans="1:16" x14ac:dyDescent="0.25">
      <c r="A24" s="18" t="s">
        <v>258</v>
      </c>
      <c r="B24" s="607">
        <f>'Enrol Staff &amp; Exp'!H69</f>
        <v>0</v>
      </c>
      <c r="C24" s="607">
        <f t="shared" si="1"/>
        <v>0</v>
      </c>
      <c r="D24" s="128">
        <f t="shared" si="3"/>
        <v>0</v>
      </c>
      <c r="E24" s="849"/>
      <c r="F24" s="848"/>
      <c r="G24" s="848"/>
      <c r="H24" s="848"/>
      <c r="I24" s="850"/>
      <c r="J24" s="848"/>
      <c r="K24" s="848"/>
      <c r="L24" s="848"/>
      <c r="M24" s="850"/>
      <c r="N24" s="848"/>
      <c r="O24" s="848"/>
      <c r="P24" s="848"/>
    </row>
    <row r="25" spans="1:16" x14ac:dyDescent="0.25">
      <c r="A25" s="18" t="s">
        <v>74</v>
      </c>
      <c r="B25" s="607">
        <f>'Enrol Staff &amp; Exp'!H70</f>
        <v>0</v>
      </c>
      <c r="C25" s="607">
        <f t="shared" si="1"/>
        <v>0</v>
      </c>
      <c r="D25" s="128">
        <f t="shared" si="3"/>
        <v>0</v>
      </c>
      <c r="E25" s="849"/>
      <c r="F25" s="848"/>
      <c r="G25" s="848"/>
      <c r="H25" s="848"/>
      <c r="I25" s="850"/>
      <c r="J25" s="848"/>
      <c r="K25" s="848"/>
      <c r="L25" s="848"/>
      <c r="M25" s="850"/>
      <c r="N25" s="848"/>
      <c r="O25" s="848"/>
      <c r="P25" s="848"/>
    </row>
    <row r="26" spans="1:16" x14ac:dyDescent="0.25">
      <c r="A26" s="18" t="s">
        <v>367</v>
      </c>
      <c r="B26" s="607">
        <f>'Enrol Staff &amp; Exp'!H71</f>
        <v>0</v>
      </c>
      <c r="C26" s="607">
        <f t="shared" si="1"/>
        <v>0</v>
      </c>
      <c r="D26" s="128">
        <f t="shared" si="3"/>
        <v>0</v>
      </c>
      <c r="E26" s="849"/>
      <c r="F26" s="848">
        <v>0</v>
      </c>
      <c r="G26" s="848">
        <v>0</v>
      </c>
      <c r="H26" s="848">
        <v>0</v>
      </c>
      <c r="I26" s="848">
        <v>0</v>
      </c>
      <c r="J26" s="848">
        <v>0</v>
      </c>
      <c r="K26" s="848">
        <v>0</v>
      </c>
      <c r="L26" s="848">
        <v>0</v>
      </c>
      <c r="M26" s="848">
        <v>0</v>
      </c>
      <c r="N26" s="848">
        <v>0</v>
      </c>
      <c r="O26" s="848">
        <v>0</v>
      </c>
      <c r="P26" s="848"/>
    </row>
    <row r="27" spans="1:16" x14ac:dyDescent="0.25">
      <c r="A27" s="18" t="s">
        <v>11</v>
      </c>
      <c r="B27" s="607">
        <f>'Enrol Staff &amp; Exp'!H72</f>
        <v>0</v>
      </c>
      <c r="C27" s="607">
        <f t="shared" si="1"/>
        <v>0</v>
      </c>
      <c r="D27" s="128">
        <f t="shared" si="3"/>
        <v>0</v>
      </c>
      <c r="E27" s="849"/>
      <c r="F27" s="848"/>
      <c r="G27" s="848"/>
      <c r="H27" s="848"/>
      <c r="I27" s="850"/>
      <c r="J27" s="848"/>
      <c r="K27" s="848"/>
      <c r="L27" s="848"/>
      <c r="M27" s="850"/>
      <c r="N27" s="848"/>
      <c r="O27" s="848"/>
      <c r="P27" s="848"/>
    </row>
    <row r="28" spans="1:16" x14ac:dyDescent="0.25">
      <c r="A28" s="18" t="s">
        <v>562</v>
      </c>
      <c r="B28" s="496">
        <f>'Enrol Staff &amp; Exp'!H73</f>
        <v>0</v>
      </c>
      <c r="C28" s="496">
        <f t="shared" si="1"/>
        <v>0</v>
      </c>
      <c r="D28" s="128">
        <f t="shared" si="3"/>
        <v>0</v>
      </c>
      <c r="E28" s="849"/>
      <c r="F28" s="848">
        <v>0</v>
      </c>
      <c r="G28" s="848">
        <v>0</v>
      </c>
      <c r="H28" s="848"/>
      <c r="I28" s="850"/>
      <c r="J28" s="848"/>
      <c r="K28" s="848"/>
      <c r="L28" s="848"/>
      <c r="M28" s="850"/>
      <c r="N28" s="848"/>
      <c r="O28" s="848"/>
      <c r="P28" s="848"/>
    </row>
    <row r="29" spans="1:16" x14ac:dyDescent="0.25">
      <c r="A29" s="18" t="s">
        <v>561</v>
      </c>
      <c r="B29" s="496">
        <f>+'Enrol Staff &amp; Exp'!H74</f>
        <v>0</v>
      </c>
      <c r="C29" s="496">
        <f t="shared" si="1"/>
        <v>0</v>
      </c>
      <c r="D29" s="128">
        <f t="shared" si="3"/>
        <v>0</v>
      </c>
      <c r="E29" s="851">
        <v>0</v>
      </c>
      <c r="F29" s="852"/>
      <c r="G29" s="852"/>
      <c r="H29" s="852"/>
      <c r="I29" s="852"/>
      <c r="J29" s="852"/>
      <c r="K29" s="852">
        <v>0</v>
      </c>
      <c r="L29" s="852"/>
      <c r="M29" s="852"/>
      <c r="N29" s="852"/>
      <c r="O29" s="852"/>
      <c r="P29" s="852"/>
    </row>
    <row r="30" spans="1:16" ht="15.75" thickBot="1" x14ac:dyDescent="0.3">
      <c r="A30" s="20" t="s">
        <v>328</v>
      </c>
      <c r="B30" s="117">
        <f>+'Enrol Staff &amp; Exp'!H75</f>
        <v>2892025.3188368049</v>
      </c>
      <c r="C30" s="117">
        <f t="shared" si="1"/>
        <v>366818.75999999978</v>
      </c>
      <c r="D30" s="634">
        <f t="shared" ref="D30:P30" si="6">SUM(D14:D29)</f>
        <v>2525206.5588368052</v>
      </c>
      <c r="E30" s="117">
        <f t="shared" si="6"/>
        <v>0</v>
      </c>
      <c r="F30" s="117">
        <f t="shared" si="6"/>
        <v>214572.39262152775</v>
      </c>
      <c r="G30" s="117">
        <f t="shared" si="6"/>
        <v>229006.59262152776</v>
      </c>
      <c r="H30" s="117">
        <f t="shared" si="6"/>
        <v>231291.95262152774</v>
      </c>
      <c r="I30" s="117">
        <f t="shared" si="6"/>
        <v>231291.95262152774</v>
      </c>
      <c r="J30" s="117">
        <f t="shared" si="6"/>
        <v>231291.95262152774</v>
      </c>
      <c r="K30" s="117">
        <f t="shared" si="6"/>
        <v>231291.95262152774</v>
      </c>
      <c r="L30" s="117">
        <f t="shared" si="6"/>
        <v>231291.95262152774</v>
      </c>
      <c r="M30" s="117">
        <f t="shared" si="6"/>
        <v>231291.95262152774</v>
      </c>
      <c r="N30" s="117">
        <f t="shared" si="6"/>
        <v>231291.95262152774</v>
      </c>
      <c r="O30" s="117">
        <f t="shared" si="6"/>
        <v>231291.95262152774</v>
      </c>
      <c r="P30" s="117">
        <f t="shared" si="6"/>
        <v>231291.95262152774</v>
      </c>
    </row>
    <row r="31" spans="1:16" ht="15.75" thickTop="1" x14ac:dyDescent="0.25">
      <c r="A31" s="20" t="s">
        <v>329</v>
      </c>
      <c r="B31" s="20"/>
      <c r="C31" s="808" t="str">
        <f>IF(ABS(C30)&gt;(0.0025*D30),"!*!*!",0)</f>
        <v>!*!*!</v>
      </c>
      <c r="D31" s="118"/>
      <c r="E31" s="118">
        <f>E30</f>
        <v>0</v>
      </c>
      <c r="F31" s="1419">
        <f t="shared" ref="F31:P31" si="7">E31+F30</f>
        <v>214572.39262152775</v>
      </c>
      <c r="G31" s="1419">
        <f t="shared" si="7"/>
        <v>443578.9852430555</v>
      </c>
      <c r="H31" s="1419">
        <f t="shared" si="7"/>
        <v>674870.93786458322</v>
      </c>
      <c r="I31" s="1419">
        <f t="shared" si="7"/>
        <v>906162.89048611093</v>
      </c>
      <c r="J31" s="1419">
        <f t="shared" si="7"/>
        <v>1137454.8431076386</v>
      </c>
      <c r="K31" s="1419">
        <f t="shared" si="7"/>
        <v>1368746.7957291664</v>
      </c>
      <c r="L31" s="1419">
        <f t="shared" si="7"/>
        <v>1600038.7483506941</v>
      </c>
      <c r="M31" s="1419">
        <f t="shared" si="7"/>
        <v>1831330.7009722218</v>
      </c>
      <c r="N31" s="1419">
        <f t="shared" si="7"/>
        <v>2062622.6535937495</v>
      </c>
      <c r="O31" s="1419">
        <f t="shared" si="7"/>
        <v>2293914.6062152772</v>
      </c>
      <c r="P31" s="1419">
        <f t="shared" si="7"/>
        <v>2525206.5588368052</v>
      </c>
    </row>
    <row r="32" spans="1:16" x14ac:dyDescent="0.25">
      <c r="A32" s="21" t="s">
        <v>370</v>
      </c>
      <c r="B32" s="21"/>
      <c r="C32" s="807"/>
      <c r="D32" s="119"/>
      <c r="E32" s="120">
        <f t="shared" ref="E32:P32" si="8">E31/$D30</f>
        <v>0</v>
      </c>
      <c r="F32" s="121">
        <f t="shared" si="8"/>
        <v>8.4972214201901555E-2</v>
      </c>
      <c r="G32" s="121">
        <f t="shared" si="8"/>
        <v>0.17566047565129994</v>
      </c>
      <c r="H32" s="121">
        <f t="shared" si="8"/>
        <v>0.26725375613448882</v>
      </c>
      <c r="I32" s="121">
        <f t="shared" si="8"/>
        <v>0.35884703661767769</v>
      </c>
      <c r="J32" s="121">
        <f t="shared" si="8"/>
        <v>0.45044031710086657</v>
      </c>
      <c r="K32" s="121">
        <f t="shared" si="8"/>
        <v>0.54203359758405545</v>
      </c>
      <c r="L32" s="121">
        <f t="shared" si="8"/>
        <v>0.63362687806724438</v>
      </c>
      <c r="M32" s="121">
        <f t="shared" si="8"/>
        <v>0.7252201585504332</v>
      </c>
      <c r="N32" s="121">
        <f t="shared" si="8"/>
        <v>0.81681343903362214</v>
      </c>
      <c r="O32" s="121">
        <f t="shared" si="8"/>
        <v>0.90840671951681107</v>
      </c>
      <c r="P32" s="121">
        <f t="shared" si="8"/>
        <v>1</v>
      </c>
    </row>
    <row r="33" spans="1:16" x14ac:dyDescent="0.25">
      <c r="A33" s="17"/>
      <c r="B33" s="17"/>
      <c r="C33" s="17"/>
      <c r="D33" s="119"/>
      <c r="E33" s="322"/>
      <c r="F33" s="323"/>
      <c r="G33" s="323"/>
      <c r="H33" s="323"/>
      <c r="I33" s="324"/>
      <c r="J33" s="323"/>
      <c r="K33" s="323"/>
      <c r="L33" s="323"/>
      <c r="M33" s="324"/>
      <c r="N33" s="323"/>
      <c r="O33" s="323"/>
      <c r="P33" s="323"/>
    </row>
    <row r="34" spans="1:16" ht="14.25" customHeight="1" x14ac:dyDescent="0.25">
      <c r="A34" s="325" t="s">
        <v>650</v>
      </c>
      <c r="B34" s="325"/>
      <c r="C34" s="325"/>
      <c r="D34" s="326"/>
      <c r="E34" s="327"/>
      <c r="F34" s="328"/>
      <c r="G34" s="328"/>
      <c r="H34" s="328"/>
      <c r="I34" s="328"/>
      <c r="J34" s="328"/>
      <c r="K34" s="328"/>
      <c r="L34" s="328"/>
      <c r="M34" s="328"/>
      <c r="N34" s="328"/>
      <c r="O34" s="328"/>
      <c r="P34" s="328"/>
    </row>
    <row r="35" spans="1:16" x14ac:dyDescent="0.25">
      <c r="A35" s="17" t="s">
        <v>331</v>
      </c>
      <c r="B35" s="637">
        <f>'Enrol Staff &amp; Exp'!H421</f>
        <v>888520</v>
      </c>
      <c r="C35" s="606">
        <f t="shared" ref="C35:C54" si="9">+B35-D35</f>
        <v>0</v>
      </c>
      <c r="D35" s="114">
        <f t="shared" ref="D35:D54" si="10">SUM(E35:P35)</f>
        <v>888519.99999999988</v>
      </c>
      <c r="E35" s="847">
        <v>0</v>
      </c>
      <c r="F35" s="847">
        <f>888520/11</f>
        <v>80774.545454545456</v>
      </c>
      <c r="G35" s="847">
        <f>F35</f>
        <v>80774.545454545456</v>
      </c>
      <c r="H35" s="847">
        <f t="shared" ref="H35:P35" si="11">G35</f>
        <v>80774.545454545456</v>
      </c>
      <c r="I35" s="847">
        <f t="shared" si="11"/>
        <v>80774.545454545456</v>
      </c>
      <c r="J35" s="847">
        <f t="shared" si="11"/>
        <v>80774.545454545456</v>
      </c>
      <c r="K35" s="847">
        <f t="shared" si="11"/>
        <v>80774.545454545456</v>
      </c>
      <c r="L35" s="847">
        <f t="shared" si="11"/>
        <v>80774.545454545456</v>
      </c>
      <c r="M35" s="847">
        <f t="shared" si="11"/>
        <v>80774.545454545456</v>
      </c>
      <c r="N35" s="847">
        <f t="shared" si="11"/>
        <v>80774.545454545456</v>
      </c>
      <c r="O35" s="847">
        <f t="shared" si="11"/>
        <v>80774.545454545456</v>
      </c>
      <c r="P35" s="847">
        <f t="shared" si="11"/>
        <v>80774.545454545456</v>
      </c>
    </row>
    <row r="36" spans="1:16" x14ac:dyDescent="0.25">
      <c r="A36" s="18" t="s">
        <v>332</v>
      </c>
      <c r="B36" s="607">
        <f>'Enrol Staff &amp; Exp'!H1343</f>
        <v>413293.06600000005</v>
      </c>
      <c r="C36" s="607">
        <f t="shared" si="9"/>
        <v>6.5999999933410436E-2</v>
      </c>
      <c r="D36" s="128">
        <f t="shared" si="10"/>
        <v>413293.00000000012</v>
      </c>
      <c r="E36" s="847">
        <v>0</v>
      </c>
      <c r="F36" s="847">
        <f>413293/11</f>
        <v>37572.090909090912</v>
      </c>
      <c r="G36" s="847">
        <f>F36</f>
        <v>37572.090909090912</v>
      </c>
      <c r="H36" s="847">
        <f t="shared" ref="H36:P36" si="12">G36</f>
        <v>37572.090909090912</v>
      </c>
      <c r="I36" s="847">
        <f t="shared" si="12"/>
        <v>37572.090909090912</v>
      </c>
      <c r="J36" s="847">
        <f t="shared" si="12"/>
        <v>37572.090909090912</v>
      </c>
      <c r="K36" s="847">
        <f t="shared" si="12"/>
        <v>37572.090909090912</v>
      </c>
      <c r="L36" s="847">
        <f t="shared" si="12"/>
        <v>37572.090909090912</v>
      </c>
      <c r="M36" s="847">
        <f t="shared" si="12"/>
        <v>37572.090909090912</v>
      </c>
      <c r="N36" s="847">
        <f t="shared" si="12"/>
        <v>37572.090909090912</v>
      </c>
      <c r="O36" s="847">
        <f t="shared" si="12"/>
        <v>37572.090909090912</v>
      </c>
      <c r="P36" s="847">
        <f t="shared" si="12"/>
        <v>37572.090909090912</v>
      </c>
    </row>
    <row r="37" spans="1:16" x14ac:dyDescent="0.25">
      <c r="A37" s="18" t="s">
        <v>468</v>
      </c>
      <c r="B37" s="607">
        <f>+'Enrol Staff &amp; Exp'!H1368</f>
        <v>0</v>
      </c>
      <c r="C37" s="607">
        <f t="shared" si="9"/>
        <v>0</v>
      </c>
      <c r="D37" s="128">
        <f>SUM(E37:P37)</f>
        <v>0</v>
      </c>
      <c r="E37" s="847">
        <v>0</v>
      </c>
      <c r="F37" s="847">
        <v>0</v>
      </c>
      <c r="G37" s="847">
        <v>0</v>
      </c>
      <c r="H37" s="847">
        <v>0</v>
      </c>
      <c r="I37" s="847">
        <v>0</v>
      </c>
      <c r="J37" s="847">
        <v>0</v>
      </c>
      <c r="K37" s="847">
        <v>0</v>
      </c>
      <c r="L37" s="847">
        <v>0</v>
      </c>
      <c r="M37" s="847">
        <v>0</v>
      </c>
      <c r="N37" s="847">
        <v>0</v>
      </c>
      <c r="O37" s="847">
        <v>0</v>
      </c>
      <c r="P37" s="847">
        <v>0</v>
      </c>
    </row>
    <row r="38" spans="1:16" x14ac:dyDescent="0.25">
      <c r="A38" s="18" t="s">
        <v>469</v>
      </c>
      <c r="B38" s="607">
        <f>+'Enrol Staff &amp; Exp'!H1370</f>
        <v>0</v>
      </c>
      <c r="C38" s="607">
        <f t="shared" si="9"/>
        <v>0</v>
      </c>
      <c r="D38" s="128">
        <f>SUM(E38:P38)</f>
        <v>0</v>
      </c>
      <c r="E38" s="847">
        <v>0</v>
      </c>
      <c r="F38" s="847">
        <v>0</v>
      </c>
      <c r="G38" s="847">
        <v>0</v>
      </c>
      <c r="H38" s="847">
        <v>0</v>
      </c>
      <c r="I38" s="847">
        <v>0</v>
      </c>
      <c r="J38" s="847">
        <v>0</v>
      </c>
      <c r="K38" s="847">
        <v>0</v>
      </c>
      <c r="L38" s="847">
        <v>0</v>
      </c>
      <c r="M38" s="847">
        <v>0</v>
      </c>
      <c r="N38" s="847">
        <v>0</v>
      </c>
      <c r="O38" s="847">
        <v>0</v>
      </c>
      <c r="P38" s="847">
        <v>0</v>
      </c>
    </row>
    <row r="39" spans="1:16" x14ac:dyDescent="0.25">
      <c r="A39" s="18" t="s">
        <v>135</v>
      </c>
      <c r="B39" s="607">
        <f>+'Enrol Staff &amp; Exp'!H1372</f>
        <v>5040</v>
      </c>
      <c r="C39" s="607">
        <f t="shared" si="9"/>
        <v>0</v>
      </c>
      <c r="D39" s="128">
        <f>SUM(E39:P39)</f>
        <v>5039.9999999999991</v>
      </c>
      <c r="E39" s="847">
        <v>0</v>
      </c>
      <c r="F39" s="847">
        <f>5040/11</f>
        <v>458.18181818181819</v>
      </c>
      <c r="G39" s="847">
        <f>F39</f>
        <v>458.18181818181819</v>
      </c>
      <c r="H39" s="847">
        <f t="shared" ref="H39:P39" si="13">G39</f>
        <v>458.18181818181819</v>
      </c>
      <c r="I39" s="847">
        <f t="shared" si="13"/>
        <v>458.18181818181819</v>
      </c>
      <c r="J39" s="847">
        <f t="shared" si="13"/>
        <v>458.18181818181819</v>
      </c>
      <c r="K39" s="847">
        <f t="shared" si="13"/>
        <v>458.18181818181819</v>
      </c>
      <c r="L39" s="847">
        <f t="shared" si="13"/>
        <v>458.18181818181819</v>
      </c>
      <c r="M39" s="847">
        <f t="shared" si="13"/>
        <v>458.18181818181819</v>
      </c>
      <c r="N39" s="847">
        <f t="shared" si="13"/>
        <v>458.18181818181819</v>
      </c>
      <c r="O39" s="847">
        <f t="shared" si="13"/>
        <v>458.18181818181819</v>
      </c>
      <c r="P39" s="847">
        <f t="shared" si="13"/>
        <v>458.18181818181819</v>
      </c>
    </row>
    <row r="40" spans="1:16" x14ac:dyDescent="0.25">
      <c r="A40" s="18" t="s">
        <v>535</v>
      </c>
      <c r="B40" s="607">
        <f>'Enrol Staff &amp; Exp'!H1418</f>
        <v>209099</v>
      </c>
      <c r="C40" s="607">
        <f t="shared" si="9"/>
        <v>0</v>
      </c>
      <c r="D40" s="128">
        <f>SUM(E40:P40)</f>
        <v>209098.99999999994</v>
      </c>
      <c r="E40" s="847">
        <v>0</v>
      </c>
      <c r="F40" s="847">
        <f>209099-109099</f>
        <v>100000</v>
      </c>
      <c r="G40" s="847">
        <f>109099/10</f>
        <v>10909.9</v>
      </c>
      <c r="H40" s="847">
        <f t="shared" ref="H40:P40" si="14">G40</f>
        <v>10909.9</v>
      </c>
      <c r="I40" s="847">
        <f t="shared" si="14"/>
        <v>10909.9</v>
      </c>
      <c r="J40" s="847">
        <f t="shared" si="14"/>
        <v>10909.9</v>
      </c>
      <c r="K40" s="847">
        <f t="shared" si="14"/>
        <v>10909.9</v>
      </c>
      <c r="L40" s="847">
        <f t="shared" si="14"/>
        <v>10909.9</v>
      </c>
      <c r="M40" s="847">
        <f t="shared" si="14"/>
        <v>10909.9</v>
      </c>
      <c r="N40" s="847">
        <f t="shared" si="14"/>
        <v>10909.9</v>
      </c>
      <c r="O40" s="847">
        <f t="shared" si="14"/>
        <v>10909.9</v>
      </c>
      <c r="P40" s="847">
        <f t="shared" si="14"/>
        <v>10909.9</v>
      </c>
    </row>
    <row r="41" spans="1:16" x14ac:dyDescent="0.25">
      <c r="A41" s="18" t="s">
        <v>333</v>
      </c>
      <c r="B41" s="607">
        <f>+'Enrol Staff &amp; Exp'!H1426</f>
        <v>25000</v>
      </c>
      <c r="C41" s="607">
        <f t="shared" si="9"/>
        <v>-148499.99999999994</v>
      </c>
      <c r="D41" s="128">
        <f t="shared" si="10"/>
        <v>173499.99999999994</v>
      </c>
      <c r="E41" s="847">
        <v>0</v>
      </c>
      <c r="F41" s="847">
        <f>(25000+'EMO-CMO'!F19)/11</f>
        <v>15772.727272727272</v>
      </c>
      <c r="G41" s="847">
        <f>F41</f>
        <v>15772.727272727272</v>
      </c>
      <c r="H41" s="847">
        <f t="shared" ref="H41:P41" si="15">G41</f>
        <v>15772.727272727272</v>
      </c>
      <c r="I41" s="847">
        <f t="shared" si="15"/>
        <v>15772.727272727272</v>
      </c>
      <c r="J41" s="847">
        <f t="shared" si="15"/>
        <v>15772.727272727272</v>
      </c>
      <c r="K41" s="847">
        <f t="shared" si="15"/>
        <v>15772.727272727272</v>
      </c>
      <c r="L41" s="847">
        <f t="shared" si="15"/>
        <v>15772.727272727272</v>
      </c>
      <c r="M41" s="847">
        <f t="shared" si="15"/>
        <v>15772.727272727272</v>
      </c>
      <c r="N41" s="847">
        <f t="shared" si="15"/>
        <v>15772.727272727272</v>
      </c>
      <c r="O41" s="847">
        <f t="shared" si="15"/>
        <v>15772.727272727272</v>
      </c>
      <c r="P41" s="847">
        <f t="shared" si="15"/>
        <v>15772.727272727272</v>
      </c>
    </row>
    <row r="42" spans="1:16" x14ac:dyDescent="0.25">
      <c r="A42" s="18" t="s">
        <v>605</v>
      </c>
      <c r="B42" s="607">
        <f>+'Enrol Staff &amp; Exp'!H1435</f>
        <v>148500</v>
      </c>
      <c r="C42" s="607">
        <f t="shared" si="9"/>
        <v>0</v>
      </c>
      <c r="D42" s="128">
        <f t="shared" si="10"/>
        <v>148500</v>
      </c>
      <c r="E42" s="847">
        <v>0</v>
      </c>
      <c r="F42" s="847">
        <v>0</v>
      </c>
      <c r="G42" s="847">
        <f>148500/10</f>
        <v>14850</v>
      </c>
      <c r="H42" s="847">
        <f>G42</f>
        <v>14850</v>
      </c>
      <c r="I42" s="847">
        <f t="shared" ref="I42:P42" si="16">H42</f>
        <v>14850</v>
      </c>
      <c r="J42" s="847">
        <f t="shared" si="16"/>
        <v>14850</v>
      </c>
      <c r="K42" s="847">
        <f t="shared" si="16"/>
        <v>14850</v>
      </c>
      <c r="L42" s="847">
        <f t="shared" si="16"/>
        <v>14850</v>
      </c>
      <c r="M42" s="847">
        <f t="shared" si="16"/>
        <v>14850</v>
      </c>
      <c r="N42" s="847">
        <f t="shared" si="16"/>
        <v>14850</v>
      </c>
      <c r="O42" s="847">
        <f t="shared" si="16"/>
        <v>14850</v>
      </c>
      <c r="P42" s="847">
        <f t="shared" si="16"/>
        <v>14850</v>
      </c>
    </row>
    <row r="43" spans="1:16" x14ac:dyDescent="0.25">
      <c r="A43" s="18" t="s">
        <v>128</v>
      </c>
      <c r="B43" s="607">
        <f>'Enrol Staff &amp; Exp'!H1464</f>
        <v>0</v>
      </c>
      <c r="C43" s="607">
        <f t="shared" si="9"/>
        <v>0</v>
      </c>
      <c r="D43" s="128">
        <f t="shared" si="10"/>
        <v>0</v>
      </c>
      <c r="E43" s="847">
        <v>0</v>
      </c>
      <c r="F43" s="847">
        <v>0</v>
      </c>
      <c r="G43" s="847">
        <v>0</v>
      </c>
      <c r="H43" s="847">
        <v>0</v>
      </c>
      <c r="I43" s="847">
        <v>0</v>
      </c>
      <c r="J43" s="847">
        <v>0</v>
      </c>
      <c r="K43" s="847">
        <v>0</v>
      </c>
      <c r="L43" s="847">
        <v>0</v>
      </c>
      <c r="M43" s="847">
        <v>0</v>
      </c>
      <c r="N43" s="847">
        <v>0</v>
      </c>
      <c r="O43" s="847">
        <v>0</v>
      </c>
      <c r="P43" s="847">
        <v>0</v>
      </c>
    </row>
    <row r="44" spans="1:16" x14ac:dyDescent="0.25">
      <c r="A44" s="465" t="s">
        <v>536</v>
      </c>
      <c r="B44" s="607">
        <f>'Enrol Staff &amp; Exp'!H1581</f>
        <v>0</v>
      </c>
      <c r="C44" s="607">
        <f t="shared" si="9"/>
        <v>0</v>
      </c>
      <c r="D44" s="128">
        <f t="shared" si="10"/>
        <v>0</v>
      </c>
      <c r="E44" s="847">
        <v>0</v>
      </c>
      <c r="F44" s="847">
        <v>0</v>
      </c>
      <c r="G44" s="847">
        <v>0</v>
      </c>
      <c r="H44" s="847">
        <v>0</v>
      </c>
      <c r="I44" s="847">
        <v>0</v>
      </c>
      <c r="J44" s="847">
        <v>0</v>
      </c>
      <c r="K44" s="847">
        <v>0</v>
      </c>
      <c r="L44" s="847">
        <v>0</v>
      </c>
      <c r="M44" s="847">
        <v>0</v>
      </c>
      <c r="N44" s="847">
        <v>0</v>
      </c>
      <c r="O44" s="847">
        <v>0</v>
      </c>
      <c r="P44" s="847">
        <v>0</v>
      </c>
    </row>
    <row r="45" spans="1:16" x14ac:dyDescent="0.25">
      <c r="A45" s="150" t="s">
        <v>538</v>
      </c>
      <c r="B45" s="607">
        <f>Marketing!I44</f>
        <v>0</v>
      </c>
      <c r="C45" s="607">
        <f t="shared" si="9"/>
        <v>0</v>
      </c>
      <c r="D45" s="128">
        <f t="shared" si="10"/>
        <v>0</v>
      </c>
      <c r="E45" s="847">
        <v>0</v>
      </c>
      <c r="F45" s="847">
        <v>0</v>
      </c>
      <c r="G45" s="847">
        <v>0</v>
      </c>
      <c r="H45" s="847">
        <v>0</v>
      </c>
      <c r="I45" s="847">
        <v>0</v>
      </c>
      <c r="J45" s="847">
        <v>0</v>
      </c>
      <c r="K45" s="847">
        <v>0</v>
      </c>
      <c r="L45" s="847">
        <v>0</v>
      </c>
      <c r="M45" s="847">
        <v>0</v>
      </c>
      <c r="N45" s="847">
        <v>0</v>
      </c>
      <c r="O45" s="847">
        <v>0</v>
      </c>
      <c r="P45" s="847">
        <v>0</v>
      </c>
    </row>
    <row r="46" spans="1:16" x14ac:dyDescent="0.25">
      <c r="A46" s="18" t="s">
        <v>537</v>
      </c>
      <c r="B46" s="607">
        <f>Facilities!H74</f>
        <v>399960</v>
      </c>
      <c r="C46" s="607">
        <f t="shared" si="9"/>
        <v>0</v>
      </c>
      <c r="D46" s="128">
        <f t="shared" si="10"/>
        <v>399960</v>
      </c>
      <c r="E46" s="847">
        <v>0</v>
      </c>
      <c r="F46" s="847">
        <f>399960/11</f>
        <v>36360</v>
      </c>
      <c r="G46" s="847">
        <f>F46</f>
        <v>36360</v>
      </c>
      <c r="H46" s="847">
        <f t="shared" ref="H46:P46" si="17">G46</f>
        <v>36360</v>
      </c>
      <c r="I46" s="847">
        <f t="shared" si="17"/>
        <v>36360</v>
      </c>
      <c r="J46" s="847">
        <f t="shared" si="17"/>
        <v>36360</v>
      </c>
      <c r="K46" s="847">
        <f t="shared" si="17"/>
        <v>36360</v>
      </c>
      <c r="L46" s="847">
        <f t="shared" si="17"/>
        <v>36360</v>
      </c>
      <c r="M46" s="847">
        <f t="shared" si="17"/>
        <v>36360</v>
      </c>
      <c r="N46" s="847">
        <f t="shared" si="17"/>
        <v>36360</v>
      </c>
      <c r="O46" s="847">
        <f t="shared" si="17"/>
        <v>36360</v>
      </c>
      <c r="P46" s="847">
        <f t="shared" si="17"/>
        <v>36360</v>
      </c>
    </row>
    <row r="47" spans="1:16" x14ac:dyDescent="0.25">
      <c r="A47" s="18" t="s">
        <v>15</v>
      </c>
      <c r="B47" s="607">
        <f>Facilities!H75</f>
        <v>66000</v>
      </c>
      <c r="C47" s="607">
        <f t="shared" si="9"/>
        <v>0</v>
      </c>
      <c r="D47" s="128">
        <f t="shared" si="10"/>
        <v>66000</v>
      </c>
      <c r="E47" s="847">
        <v>0</v>
      </c>
      <c r="F47" s="847">
        <f>66000/11</f>
        <v>6000</v>
      </c>
      <c r="G47" s="847">
        <f>F47</f>
        <v>6000</v>
      </c>
      <c r="H47" s="847">
        <f t="shared" ref="H47:P47" si="18">G47</f>
        <v>6000</v>
      </c>
      <c r="I47" s="847">
        <f t="shared" si="18"/>
        <v>6000</v>
      </c>
      <c r="J47" s="847">
        <f t="shared" si="18"/>
        <v>6000</v>
      </c>
      <c r="K47" s="847">
        <f t="shared" si="18"/>
        <v>6000</v>
      </c>
      <c r="L47" s="847">
        <f t="shared" si="18"/>
        <v>6000</v>
      </c>
      <c r="M47" s="847">
        <f t="shared" si="18"/>
        <v>6000</v>
      </c>
      <c r="N47" s="847">
        <f t="shared" si="18"/>
        <v>6000</v>
      </c>
      <c r="O47" s="847">
        <f t="shared" si="18"/>
        <v>6000</v>
      </c>
      <c r="P47" s="847">
        <f t="shared" si="18"/>
        <v>6000</v>
      </c>
    </row>
    <row r="48" spans="1:16" x14ac:dyDescent="0.25">
      <c r="A48" s="18" t="s">
        <v>255</v>
      </c>
      <c r="B48" s="607">
        <f>Facilities!H76</f>
        <v>87500</v>
      </c>
      <c r="C48" s="607">
        <f t="shared" si="9"/>
        <v>0</v>
      </c>
      <c r="D48" s="128">
        <f t="shared" si="10"/>
        <v>87500</v>
      </c>
      <c r="E48" s="847">
        <v>0</v>
      </c>
      <c r="F48" s="847">
        <f>87500/11</f>
        <v>7954.545454545455</v>
      </c>
      <c r="G48" s="847">
        <f t="shared" ref="G48:P50" si="19">F48</f>
        <v>7954.545454545455</v>
      </c>
      <c r="H48" s="847">
        <f t="shared" si="19"/>
        <v>7954.545454545455</v>
      </c>
      <c r="I48" s="847">
        <f t="shared" si="19"/>
        <v>7954.545454545455</v>
      </c>
      <c r="J48" s="847">
        <f t="shared" si="19"/>
        <v>7954.545454545455</v>
      </c>
      <c r="K48" s="847">
        <f t="shared" si="19"/>
        <v>7954.545454545455</v>
      </c>
      <c r="L48" s="847">
        <f t="shared" si="19"/>
        <v>7954.545454545455</v>
      </c>
      <c r="M48" s="847">
        <f t="shared" si="19"/>
        <v>7954.545454545455</v>
      </c>
      <c r="N48" s="847">
        <f t="shared" si="19"/>
        <v>7954.545454545455</v>
      </c>
      <c r="O48" s="847">
        <f t="shared" si="19"/>
        <v>7954.545454545455</v>
      </c>
      <c r="P48" s="847">
        <f t="shared" si="19"/>
        <v>7954.545454545455</v>
      </c>
    </row>
    <row r="49" spans="1:16" x14ac:dyDescent="0.25">
      <c r="A49" s="465" t="s">
        <v>773</v>
      </c>
      <c r="B49" s="607">
        <f>Facilities!H77</f>
        <v>25000</v>
      </c>
      <c r="C49" s="607">
        <f t="shared" si="9"/>
        <v>0</v>
      </c>
      <c r="D49" s="128">
        <f t="shared" si="10"/>
        <v>24999.999999999996</v>
      </c>
      <c r="E49" s="847">
        <v>0</v>
      </c>
      <c r="F49" s="847">
        <f>25000/11</f>
        <v>2272.7272727272725</v>
      </c>
      <c r="G49" s="847">
        <f t="shared" si="19"/>
        <v>2272.7272727272725</v>
      </c>
      <c r="H49" s="847">
        <f t="shared" si="19"/>
        <v>2272.7272727272725</v>
      </c>
      <c r="I49" s="847">
        <f t="shared" si="19"/>
        <v>2272.7272727272725</v>
      </c>
      <c r="J49" s="847">
        <f t="shared" si="19"/>
        <v>2272.7272727272725</v>
      </c>
      <c r="K49" s="847">
        <f t="shared" si="19"/>
        <v>2272.7272727272725</v>
      </c>
      <c r="L49" s="847">
        <f t="shared" si="19"/>
        <v>2272.7272727272725</v>
      </c>
      <c r="M49" s="847">
        <f t="shared" si="19"/>
        <v>2272.7272727272725</v>
      </c>
      <c r="N49" s="847">
        <f t="shared" si="19"/>
        <v>2272.7272727272725</v>
      </c>
      <c r="O49" s="847">
        <f t="shared" si="19"/>
        <v>2272.7272727272725</v>
      </c>
      <c r="P49" s="847">
        <f t="shared" si="19"/>
        <v>2272.7272727272725</v>
      </c>
    </row>
    <row r="50" spans="1:16" x14ac:dyDescent="0.25">
      <c r="A50" s="465" t="s">
        <v>774</v>
      </c>
      <c r="B50" s="607">
        <f>Facilities!H78</f>
        <v>7500</v>
      </c>
      <c r="C50" s="607">
        <f t="shared" si="9"/>
        <v>0</v>
      </c>
      <c r="D50" s="128">
        <f t="shared" si="10"/>
        <v>7500.0000000000009</v>
      </c>
      <c r="E50" s="847">
        <v>0</v>
      </c>
      <c r="F50" s="847">
        <f>7500/11</f>
        <v>681.81818181818187</v>
      </c>
      <c r="G50" s="847">
        <f t="shared" si="19"/>
        <v>681.81818181818187</v>
      </c>
      <c r="H50" s="847">
        <f t="shared" si="19"/>
        <v>681.81818181818187</v>
      </c>
      <c r="I50" s="847">
        <f t="shared" si="19"/>
        <v>681.81818181818187</v>
      </c>
      <c r="J50" s="847">
        <f t="shared" si="19"/>
        <v>681.81818181818187</v>
      </c>
      <c r="K50" s="847">
        <f t="shared" si="19"/>
        <v>681.81818181818187</v>
      </c>
      <c r="L50" s="847">
        <f t="shared" si="19"/>
        <v>681.81818181818187</v>
      </c>
      <c r="M50" s="847">
        <f t="shared" si="19"/>
        <v>681.81818181818187</v>
      </c>
      <c r="N50" s="847">
        <f t="shared" si="19"/>
        <v>681.81818181818187</v>
      </c>
      <c r="O50" s="847">
        <f t="shared" si="19"/>
        <v>681.81818181818187</v>
      </c>
      <c r="P50" s="847">
        <f t="shared" si="19"/>
        <v>681.81818181818187</v>
      </c>
    </row>
    <row r="51" spans="1:16" x14ac:dyDescent="0.25">
      <c r="A51" s="465" t="s">
        <v>651</v>
      </c>
      <c r="B51" s="607">
        <f>Facilities!H79</f>
        <v>0</v>
      </c>
      <c r="C51" s="607"/>
      <c r="D51" s="128">
        <f>SUM(E51:P51)</f>
        <v>0</v>
      </c>
      <c r="E51" s="847">
        <v>0</v>
      </c>
      <c r="F51" s="847">
        <v>0</v>
      </c>
      <c r="G51" s="847">
        <v>0</v>
      </c>
      <c r="H51" s="847">
        <v>0</v>
      </c>
      <c r="I51" s="847">
        <v>0</v>
      </c>
      <c r="J51" s="847">
        <v>0</v>
      </c>
      <c r="K51" s="847">
        <v>0</v>
      </c>
      <c r="L51" s="847">
        <v>0</v>
      </c>
      <c r="M51" s="847">
        <v>0</v>
      </c>
      <c r="N51" s="847">
        <v>0</v>
      </c>
      <c r="O51" s="847">
        <v>0</v>
      </c>
      <c r="P51" s="847">
        <v>0</v>
      </c>
    </row>
    <row r="52" spans="1:16" x14ac:dyDescent="0.25">
      <c r="A52" s="465" t="s">
        <v>652</v>
      </c>
      <c r="B52" s="607">
        <f>Facilities!H80</f>
        <v>0</v>
      </c>
      <c r="C52" s="607"/>
      <c r="D52" s="128">
        <f>SUM(E52:P52)</f>
        <v>0</v>
      </c>
      <c r="E52" s="847">
        <v>0</v>
      </c>
      <c r="F52" s="847">
        <v>0</v>
      </c>
      <c r="G52" s="847">
        <v>0</v>
      </c>
      <c r="H52" s="847">
        <v>0</v>
      </c>
      <c r="I52" s="847">
        <v>0</v>
      </c>
      <c r="J52" s="847">
        <v>0</v>
      </c>
      <c r="K52" s="847">
        <v>0</v>
      </c>
      <c r="L52" s="847">
        <v>0</v>
      </c>
      <c r="M52" s="847">
        <v>0</v>
      </c>
      <c r="N52" s="847">
        <v>0</v>
      </c>
      <c r="O52" s="847">
        <v>0</v>
      </c>
      <c r="P52" s="847">
        <v>0</v>
      </c>
    </row>
    <row r="53" spans="1:16" x14ac:dyDescent="0.25">
      <c r="A53" s="465" t="s">
        <v>546</v>
      </c>
      <c r="B53" s="607">
        <f>+'FFE&amp;T'!H54</f>
        <v>92320</v>
      </c>
      <c r="C53" s="607">
        <f t="shared" si="9"/>
        <v>0</v>
      </c>
      <c r="D53" s="128">
        <f t="shared" si="10"/>
        <v>92319.999999999971</v>
      </c>
      <c r="E53" s="847">
        <v>0</v>
      </c>
      <c r="F53" s="1006">
        <f>92320/11</f>
        <v>8392.7272727272721</v>
      </c>
      <c r="G53" s="1006">
        <f>F53</f>
        <v>8392.7272727272721</v>
      </c>
      <c r="H53" s="1006">
        <f t="shared" ref="H53:P53" si="20">G53</f>
        <v>8392.7272727272721</v>
      </c>
      <c r="I53" s="1006">
        <f t="shared" si="20"/>
        <v>8392.7272727272721</v>
      </c>
      <c r="J53" s="1006">
        <f t="shared" si="20"/>
        <v>8392.7272727272721</v>
      </c>
      <c r="K53" s="1006">
        <f t="shared" si="20"/>
        <v>8392.7272727272721</v>
      </c>
      <c r="L53" s="1006">
        <f t="shared" si="20"/>
        <v>8392.7272727272721</v>
      </c>
      <c r="M53" s="1006">
        <f t="shared" si="20"/>
        <v>8392.7272727272721</v>
      </c>
      <c r="N53" s="1006">
        <f t="shared" si="20"/>
        <v>8392.7272727272721</v>
      </c>
      <c r="O53" s="1006">
        <f t="shared" si="20"/>
        <v>8392.7272727272721</v>
      </c>
      <c r="P53" s="1006">
        <f t="shared" si="20"/>
        <v>8392.7272727272721</v>
      </c>
    </row>
    <row r="54" spans="1:16" x14ac:dyDescent="0.25">
      <c r="A54" s="465" t="s">
        <v>540</v>
      </c>
      <c r="B54" s="607">
        <f>+Ins!L59</f>
        <v>30000</v>
      </c>
      <c r="C54" s="607">
        <f t="shared" si="9"/>
        <v>0</v>
      </c>
      <c r="D54" s="128">
        <f t="shared" si="10"/>
        <v>30000.000000000004</v>
      </c>
      <c r="E54" s="847">
        <v>0</v>
      </c>
      <c r="F54" s="847">
        <f>30000/11</f>
        <v>2727.2727272727275</v>
      </c>
      <c r="G54" s="847">
        <f>F54</f>
        <v>2727.2727272727275</v>
      </c>
      <c r="H54" s="847">
        <f t="shared" ref="H54:P54" si="21">G54</f>
        <v>2727.2727272727275</v>
      </c>
      <c r="I54" s="847">
        <f t="shared" si="21"/>
        <v>2727.2727272727275</v>
      </c>
      <c r="J54" s="847">
        <f t="shared" si="21"/>
        <v>2727.2727272727275</v>
      </c>
      <c r="K54" s="847">
        <f t="shared" si="21"/>
        <v>2727.2727272727275</v>
      </c>
      <c r="L54" s="847">
        <f t="shared" si="21"/>
        <v>2727.2727272727275</v>
      </c>
      <c r="M54" s="847">
        <f t="shared" si="21"/>
        <v>2727.2727272727275</v>
      </c>
      <c r="N54" s="847">
        <f t="shared" si="21"/>
        <v>2727.2727272727275</v>
      </c>
      <c r="O54" s="847">
        <f t="shared" si="21"/>
        <v>2727.2727272727275</v>
      </c>
      <c r="P54" s="847">
        <f t="shared" si="21"/>
        <v>2727.2727272727275</v>
      </c>
    </row>
    <row r="55" spans="1:16" ht="15.75" thickBot="1" x14ac:dyDescent="0.3">
      <c r="A55" s="20" t="s">
        <v>347</v>
      </c>
      <c r="B55" s="638">
        <f>SUM(B35:B54)</f>
        <v>2397732.0660000001</v>
      </c>
      <c r="C55" s="638">
        <f>SUM(C35:C54)</f>
        <v>-148499.93400000001</v>
      </c>
      <c r="D55" s="122">
        <f t="shared" ref="D55:P55" si="22">SUM(D35:D54)</f>
        <v>2546232</v>
      </c>
      <c r="E55" s="123">
        <f t="shared" si="22"/>
        <v>0</v>
      </c>
      <c r="F55" s="123">
        <f t="shared" si="22"/>
        <v>298966.63636363635</v>
      </c>
      <c r="G55" s="123">
        <f t="shared" si="22"/>
        <v>224726.53636363635</v>
      </c>
      <c r="H55" s="123">
        <f t="shared" si="22"/>
        <v>224726.53636363635</v>
      </c>
      <c r="I55" s="123">
        <f t="shared" si="22"/>
        <v>224726.53636363635</v>
      </c>
      <c r="J55" s="123">
        <f t="shared" si="22"/>
        <v>224726.53636363635</v>
      </c>
      <c r="K55" s="123">
        <f t="shared" si="22"/>
        <v>224726.53636363635</v>
      </c>
      <c r="L55" s="123">
        <f t="shared" si="22"/>
        <v>224726.53636363635</v>
      </c>
      <c r="M55" s="123">
        <f t="shared" si="22"/>
        <v>224726.53636363635</v>
      </c>
      <c r="N55" s="123">
        <f t="shared" si="22"/>
        <v>224726.53636363635</v>
      </c>
      <c r="O55" s="123">
        <f t="shared" si="22"/>
        <v>224726.53636363635</v>
      </c>
      <c r="P55" s="123">
        <f t="shared" si="22"/>
        <v>224726.53636363635</v>
      </c>
    </row>
    <row r="56" spans="1:16" ht="16.5" thickTop="1" thickBot="1" x14ac:dyDescent="0.3">
      <c r="A56" s="471" t="s">
        <v>544</v>
      </c>
      <c r="B56" s="179"/>
      <c r="C56" s="808" t="str">
        <f>IF(ABS(C55)&gt;(0.0025*D55),"!*!*!",0)</f>
        <v>!*!*!</v>
      </c>
      <c r="D56" s="199">
        <f>SUM(E56:P56)</f>
        <v>-21025.441163194628</v>
      </c>
      <c r="E56" s="199">
        <f t="shared" ref="E56:P56" si="23">E30-E55</f>
        <v>0</v>
      </c>
      <c r="F56" s="199">
        <f t="shared" si="23"/>
        <v>-84394.243742108607</v>
      </c>
      <c r="G56" s="199">
        <f t="shared" si="23"/>
        <v>4280.0562578914105</v>
      </c>
      <c r="H56" s="199">
        <f t="shared" si="23"/>
        <v>6565.4162578913965</v>
      </c>
      <c r="I56" s="199">
        <f t="shared" si="23"/>
        <v>6565.4162578913965</v>
      </c>
      <c r="J56" s="199">
        <f t="shared" si="23"/>
        <v>6565.4162578913965</v>
      </c>
      <c r="K56" s="199">
        <f t="shared" si="23"/>
        <v>6565.4162578913965</v>
      </c>
      <c r="L56" s="199">
        <f t="shared" si="23"/>
        <v>6565.4162578913965</v>
      </c>
      <c r="M56" s="199">
        <f t="shared" si="23"/>
        <v>6565.4162578913965</v>
      </c>
      <c r="N56" s="199">
        <f t="shared" si="23"/>
        <v>6565.4162578913965</v>
      </c>
      <c r="O56" s="199">
        <f t="shared" si="23"/>
        <v>6565.4162578913965</v>
      </c>
      <c r="P56" s="199">
        <f t="shared" si="23"/>
        <v>6565.4162578913965</v>
      </c>
    </row>
    <row r="57" spans="1:16" ht="15.75" thickTop="1" x14ac:dyDescent="0.25">
      <c r="A57" s="20" t="s">
        <v>334</v>
      </c>
      <c r="B57" s="20"/>
      <c r="C57" s="20"/>
      <c r="D57" s="124"/>
      <c r="E57" s="1418">
        <f>E55</f>
        <v>0</v>
      </c>
      <c r="F57" s="1418">
        <f t="shared" ref="F57:P57" si="24">E57+F55</f>
        <v>298966.63636363635</v>
      </c>
      <c r="G57" s="1418">
        <f t="shared" si="24"/>
        <v>523693.17272727273</v>
      </c>
      <c r="H57" s="1418">
        <f t="shared" si="24"/>
        <v>748419.70909090911</v>
      </c>
      <c r="I57" s="1418">
        <f t="shared" si="24"/>
        <v>973146.24545454548</v>
      </c>
      <c r="J57" s="1418">
        <f t="shared" si="24"/>
        <v>1197872.7818181817</v>
      </c>
      <c r="K57" s="1418">
        <f t="shared" si="24"/>
        <v>1422599.3181818181</v>
      </c>
      <c r="L57" s="1418">
        <f t="shared" si="24"/>
        <v>1647325.8545454545</v>
      </c>
      <c r="M57" s="1418">
        <f t="shared" si="24"/>
        <v>1872052.3909090909</v>
      </c>
      <c r="N57" s="1418">
        <f t="shared" si="24"/>
        <v>2096778.9272727272</v>
      </c>
      <c r="O57" s="1418">
        <f t="shared" si="24"/>
        <v>2321505.4636363634</v>
      </c>
      <c r="P57" s="1418">
        <f t="shared" si="24"/>
        <v>2546231.9999999995</v>
      </c>
    </row>
    <row r="58" spans="1:16" x14ac:dyDescent="0.25">
      <c r="A58" s="21" t="s">
        <v>371</v>
      </c>
      <c r="B58" s="21"/>
      <c r="C58" s="21"/>
      <c r="D58" s="125"/>
      <c r="E58" s="120">
        <f t="shared" ref="E58:P58" si="25">E57/$D55</f>
        <v>0</v>
      </c>
      <c r="F58" s="120">
        <f t="shared" si="25"/>
        <v>0.117415316579022</v>
      </c>
      <c r="G58" s="120">
        <f t="shared" si="25"/>
        <v>0.20567378492111982</v>
      </c>
      <c r="H58" s="120">
        <f t="shared" si="25"/>
        <v>0.29393225326321759</v>
      </c>
      <c r="I58" s="120">
        <f t="shared" si="25"/>
        <v>0.38219072160531542</v>
      </c>
      <c r="J58" s="120">
        <f t="shared" si="25"/>
        <v>0.47044918994741319</v>
      </c>
      <c r="K58" s="120">
        <f t="shared" si="25"/>
        <v>0.55870765828951097</v>
      </c>
      <c r="L58" s="120">
        <f t="shared" si="25"/>
        <v>0.6469661266316088</v>
      </c>
      <c r="M58" s="120">
        <f t="shared" si="25"/>
        <v>0.73522459497370662</v>
      </c>
      <c r="N58" s="120">
        <f t="shared" si="25"/>
        <v>0.82348306331580434</v>
      </c>
      <c r="O58" s="120">
        <f t="shared" si="25"/>
        <v>0.91174153165790206</v>
      </c>
      <c r="P58" s="120">
        <f t="shared" si="25"/>
        <v>0.99999999999999978</v>
      </c>
    </row>
    <row r="59" spans="1:16" x14ac:dyDescent="0.25">
      <c r="A59" s="20" t="s">
        <v>375</v>
      </c>
      <c r="B59" s="20"/>
      <c r="C59" s="20"/>
      <c r="D59" s="126"/>
      <c r="E59" s="127" t="e">
        <f t="shared" ref="E59:P59" si="26">+E32/E58</f>
        <v>#DIV/0!</v>
      </c>
      <c r="F59" s="127">
        <f t="shared" si="26"/>
        <v>0.72368935056879202</v>
      </c>
      <c r="G59" s="127">
        <f t="shared" si="26"/>
        <v>0.85407323893353448</v>
      </c>
      <c r="H59" s="127">
        <f t="shared" si="26"/>
        <v>0.90923589761740753</v>
      </c>
      <c r="I59" s="127">
        <f t="shared" si="26"/>
        <v>0.93892137179681578</v>
      </c>
      <c r="J59" s="127">
        <f t="shared" si="26"/>
        <v>0.95746857838402655</v>
      </c>
      <c r="K59" s="127">
        <f t="shared" si="26"/>
        <v>0.97015601905922799</v>
      </c>
      <c r="L59" s="127">
        <f t="shared" si="26"/>
        <v>0.97938184394009242</v>
      </c>
      <c r="M59" s="127">
        <f t="shared" si="26"/>
        <v>0.98639267988085844</v>
      </c>
      <c r="N59" s="127">
        <f t="shared" si="26"/>
        <v>0.99190071468461471</v>
      </c>
      <c r="O59" s="127">
        <f t="shared" si="26"/>
        <v>0.99634237113776425</v>
      </c>
      <c r="P59" s="127">
        <f t="shared" si="26"/>
        <v>1.0000000000000002</v>
      </c>
    </row>
    <row r="60" spans="1:16" x14ac:dyDescent="0.25">
      <c r="A60" s="20"/>
      <c r="B60" s="20"/>
      <c r="C60" s="20"/>
      <c r="D60" s="126"/>
      <c r="E60" s="127"/>
      <c r="F60" s="127"/>
      <c r="G60" s="127"/>
      <c r="H60" s="127"/>
      <c r="I60" s="127"/>
      <c r="J60" s="127"/>
      <c r="K60" s="127"/>
      <c r="L60" s="127"/>
      <c r="M60" s="127"/>
      <c r="N60" s="127"/>
      <c r="O60" s="127"/>
      <c r="P60" s="127"/>
    </row>
    <row r="61" spans="1:16" x14ac:dyDescent="0.25">
      <c r="A61" s="20"/>
      <c r="B61" s="20"/>
      <c r="C61" s="20"/>
      <c r="D61" s="126"/>
      <c r="E61" s="127"/>
      <c r="F61" s="127"/>
      <c r="G61" s="127"/>
      <c r="H61" s="127"/>
      <c r="I61" s="127"/>
      <c r="J61" s="127"/>
      <c r="K61" s="127"/>
      <c r="L61" s="127"/>
      <c r="M61" s="127"/>
      <c r="N61" s="127"/>
      <c r="O61" s="127"/>
      <c r="P61" s="127"/>
    </row>
    <row r="62" spans="1:16" ht="15.75" thickBot="1" x14ac:dyDescent="0.3">
      <c r="A62" s="809" t="s">
        <v>543</v>
      </c>
      <c r="B62" s="809"/>
      <c r="C62" s="809"/>
      <c r="D62" s="810"/>
      <c r="E62" s="811"/>
      <c r="F62" s="811"/>
      <c r="G62" s="811"/>
      <c r="H62" s="811"/>
      <c r="I62" s="811"/>
      <c r="J62" s="811"/>
      <c r="K62" s="811"/>
      <c r="L62" s="811"/>
      <c r="M62" s="811"/>
      <c r="N62" s="811"/>
      <c r="O62" s="811"/>
      <c r="P62" s="811"/>
    </row>
    <row r="63" spans="1:16" x14ac:dyDescent="0.25">
      <c r="A63" s="20"/>
      <c r="B63" s="20"/>
      <c r="C63" s="20"/>
      <c r="D63" s="467" t="s">
        <v>448</v>
      </c>
      <c r="E63" s="468" t="s">
        <v>447</v>
      </c>
      <c r="F63" s="468" t="s">
        <v>447</v>
      </c>
      <c r="G63" s="468" t="s">
        <v>447</v>
      </c>
      <c r="H63" s="468" t="s">
        <v>447</v>
      </c>
      <c r="I63" s="468" t="s">
        <v>447</v>
      </c>
      <c r="J63" s="468" t="s">
        <v>447</v>
      </c>
      <c r="K63" s="468" t="s">
        <v>447</v>
      </c>
      <c r="L63" s="468" t="s">
        <v>447</v>
      </c>
      <c r="M63" s="468" t="s">
        <v>447</v>
      </c>
      <c r="N63" s="468" t="s">
        <v>447</v>
      </c>
      <c r="O63" s="468" t="s">
        <v>447</v>
      </c>
      <c r="P63" s="468" t="s">
        <v>447</v>
      </c>
    </row>
    <row r="64" spans="1:16" ht="15.75" thickBot="1" x14ac:dyDescent="0.3">
      <c r="A64" s="20"/>
      <c r="B64" s="20"/>
      <c r="C64" s="20"/>
      <c r="D64" s="469">
        <f>+D59</f>
        <v>0</v>
      </c>
      <c r="E64" s="470" t="s">
        <v>314</v>
      </c>
      <c r="F64" s="470" t="s">
        <v>315</v>
      </c>
      <c r="G64" s="470" t="s">
        <v>316</v>
      </c>
      <c r="H64" s="470" t="s">
        <v>317</v>
      </c>
      <c r="I64" s="470" t="s">
        <v>318</v>
      </c>
      <c r="J64" s="470" t="s">
        <v>319</v>
      </c>
      <c r="K64" s="470" t="s">
        <v>320</v>
      </c>
      <c r="L64" s="470" t="s">
        <v>321</v>
      </c>
      <c r="M64" s="470" t="s">
        <v>322</v>
      </c>
      <c r="N64" s="470" t="s">
        <v>323</v>
      </c>
      <c r="O64" s="470" t="s">
        <v>324</v>
      </c>
      <c r="P64" s="470" t="s">
        <v>325</v>
      </c>
    </row>
    <row r="65" spans="1:16" x14ac:dyDescent="0.25">
      <c r="A65" s="17" t="s">
        <v>541</v>
      </c>
      <c r="B65" s="20"/>
      <c r="C65" s="20"/>
      <c r="D65" s="472">
        <f>SUM(E65:P65)</f>
        <v>0</v>
      </c>
      <c r="E65" s="1007">
        <v>0</v>
      </c>
      <c r="F65" s="1007">
        <v>0</v>
      </c>
      <c r="G65" s="1007">
        <v>0</v>
      </c>
      <c r="H65" s="1007">
        <v>0</v>
      </c>
      <c r="I65" s="1007">
        <v>0</v>
      </c>
      <c r="J65" s="1007">
        <v>0</v>
      </c>
      <c r="K65" s="1007">
        <v>0</v>
      </c>
      <c r="L65" s="1007">
        <v>0</v>
      </c>
      <c r="M65" s="1007">
        <v>0</v>
      </c>
      <c r="N65" s="1007">
        <v>0</v>
      </c>
      <c r="O65" s="1007">
        <v>0</v>
      </c>
      <c r="P65" s="1007">
        <v>0</v>
      </c>
    </row>
    <row r="66" spans="1:16" x14ac:dyDescent="0.25">
      <c r="A66" s="17" t="s">
        <v>542</v>
      </c>
      <c r="B66" s="20"/>
      <c r="C66" s="20"/>
      <c r="D66" s="473">
        <f>SUM(E66:P66)</f>
        <v>0</v>
      </c>
      <c r="E66" s="1008">
        <v>0</v>
      </c>
      <c r="F66" s="1008">
        <v>0</v>
      </c>
      <c r="G66" s="1008">
        <v>0</v>
      </c>
      <c r="H66" s="1008">
        <v>0</v>
      </c>
      <c r="I66" s="1008">
        <v>0</v>
      </c>
      <c r="J66" s="1008">
        <v>0</v>
      </c>
      <c r="K66" s="1008">
        <v>0</v>
      </c>
      <c r="L66" s="1008">
        <v>0</v>
      </c>
      <c r="M66" s="1008">
        <v>0</v>
      </c>
      <c r="N66" s="1008">
        <v>0</v>
      </c>
      <c r="O66" s="1008">
        <v>0</v>
      </c>
      <c r="P66" s="1008">
        <v>0</v>
      </c>
    </row>
    <row r="67" spans="1:16" x14ac:dyDescent="0.25">
      <c r="A67" s="17" t="s">
        <v>551</v>
      </c>
      <c r="B67" s="20"/>
      <c r="C67" s="20"/>
      <c r="D67" s="474"/>
      <c r="E67" s="477">
        <f>E65-E66</f>
        <v>0</v>
      </c>
      <c r="F67" s="477">
        <f>E67+F65-F66</f>
        <v>0</v>
      </c>
      <c r="G67" s="477">
        <f t="shared" ref="G67:P67" si="27">F67+G65-G66</f>
        <v>0</v>
      </c>
      <c r="H67" s="477">
        <f t="shared" si="27"/>
        <v>0</v>
      </c>
      <c r="I67" s="477">
        <f t="shared" si="27"/>
        <v>0</v>
      </c>
      <c r="J67" s="477">
        <f t="shared" si="27"/>
        <v>0</v>
      </c>
      <c r="K67" s="477">
        <f t="shared" si="27"/>
        <v>0</v>
      </c>
      <c r="L67" s="477">
        <f t="shared" si="27"/>
        <v>0</v>
      </c>
      <c r="M67" s="477">
        <f t="shared" si="27"/>
        <v>0</v>
      </c>
      <c r="N67" s="477">
        <f t="shared" si="27"/>
        <v>0</v>
      </c>
      <c r="O67" s="477">
        <f t="shared" si="27"/>
        <v>0</v>
      </c>
      <c r="P67" s="477">
        <f t="shared" si="27"/>
        <v>0</v>
      </c>
    </row>
    <row r="68" spans="1:16" ht="15.75" thickBot="1" x14ac:dyDescent="0.3">
      <c r="A68" s="17" t="s">
        <v>552</v>
      </c>
      <c r="B68" s="20"/>
      <c r="C68" s="20"/>
      <c r="D68" s="474">
        <f>SUM(E68:P68)</f>
        <v>0</v>
      </c>
      <c r="E68" s="477">
        <f>E67*0.02</f>
        <v>0</v>
      </c>
      <c r="F68" s="477">
        <f t="shared" ref="F68:P68" si="28">F67*0.02</f>
        <v>0</v>
      </c>
      <c r="G68" s="477">
        <f t="shared" si="28"/>
        <v>0</v>
      </c>
      <c r="H68" s="477">
        <f t="shared" si="28"/>
        <v>0</v>
      </c>
      <c r="I68" s="477">
        <f t="shared" si="28"/>
        <v>0</v>
      </c>
      <c r="J68" s="477">
        <f t="shared" si="28"/>
        <v>0</v>
      </c>
      <c r="K68" s="477">
        <f t="shared" si="28"/>
        <v>0</v>
      </c>
      <c r="L68" s="477">
        <f t="shared" si="28"/>
        <v>0</v>
      </c>
      <c r="M68" s="477">
        <f t="shared" si="28"/>
        <v>0</v>
      </c>
      <c r="N68" s="477">
        <f t="shared" si="28"/>
        <v>0</v>
      </c>
      <c r="O68" s="477">
        <f t="shared" si="28"/>
        <v>0</v>
      </c>
      <c r="P68" s="477">
        <f t="shared" si="28"/>
        <v>0</v>
      </c>
    </row>
    <row r="69" spans="1:16" ht="15.75" thickBot="1" x14ac:dyDescent="0.3">
      <c r="A69" s="20" t="s">
        <v>545</v>
      </c>
      <c r="B69" s="20"/>
      <c r="C69" s="20"/>
      <c r="D69" s="475">
        <f>SUM(E69:P69)</f>
        <v>0</v>
      </c>
      <c r="E69" s="476">
        <f>E65-E66-E68</f>
        <v>0</v>
      </c>
      <c r="F69" s="478">
        <f t="shared" ref="F69:P69" si="29">F65-F66-F68</f>
        <v>0</v>
      </c>
      <c r="G69" s="478">
        <f t="shared" si="29"/>
        <v>0</v>
      </c>
      <c r="H69" s="478">
        <f t="shared" si="29"/>
        <v>0</v>
      </c>
      <c r="I69" s="478">
        <f t="shared" si="29"/>
        <v>0</v>
      </c>
      <c r="J69" s="478">
        <f t="shared" si="29"/>
        <v>0</v>
      </c>
      <c r="K69" s="478">
        <f t="shared" si="29"/>
        <v>0</v>
      </c>
      <c r="L69" s="478">
        <f t="shared" si="29"/>
        <v>0</v>
      </c>
      <c r="M69" s="478">
        <f t="shared" si="29"/>
        <v>0</v>
      </c>
      <c r="N69" s="478">
        <f t="shared" si="29"/>
        <v>0</v>
      </c>
      <c r="O69" s="478">
        <f t="shared" si="29"/>
        <v>0</v>
      </c>
      <c r="P69" s="478">
        <f t="shared" si="29"/>
        <v>0</v>
      </c>
    </row>
    <row r="70" spans="1:16" ht="15.75" thickTop="1" x14ac:dyDescent="0.25">
      <c r="A70" s="20"/>
      <c r="B70" s="20"/>
      <c r="C70" s="20"/>
      <c r="D70" s="126"/>
      <c r="E70" s="127"/>
      <c r="F70" s="127"/>
      <c r="G70" s="127"/>
      <c r="H70" s="127"/>
      <c r="I70" s="127"/>
      <c r="J70" s="127"/>
      <c r="K70" s="127"/>
      <c r="L70" s="127"/>
      <c r="M70" s="127"/>
      <c r="N70" s="127"/>
      <c r="O70" s="127"/>
      <c r="P70" s="127"/>
    </row>
    <row r="71" spans="1:16" x14ac:dyDescent="0.25">
      <c r="A71" s="466" t="s">
        <v>335</v>
      </c>
      <c r="B71" s="329"/>
      <c r="C71" s="329"/>
      <c r="D71" s="329"/>
      <c r="E71" s="329"/>
      <c r="F71" s="329"/>
      <c r="G71" s="329"/>
      <c r="H71" s="329"/>
      <c r="I71" s="329"/>
      <c r="J71" s="329"/>
      <c r="K71" s="329"/>
      <c r="L71" s="329"/>
      <c r="M71" s="329"/>
      <c r="N71" s="329"/>
      <c r="O71" s="329"/>
      <c r="P71" s="329"/>
    </row>
    <row r="72" spans="1:16" x14ac:dyDescent="0.25">
      <c r="A72" s="17"/>
      <c r="B72" s="17"/>
      <c r="C72" s="17"/>
      <c r="D72" s="330"/>
      <c r="E72" s="331"/>
      <c r="F72" s="331"/>
      <c r="G72" s="331"/>
      <c r="H72" s="331"/>
      <c r="I72" s="331"/>
      <c r="J72" s="331"/>
      <c r="K72" s="331"/>
      <c r="L72" s="331"/>
      <c r="M72" s="331"/>
      <c r="N72" s="331"/>
      <c r="O72" s="331"/>
      <c r="P72" s="331"/>
    </row>
    <row r="73" spans="1:16" x14ac:dyDescent="0.25">
      <c r="A73" s="17" t="s">
        <v>336</v>
      </c>
      <c r="B73" s="17"/>
      <c r="C73" s="17"/>
      <c r="D73" s="332">
        <f>D30-D55</f>
        <v>-21025.441163194831</v>
      </c>
      <c r="E73" s="333">
        <f t="shared" ref="E73:P73" si="30">E56+E69</f>
        <v>0</v>
      </c>
      <c r="F73" s="333">
        <f t="shared" si="30"/>
        <v>-84394.243742108607</v>
      </c>
      <c r="G73" s="333">
        <f t="shared" si="30"/>
        <v>4280.0562578914105</v>
      </c>
      <c r="H73" s="333">
        <f t="shared" si="30"/>
        <v>6565.4162578913965</v>
      </c>
      <c r="I73" s="333">
        <f t="shared" si="30"/>
        <v>6565.4162578913965</v>
      </c>
      <c r="J73" s="333">
        <f t="shared" si="30"/>
        <v>6565.4162578913965</v>
      </c>
      <c r="K73" s="333">
        <f t="shared" si="30"/>
        <v>6565.4162578913965</v>
      </c>
      <c r="L73" s="333">
        <f t="shared" si="30"/>
        <v>6565.4162578913965</v>
      </c>
      <c r="M73" s="333">
        <f t="shared" si="30"/>
        <v>6565.4162578913965</v>
      </c>
      <c r="N73" s="333">
        <f t="shared" si="30"/>
        <v>6565.4162578913965</v>
      </c>
      <c r="O73" s="333">
        <f t="shared" si="30"/>
        <v>6565.4162578913965</v>
      </c>
      <c r="P73" s="911">
        <f t="shared" si="30"/>
        <v>6565.4162578913965</v>
      </c>
    </row>
    <row r="74" spans="1:16" x14ac:dyDescent="0.25">
      <c r="A74" s="17"/>
      <c r="B74" s="17"/>
      <c r="C74" s="17"/>
      <c r="D74" s="115"/>
      <c r="E74" s="333"/>
      <c r="F74" s="332"/>
      <c r="G74" s="333"/>
      <c r="H74" s="332"/>
      <c r="I74" s="332"/>
      <c r="J74" s="332"/>
      <c r="K74" s="332"/>
      <c r="L74" s="332"/>
      <c r="M74" s="332"/>
      <c r="N74" s="332"/>
      <c r="O74" s="332"/>
      <c r="P74" s="332"/>
    </row>
    <row r="75" spans="1:16" x14ac:dyDescent="0.25">
      <c r="A75" s="17" t="s">
        <v>337</v>
      </c>
      <c r="B75" s="17"/>
      <c r="C75" s="17"/>
      <c r="D75" s="334"/>
      <c r="E75" s="1275">
        <v>0</v>
      </c>
      <c r="F75" s="332">
        <f>E77</f>
        <v>0</v>
      </c>
      <c r="G75" s="332">
        <f t="shared" ref="G75:P75" si="31">F77</f>
        <v>-84394.243742108607</v>
      </c>
      <c r="H75" s="332">
        <f t="shared" si="31"/>
        <v>-80114.187484217196</v>
      </c>
      <c r="I75" s="332">
        <f t="shared" si="31"/>
        <v>-73548.7712263258</v>
      </c>
      <c r="J75" s="332">
        <f t="shared" si="31"/>
        <v>-66983.354968434403</v>
      </c>
      <c r="K75" s="332">
        <f t="shared" si="31"/>
        <v>-60417.938710543007</v>
      </c>
      <c r="L75" s="332">
        <f t="shared" si="31"/>
        <v>-53852.52245265161</v>
      </c>
      <c r="M75" s="332">
        <f t="shared" si="31"/>
        <v>-47287.106194760214</v>
      </c>
      <c r="N75" s="332">
        <f t="shared" si="31"/>
        <v>-40721.689936868817</v>
      </c>
      <c r="O75" s="332">
        <f t="shared" si="31"/>
        <v>-34156.273678977421</v>
      </c>
      <c r="P75" s="332">
        <f t="shared" si="31"/>
        <v>-27590.857421086024</v>
      </c>
    </row>
    <row r="76" spans="1:16" x14ac:dyDescent="0.25">
      <c r="A76" s="17"/>
      <c r="B76" s="17"/>
      <c r="C76" s="17"/>
      <c r="D76" s="335"/>
      <c r="E76" s="336"/>
      <c r="F76" s="337"/>
      <c r="G76" s="336"/>
      <c r="H76" s="337"/>
      <c r="I76" s="337"/>
      <c r="J76" s="337"/>
      <c r="K76" s="337"/>
      <c r="L76" s="337"/>
      <c r="M76" s="337"/>
      <c r="N76" s="337"/>
      <c r="O76" s="337"/>
      <c r="P76" s="337"/>
    </row>
    <row r="77" spans="1:16" ht="15.75" thickBot="1" x14ac:dyDescent="0.3">
      <c r="A77" s="20" t="s">
        <v>338</v>
      </c>
      <c r="B77" s="20"/>
      <c r="C77" s="20"/>
      <c r="D77" s="338">
        <f>SUM(D75,D73)</f>
        <v>-21025.441163194831</v>
      </c>
      <c r="E77" s="338">
        <f>SUM(E75,E73)</f>
        <v>0</v>
      </c>
      <c r="F77" s="338">
        <f>SUM(F75,F73)</f>
        <v>-84394.243742108607</v>
      </c>
      <c r="G77" s="338">
        <f t="shared" ref="G77:P77" si="32">SUM(G75,G73)</f>
        <v>-80114.187484217196</v>
      </c>
      <c r="H77" s="338">
        <f t="shared" si="32"/>
        <v>-73548.7712263258</v>
      </c>
      <c r="I77" s="338">
        <f t="shared" si="32"/>
        <v>-66983.354968434403</v>
      </c>
      <c r="J77" s="338">
        <f t="shared" si="32"/>
        <v>-60417.938710543007</v>
      </c>
      <c r="K77" s="338">
        <f t="shared" si="32"/>
        <v>-53852.52245265161</v>
      </c>
      <c r="L77" s="338">
        <f t="shared" si="32"/>
        <v>-47287.106194760214</v>
      </c>
      <c r="M77" s="338">
        <f t="shared" si="32"/>
        <v>-40721.689936868817</v>
      </c>
      <c r="N77" s="338">
        <f t="shared" si="32"/>
        <v>-34156.273678977421</v>
      </c>
      <c r="O77" s="338">
        <f t="shared" si="32"/>
        <v>-27590.857421086024</v>
      </c>
      <c r="P77" s="338">
        <f t="shared" si="32"/>
        <v>-21025.441163194628</v>
      </c>
    </row>
    <row r="78" spans="1:16" ht="15.75" thickTop="1" x14ac:dyDescent="0.25">
      <c r="A78" s="20"/>
      <c r="B78" s="20"/>
      <c r="C78" s="20"/>
      <c r="D78" s="339"/>
      <c r="E78" s="339"/>
      <c r="F78" s="339"/>
      <c r="G78" s="339"/>
      <c r="H78" s="339"/>
      <c r="I78" s="339"/>
      <c r="J78" s="339"/>
      <c r="K78" s="339"/>
      <c r="L78" s="339"/>
      <c r="M78" s="339"/>
      <c r="N78" s="339"/>
      <c r="O78" s="339"/>
      <c r="P78" s="339"/>
    </row>
    <row r="79" spans="1:16" x14ac:dyDescent="0.25">
      <c r="A79" s="340" t="s">
        <v>396</v>
      </c>
      <c r="B79" s="340"/>
      <c r="C79" s="340"/>
      <c r="D79" s="340"/>
      <c r="E79" s="341"/>
      <c r="F79" s="342">
        <f t="shared" ref="F79:P79" si="33">+F75/F55</f>
        <v>0</v>
      </c>
      <c r="G79" s="342">
        <f t="shared" si="33"/>
        <v>-0.37554195916386085</v>
      </c>
      <c r="H79" s="342">
        <f t="shared" si="33"/>
        <v>-0.35649633897521638</v>
      </c>
      <c r="I79" s="342">
        <f t="shared" si="33"/>
        <v>-0.32728120326348314</v>
      </c>
      <c r="J79" s="342">
        <f t="shared" si="33"/>
        <v>-0.29806606755174986</v>
      </c>
      <c r="K79" s="342">
        <f t="shared" si="33"/>
        <v>-0.26885093184001657</v>
      </c>
      <c r="L79" s="342">
        <f t="shared" si="33"/>
        <v>-0.23963579612828334</v>
      </c>
      <c r="M79" s="342">
        <f t="shared" si="33"/>
        <v>-0.21042066041655005</v>
      </c>
      <c r="N79" s="342">
        <f t="shared" si="33"/>
        <v>-0.18120552470481679</v>
      </c>
      <c r="O79" s="342">
        <f t="shared" si="33"/>
        <v>-0.15199038899308354</v>
      </c>
      <c r="P79" s="342">
        <f t="shared" si="33"/>
        <v>-0.12277525328135026</v>
      </c>
    </row>
    <row r="80" spans="1:16" x14ac:dyDescent="0.25">
      <c r="A80" s="20"/>
      <c r="B80" s="20"/>
      <c r="C80" s="20"/>
      <c r="D80" s="339"/>
      <c r="E80" s="339"/>
      <c r="F80" s="339"/>
      <c r="G80" s="339"/>
      <c r="H80" s="339"/>
      <c r="I80" s="339"/>
      <c r="J80" s="339"/>
      <c r="K80" s="339"/>
      <c r="L80" s="339"/>
      <c r="M80" s="339"/>
      <c r="N80" s="339"/>
      <c r="O80" s="339"/>
      <c r="P80" s="339"/>
    </row>
    <row r="81" spans="1:16" ht="18.75" x14ac:dyDescent="0.3">
      <c r="A81" s="307" t="s">
        <v>376</v>
      </c>
      <c r="B81" s="307"/>
      <c r="C81" s="307"/>
    </row>
    <row r="83" spans="1:16" x14ac:dyDescent="0.25">
      <c r="A83" s="343" t="s">
        <v>326</v>
      </c>
      <c r="B83" s="343"/>
      <c r="C83" s="343"/>
      <c r="D83" s="344"/>
      <c r="E83" s="345"/>
      <c r="F83" s="345"/>
      <c r="G83" s="345"/>
      <c r="H83" s="345"/>
      <c r="I83" s="345"/>
      <c r="J83" s="345"/>
      <c r="K83" s="345"/>
      <c r="L83" s="345"/>
      <c r="M83" s="345"/>
      <c r="N83" s="345"/>
      <c r="O83" s="345"/>
      <c r="P83" s="345"/>
    </row>
    <row r="84" spans="1:16" x14ac:dyDescent="0.25">
      <c r="A84" s="18" t="s">
        <v>327</v>
      </c>
      <c r="B84" s="17"/>
      <c r="C84" s="17"/>
      <c r="D84" s="346">
        <f t="shared" ref="D84:P84" si="34">IF(OR(D14=0,D$30=0),0,D14/D$30)</f>
        <v>0.94652593035029586</v>
      </c>
      <c r="E84" s="347">
        <f t="shared" si="34"/>
        <v>0</v>
      </c>
      <c r="F84" s="346">
        <f t="shared" si="34"/>
        <v>1.0126582278481011</v>
      </c>
      <c r="G84" s="346">
        <f t="shared" si="34"/>
        <v>0.94883075797014016</v>
      </c>
      <c r="H84" s="347">
        <f t="shared" si="34"/>
        <v>0.93945550804701417</v>
      </c>
      <c r="I84" s="346">
        <f t="shared" si="34"/>
        <v>0.93945550804701417</v>
      </c>
      <c r="J84" s="346">
        <f t="shared" si="34"/>
        <v>0.93945550804701417</v>
      </c>
      <c r="K84" s="347">
        <f t="shared" si="34"/>
        <v>0.93945550804701417</v>
      </c>
      <c r="L84" s="346">
        <f t="shared" si="34"/>
        <v>0.93945550804701417</v>
      </c>
      <c r="M84" s="346">
        <f t="shared" si="34"/>
        <v>0.93945550804701417</v>
      </c>
      <c r="N84" s="347">
        <f t="shared" si="34"/>
        <v>0.93945550804701417</v>
      </c>
      <c r="O84" s="346">
        <f t="shared" si="34"/>
        <v>0.93945550804701417</v>
      </c>
      <c r="P84" s="346">
        <f t="shared" si="34"/>
        <v>0.93945550804701417</v>
      </c>
    </row>
    <row r="85" spans="1:16" x14ac:dyDescent="0.25">
      <c r="A85" s="18" t="s">
        <v>346</v>
      </c>
      <c r="B85" s="17"/>
      <c r="C85" s="17"/>
      <c r="D85" s="346">
        <f t="shared" ref="D85:P85" si="35">IF(OR(D15=0,D$30=0),0,D15/D$30)</f>
        <v>-1.18315741293787E-2</v>
      </c>
      <c r="E85" s="347">
        <f t="shared" si="35"/>
        <v>0</v>
      </c>
      <c r="F85" s="346">
        <f t="shared" si="35"/>
        <v>-1.2658227848101266E-2</v>
      </c>
      <c r="G85" s="346">
        <f t="shared" si="35"/>
        <v>-1.1860384474626751E-2</v>
      </c>
      <c r="H85" s="347">
        <f t="shared" si="35"/>
        <v>-1.1743193850587677E-2</v>
      </c>
      <c r="I85" s="346">
        <f t="shared" si="35"/>
        <v>-1.1743193850587677E-2</v>
      </c>
      <c r="J85" s="346">
        <f t="shared" si="35"/>
        <v>-1.1743193850587677E-2</v>
      </c>
      <c r="K85" s="347">
        <f t="shared" si="35"/>
        <v>-1.1743193850587677E-2</v>
      </c>
      <c r="L85" s="346">
        <f t="shared" si="35"/>
        <v>-1.1743193850587677E-2</v>
      </c>
      <c r="M85" s="346">
        <f t="shared" si="35"/>
        <v>-1.1743193850587677E-2</v>
      </c>
      <c r="N85" s="347">
        <f t="shared" si="35"/>
        <v>-1.1743193850587677E-2</v>
      </c>
      <c r="O85" s="346">
        <f t="shared" si="35"/>
        <v>-1.1743193850587677E-2</v>
      </c>
      <c r="P85" s="346">
        <f t="shared" si="35"/>
        <v>-1.1743193850587677E-2</v>
      </c>
    </row>
    <row r="86" spans="1:16" x14ac:dyDescent="0.25">
      <c r="A86" s="18" t="s">
        <v>125</v>
      </c>
      <c r="B86" s="17"/>
      <c r="C86" s="17"/>
      <c r="D86" s="346">
        <f t="shared" ref="D86:P86" si="36">IF(OR(D16=0,D$30=0),0,D16/D$30)</f>
        <v>0</v>
      </c>
      <c r="E86" s="347">
        <f t="shared" si="36"/>
        <v>0</v>
      </c>
      <c r="F86" s="346">
        <f t="shared" si="36"/>
        <v>0</v>
      </c>
      <c r="G86" s="346">
        <f t="shared" si="36"/>
        <v>0</v>
      </c>
      <c r="H86" s="346">
        <f t="shared" si="36"/>
        <v>0</v>
      </c>
      <c r="I86" s="346">
        <f t="shared" si="36"/>
        <v>0</v>
      </c>
      <c r="J86" s="346">
        <f t="shared" si="36"/>
        <v>0</v>
      </c>
      <c r="K86" s="346">
        <f t="shared" si="36"/>
        <v>0</v>
      </c>
      <c r="L86" s="346">
        <f t="shared" si="36"/>
        <v>0</v>
      </c>
      <c r="M86" s="346">
        <f t="shared" si="36"/>
        <v>0</v>
      </c>
      <c r="N86" s="346">
        <f t="shared" si="36"/>
        <v>0</v>
      </c>
      <c r="O86" s="346">
        <f t="shared" si="36"/>
        <v>0</v>
      </c>
      <c r="P86" s="346">
        <f t="shared" si="36"/>
        <v>0</v>
      </c>
    </row>
    <row r="87" spans="1:16" x14ac:dyDescent="0.25">
      <c r="A87" s="18" t="s">
        <v>354</v>
      </c>
      <c r="B87" s="17"/>
      <c r="C87" s="17"/>
      <c r="D87" s="346">
        <f t="shared" ref="D87:P87" si="37">IF(OR(D17=0,D$30=0),0,D17/D$30)</f>
        <v>0</v>
      </c>
      <c r="E87" s="347">
        <f t="shared" si="37"/>
        <v>0</v>
      </c>
      <c r="F87" s="346">
        <f t="shared" si="37"/>
        <v>0</v>
      </c>
      <c r="G87" s="346">
        <f t="shared" si="37"/>
        <v>0</v>
      </c>
      <c r="H87" s="346">
        <f t="shared" si="37"/>
        <v>0</v>
      </c>
      <c r="I87" s="346">
        <f t="shared" si="37"/>
        <v>0</v>
      </c>
      <c r="J87" s="346">
        <f t="shared" si="37"/>
        <v>0</v>
      </c>
      <c r="K87" s="346">
        <f t="shared" si="37"/>
        <v>0</v>
      </c>
      <c r="L87" s="346">
        <f t="shared" si="37"/>
        <v>0</v>
      </c>
      <c r="M87" s="346">
        <f t="shared" si="37"/>
        <v>0</v>
      </c>
      <c r="N87" s="346">
        <f t="shared" si="37"/>
        <v>0</v>
      </c>
      <c r="O87" s="346">
        <f t="shared" si="37"/>
        <v>0</v>
      </c>
      <c r="P87" s="346">
        <f t="shared" si="37"/>
        <v>0</v>
      </c>
    </row>
    <row r="88" spans="1:16" x14ac:dyDescent="0.25">
      <c r="A88" s="18" t="s">
        <v>353</v>
      </c>
      <c r="B88" s="18"/>
      <c r="C88" s="18"/>
      <c r="D88" s="346">
        <f t="shared" ref="D88:P88" si="38">IF(OR(D18=0,D$30=0),0,D18/D$30)</f>
        <v>0</v>
      </c>
      <c r="E88" s="347">
        <f t="shared" si="38"/>
        <v>0</v>
      </c>
      <c r="F88" s="346">
        <f t="shared" si="38"/>
        <v>0</v>
      </c>
      <c r="G88" s="346">
        <f t="shared" si="38"/>
        <v>0</v>
      </c>
      <c r="H88" s="346">
        <f t="shared" si="38"/>
        <v>0</v>
      </c>
      <c r="I88" s="346">
        <f t="shared" si="38"/>
        <v>0</v>
      </c>
      <c r="J88" s="346">
        <f t="shared" si="38"/>
        <v>0</v>
      </c>
      <c r="K88" s="346">
        <f t="shared" si="38"/>
        <v>0</v>
      </c>
      <c r="L88" s="346">
        <f t="shared" si="38"/>
        <v>0</v>
      </c>
      <c r="M88" s="346">
        <f t="shared" si="38"/>
        <v>0</v>
      </c>
      <c r="N88" s="346">
        <f t="shared" si="38"/>
        <v>0</v>
      </c>
      <c r="O88" s="346">
        <f t="shared" si="38"/>
        <v>0</v>
      </c>
      <c r="P88" s="346">
        <f t="shared" si="38"/>
        <v>0</v>
      </c>
    </row>
    <row r="89" spans="1:16" x14ac:dyDescent="0.25">
      <c r="A89" s="19" t="s">
        <v>238</v>
      </c>
      <c r="B89" s="19"/>
      <c r="C89" s="19"/>
      <c r="D89" s="346">
        <f t="shared" ref="D89:P89" si="39">IF(OR(D19=0,D$30=0),0,D19/D$30)</f>
        <v>0</v>
      </c>
      <c r="E89" s="348">
        <f t="shared" si="39"/>
        <v>0</v>
      </c>
      <c r="F89" s="346">
        <f t="shared" si="39"/>
        <v>0</v>
      </c>
      <c r="G89" s="346">
        <f t="shared" si="39"/>
        <v>0</v>
      </c>
      <c r="H89" s="346">
        <f t="shared" si="39"/>
        <v>0</v>
      </c>
      <c r="I89" s="349">
        <f t="shared" si="39"/>
        <v>0</v>
      </c>
      <c r="J89" s="346">
        <f t="shared" si="39"/>
        <v>0</v>
      </c>
      <c r="K89" s="346">
        <f t="shared" si="39"/>
        <v>0</v>
      </c>
      <c r="L89" s="346">
        <f t="shared" si="39"/>
        <v>0</v>
      </c>
      <c r="M89" s="349">
        <f t="shared" si="39"/>
        <v>0</v>
      </c>
      <c r="N89" s="346">
        <f t="shared" si="39"/>
        <v>0</v>
      </c>
      <c r="O89" s="346">
        <f t="shared" si="39"/>
        <v>0</v>
      </c>
      <c r="P89" s="346">
        <f t="shared" si="39"/>
        <v>0</v>
      </c>
    </row>
    <row r="90" spans="1:16" x14ac:dyDescent="0.25">
      <c r="A90" s="350" t="s">
        <v>6</v>
      </c>
      <c r="B90" s="350"/>
      <c r="C90" s="350"/>
      <c r="D90" s="346">
        <f t="shared" ref="D90:P90" si="40">IF(OR(D20=0,D$30=0),0,D20/D$30)</f>
        <v>5.7160472474968055E-2</v>
      </c>
      <c r="E90" s="348">
        <f t="shared" si="40"/>
        <v>0</v>
      </c>
      <c r="F90" s="346">
        <f t="shared" si="40"/>
        <v>0</v>
      </c>
      <c r="G90" s="346">
        <f t="shared" si="40"/>
        <v>6.3029626504486555E-2</v>
      </c>
      <c r="H90" s="346">
        <f t="shared" si="40"/>
        <v>6.2406840516493277E-2</v>
      </c>
      <c r="I90" s="349">
        <f t="shared" si="40"/>
        <v>6.2406840516493277E-2</v>
      </c>
      <c r="J90" s="346">
        <f t="shared" si="40"/>
        <v>6.2406840516493277E-2</v>
      </c>
      <c r="K90" s="346">
        <f t="shared" si="40"/>
        <v>6.2406840516493277E-2</v>
      </c>
      <c r="L90" s="346">
        <f t="shared" si="40"/>
        <v>6.2406840516493277E-2</v>
      </c>
      <c r="M90" s="346">
        <f t="shared" si="40"/>
        <v>6.2406840516493277E-2</v>
      </c>
      <c r="N90" s="346">
        <f t="shared" si="40"/>
        <v>6.2406840516493277E-2</v>
      </c>
      <c r="O90" s="346">
        <f t="shared" si="40"/>
        <v>6.2406840516493277E-2</v>
      </c>
      <c r="P90" s="346">
        <f t="shared" si="40"/>
        <v>6.2406840516493277E-2</v>
      </c>
    </row>
    <row r="91" spans="1:16" x14ac:dyDescent="0.25">
      <c r="A91" s="350" t="s">
        <v>228</v>
      </c>
      <c r="B91" s="350"/>
      <c r="C91" s="350"/>
      <c r="D91" s="346">
        <f t="shared" ref="D91:P91" si="41">IF(OR(D21=0,D$30=0),0,D21/D$30)</f>
        <v>8.1451713041147903E-3</v>
      </c>
      <c r="E91" s="348">
        <f t="shared" si="41"/>
        <v>0</v>
      </c>
      <c r="F91" s="346">
        <f t="shared" si="41"/>
        <v>0</v>
      </c>
      <c r="G91" s="346">
        <f t="shared" si="41"/>
        <v>0</v>
      </c>
      <c r="H91" s="346">
        <f t="shared" si="41"/>
        <v>9.8808452870802008E-3</v>
      </c>
      <c r="I91" s="349">
        <f t="shared" si="41"/>
        <v>9.8808452870802008E-3</v>
      </c>
      <c r="J91" s="346">
        <f t="shared" si="41"/>
        <v>9.8808452870802008E-3</v>
      </c>
      <c r="K91" s="346">
        <f t="shared" si="41"/>
        <v>9.8808452870802008E-3</v>
      </c>
      <c r="L91" s="346">
        <f t="shared" si="41"/>
        <v>9.8808452870802008E-3</v>
      </c>
      <c r="M91" s="349">
        <f t="shared" si="41"/>
        <v>9.8808452870802008E-3</v>
      </c>
      <c r="N91" s="346">
        <f t="shared" si="41"/>
        <v>9.8808452870802008E-3</v>
      </c>
      <c r="O91" s="346">
        <f t="shared" si="41"/>
        <v>9.8808452870802008E-3</v>
      </c>
      <c r="P91" s="346">
        <f t="shared" si="41"/>
        <v>9.8808452870802008E-3</v>
      </c>
    </row>
    <row r="92" spans="1:16" x14ac:dyDescent="0.25">
      <c r="A92" s="350" t="s">
        <v>553</v>
      </c>
      <c r="B92" s="350"/>
      <c r="C92" s="350"/>
      <c r="D92" s="346">
        <f t="shared" ref="D92:P92" si="42">IF(OR(D22=0,D$30=0),0,D22/D$30)</f>
        <v>0</v>
      </c>
      <c r="E92" s="348">
        <f t="shared" si="42"/>
        <v>0</v>
      </c>
      <c r="F92" s="346">
        <f t="shared" si="42"/>
        <v>0</v>
      </c>
      <c r="G92" s="346">
        <f t="shared" si="42"/>
        <v>0</v>
      </c>
      <c r="H92" s="346">
        <f t="shared" si="42"/>
        <v>0</v>
      </c>
      <c r="I92" s="349">
        <f t="shared" si="42"/>
        <v>0</v>
      </c>
      <c r="J92" s="346">
        <f t="shared" si="42"/>
        <v>0</v>
      </c>
      <c r="K92" s="346">
        <f t="shared" si="42"/>
        <v>0</v>
      </c>
      <c r="L92" s="346">
        <f t="shared" si="42"/>
        <v>0</v>
      </c>
      <c r="M92" s="349">
        <f t="shared" si="42"/>
        <v>0</v>
      </c>
      <c r="N92" s="346">
        <f t="shared" si="42"/>
        <v>0</v>
      </c>
      <c r="O92" s="346">
        <f t="shared" si="42"/>
        <v>0</v>
      </c>
      <c r="P92" s="346">
        <f t="shared" si="42"/>
        <v>0</v>
      </c>
    </row>
    <row r="93" spans="1:16" x14ac:dyDescent="0.25">
      <c r="A93" s="350" t="s">
        <v>554</v>
      </c>
      <c r="B93" s="350"/>
      <c r="C93" s="350"/>
      <c r="D93" s="346">
        <f t="shared" ref="D93:P93" si="43">IF(OR(D23=0,D$30=0),0,D23/D$30)</f>
        <v>0</v>
      </c>
      <c r="E93" s="348">
        <f t="shared" si="43"/>
        <v>0</v>
      </c>
      <c r="F93" s="346">
        <f t="shared" si="43"/>
        <v>0</v>
      </c>
      <c r="G93" s="346">
        <f t="shared" si="43"/>
        <v>0</v>
      </c>
      <c r="H93" s="346">
        <f t="shared" si="43"/>
        <v>0</v>
      </c>
      <c r="I93" s="349">
        <f t="shared" si="43"/>
        <v>0</v>
      </c>
      <c r="J93" s="346">
        <f t="shared" si="43"/>
        <v>0</v>
      </c>
      <c r="K93" s="346">
        <f t="shared" si="43"/>
        <v>0</v>
      </c>
      <c r="L93" s="346">
        <f t="shared" si="43"/>
        <v>0</v>
      </c>
      <c r="M93" s="349">
        <f t="shared" si="43"/>
        <v>0</v>
      </c>
      <c r="N93" s="346">
        <f t="shared" si="43"/>
        <v>0</v>
      </c>
      <c r="O93" s="346">
        <f t="shared" si="43"/>
        <v>0</v>
      </c>
      <c r="P93" s="346">
        <f t="shared" si="43"/>
        <v>0</v>
      </c>
    </row>
    <row r="94" spans="1:16" x14ac:dyDescent="0.25">
      <c r="A94" s="350" t="s">
        <v>258</v>
      </c>
      <c r="B94" s="350"/>
      <c r="C94" s="350"/>
      <c r="D94" s="346">
        <f t="shared" ref="D94:P94" si="44">IF(OR(D24=0,D$30=0),0,D24/D$30)</f>
        <v>0</v>
      </c>
      <c r="E94" s="348">
        <f t="shared" si="44"/>
        <v>0</v>
      </c>
      <c r="F94" s="346">
        <f t="shared" si="44"/>
        <v>0</v>
      </c>
      <c r="G94" s="346">
        <f t="shared" si="44"/>
        <v>0</v>
      </c>
      <c r="H94" s="346">
        <f t="shared" si="44"/>
        <v>0</v>
      </c>
      <c r="I94" s="349">
        <f t="shared" si="44"/>
        <v>0</v>
      </c>
      <c r="J94" s="346">
        <f t="shared" si="44"/>
        <v>0</v>
      </c>
      <c r="K94" s="346">
        <f t="shared" si="44"/>
        <v>0</v>
      </c>
      <c r="L94" s="346">
        <f t="shared" si="44"/>
        <v>0</v>
      </c>
      <c r="M94" s="349">
        <f t="shared" si="44"/>
        <v>0</v>
      </c>
      <c r="N94" s="346">
        <f t="shared" si="44"/>
        <v>0</v>
      </c>
      <c r="O94" s="346">
        <f t="shared" si="44"/>
        <v>0</v>
      </c>
      <c r="P94" s="346">
        <f t="shared" si="44"/>
        <v>0</v>
      </c>
    </row>
    <row r="95" spans="1:16" x14ac:dyDescent="0.25">
      <c r="A95" s="350" t="s">
        <v>74</v>
      </c>
      <c r="B95" s="350"/>
      <c r="C95" s="350"/>
      <c r="D95" s="346">
        <f t="shared" ref="D95:P95" si="45">IF(OR(D25=0,D$30=0),0,D25/D$30)</f>
        <v>0</v>
      </c>
      <c r="E95" s="348">
        <f t="shared" si="45"/>
        <v>0</v>
      </c>
      <c r="F95" s="346">
        <f t="shared" si="45"/>
        <v>0</v>
      </c>
      <c r="G95" s="346">
        <f t="shared" si="45"/>
        <v>0</v>
      </c>
      <c r="H95" s="346">
        <f t="shared" si="45"/>
        <v>0</v>
      </c>
      <c r="I95" s="349">
        <f t="shared" si="45"/>
        <v>0</v>
      </c>
      <c r="J95" s="346">
        <f t="shared" si="45"/>
        <v>0</v>
      </c>
      <c r="K95" s="346">
        <f t="shared" si="45"/>
        <v>0</v>
      </c>
      <c r="L95" s="346">
        <f t="shared" si="45"/>
        <v>0</v>
      </c>
      <c r="M95" s="349">
        <f t="shared" si="45"/>
        <v>0</v>
      </c>
      <c r="N95" s="346">
        <f t="shared" si="45"/>
        <v>0</v>
      </c>
      <c r="O95" s="346">
        <f t="shared" si="45"/>
        <v>0</v>
      </c>
      <c r="P95" s="346">
        <f t="shared" si="45"/>
        <v>0</v>
      </c>
    </row>
    <row r="96" spans="1:16" x14ac:dyDescent="0.25">
      <c r="A96" s="350" t="s">
        <v>367</v>
      </c>
      <c r="B96" s="350"/>
      <c r="C96" s="350"/>
      <c r="D96" s="346">
        <f t="shared" ref="D96:P96" si="46">IF(OR(D26=0,D$30=0),0,D26/D$30)</f>
        <v>0</v>
      </c>
      <c r="E96" s="348">
        <f t="shared" si="46"/>
        <v>0</v>
      </c>
      <c r="F96" s="346">
        <f t="shared" si="46"/>
        <v>0</v>
      </c>
      <c r="G96" s="346">
        <f t="shared" si="46"/>
        <v>0</v>
      </c>
      <c r="H96" s="346">
        <f t="shared" si="46"/>
        <v>0</v>
      </c>
      <c r="I96" s="349">
        <f t="shared" si="46"/>
        <v>0</v>
      </c>
      <c r="J96" s="346">
        <f t="shared" si="46"/>
        <v>0</v>
      </c>
      <c r="K96" s="346">
        <f t="shared" si="46"/>
        <v>0</v>
      </c>
      <c r="L96" s="346">
        <f t="shared" si="46"/>
        <v>0</v>
      </c>
      <c r="M96" s="349">
        <f t="shared" si="46"/>
        <v>0</v>
      </c>
      <c r="N96" s="346">
        <f t="shared" si="46"/>
        <v>0</v>
      </c>
      <c r="O96" s="346">
        <f t="shared" si="46"/>
        <v>0</v>
      </c>
      <c r="P96" s="346">
        <f t="shared" si="46"/>
        <v>0</v>
      </c>
    </row>
    <row r="97" spans="1:16" x14ac:dyDescent="0.25">
      <c r="A97" s="350" t="s">
        <v>11</v>
      </c>
      <c r="B97" s="350"/>
      <c r="C97" s="350"/>
      <c r="D97" s="346">
        <f t="shared" ref="D97:P97" si="47">IF(OR(D27=0,D$30=0),0,D27/D$30)</f>
        <v>0</v>
      </c>
      <c r="E97" s="348">
        <f t="shared" si="47"/>
        <v>0</v>
      </c>
      <c r="F97" s="346">
        <f t="shared" si="47"/>
        <v>0</v>
      </c>
      <c r="G97" s="346">
        <f t="shared" si="47"/>
        <v>0</v>
      </c>
      <c r="H97" s="346">
        <f t="shared" si="47"/>
        <v>0</v>
      </c>
      <c r="I97" s="349">
        <f t="shared" si="47"/>
        <v>0</v>
      </c>
      <c r="J97" s="346">
        <f t="shared" si="47"/>
        <v>0</v>
      </c>
      <c r="K97" s="346">
        <f t="shared" si="47"/>
        <v>0</v>
      </c>
      <c r="L97" s="346">
        <f t="shared" si="47"/>
        <v>0</v>
      </c>
      <c r="M97" s="349">
        <f t="shared" si="47"/>
        <v>0</v>
      </c>
      <c r="N97" s="346">
        <f t="shared" si="47"/>
        <v>0</v>
      </c>
      <c r="O97" s="346">
        <f t="shared" si="47"/>
        <v>0</v>
      </c>
      <c r="P97" s="346">
        <f t="shared" si="47"/>
        <v>0</v>
      </c>
    </row>
    <row r="98" spans="1:16" x14ac:dyDescent="0.25">
      <c r="A98" s="350" t="s">
        <v>555</v>
      </c>
      <c r="B98" s="350"/>
      <c r="C98" s="350"/>
      <c r="D98" s="346">
        <f t="shared" ref="D98:P98" si="48">IF(OR(D28=0,D$30=0),0,D28/D$30)</f>
        <v>0</v>
      </c>
      <c r="E98" s="348">
        <f t="shared" si="48"/>
        <v>0</v>
      </c>
      <c r="F98" s="346">
        <f t="shared" si="48"/>
        <v>0</v>
      </c>
      <c r="G98" s="346">
        <f t="shared" si="48"/>
        <v>0</v>
      </c>
      <c r="H98" s="346">
        <f t="shared" si="48"/>
        <v>0</v>
      </c>
      <c r="I98" s="349">
        <f t="shared" si="48"/>
        <v>0</v>
      </c>
      <c r="J98" s="346">
        <f t="shared" si="48"/>
        <v>0</v>
      </c>
      <c r="K98" s="346">
        <f t="shared" si="48"/>
        <v>0</v>
      </c>
      <c r="L98" s="346">
        <f t="shared" si="48"/>
        <v>0</v>
      </c>
      <c r="M98" s="349">
        <f t="shared" si="48"/>
        <v>0</v>
      </c>
      <c r="N98" s="346">
        <f t="shared" si="48"/>
        <v>0</v>
      </c>
      <c r="O98" s="346">
        <f t="shared" si="48"/>
        <v>0</v>
      </c>
      <c r="P98" s="346">
        <f t="shared" si="48"/>
        <v>0</v>
      </c>
    </row>
    <row r="99" spans="1:16" x14ac:dyDescent="0.25">
      <c r="A99" s="350" t="s">
        <v>556</v>
      </c>
      <c r="B99" s="351"/>
      <c r="C99" s="351"/>
      <c r="D99" s="346">
        <f t="shared" ref="D99:P99" si="49">IF(OR(D29=0,D$30=0),0,D29/D$30)</f>
        <v>0</v>
      </c>
      <c r="E99" s="348">
        <f t="shared" si="49"/>
        <v>0</v>
      </c>
      <c r="F99" s="346">
        <f t="shared" si="49"/>
        <v>0</v>
      </c>
      <c r="G99" s="346">
        <f t="shared" si="49"/>
        <v>0</v>
      </c>
      <c r="H99" s="346">
        <f t="shared" si="49"/>
        <v>0</v>
      </c>
      <c r="I99" s="349">
        <f t="shared" si="49"/>
        <v>0</v>
      </c>
      <c r="J99" s="346">
        <f t="shared" si="49"/>
        <v>0</v>
      </c>
      <c r="K99" s="346">
        <f t="shared" si="49"/>
        <v>0</v>
      </c>
      <c r="L99" s="346">
        <f t="shared" si="49"/>
        <v>0</v>
      </c>
      <c r="M99" s="349">
        <f t="shared" si="49"/>
        <v>0</v>
      </c>
      <c r="N99" s="346">
        <f t="shared" si="49"/>
        <v>0</v>
      </c>
      <c r="O99" s="346">
        <f t="shared" si="49"/>
        <v>0</v>
      </c>
      <c r="P99" s="346">
        <f t="shared" si="49"/>
        <v>0</v>
      </c>
    </row>
    <row r="100" spans="1:16" ht="15.75" thickBot="1" x14ac:dyDescent="0.3">
      <c r="A100" s="350" t="s">
        <v>547</v>
      </c>
      <c r="B100" s="351"/>
      <c r="C100" s="351"/>
      <c r="D100" s="352">
        <f>SUM(D84:D99)</f>
        <v>0.99999999999999989</v>
      </c>
      <c r="E100" s="352">
        <f t="shared" ref="E100:P100" si="50">SUM(E84:E99)</f>
        <v>0</v>
      </c>
      <c r="F100" s="352">
        <f t="shared" si="50"/>
        <v>0.99999999999999989</v>
      </c>
      <c r="G100" s="352">
        <f t="shared" si="50"/>
        <v>0.99999999999999989</v>
      </c>
      <c r="H100" s="352">
        <f t="shared" si="50"/>
        <v>1</v>
      </c>
      <c r="I100" s="352">
        <f t="shared" si="50"/>
        <v>1</v>
      </c>
      <c r="J100" s="352">
        <f t="shared" si="50"/>
        <v>1</v>
      </c>
      <c r="K100" s="352">
        <f t="shared" si="50"/>
        <v>1</v>
      </c>
      <c r="L100" s="352">
        <f t="shared" si="50"/>
        <v>1</v>
      </c>
      <c r="M100" s="352">
        <f t="shared" si="50"/>
        <v>1</v>
      </c>
      <c r="N100" s="352">
        <f t="shared" si="50"/>
        <v>1</v>
      </c>
      <c r="O100" s="352">
        <f t="shared" si="50"/>
        <v>1</v>
      </c>
      <c r="P100" s="352">
        <f t="shared" si="50"/>
        <v>1</v>
      </c>
    </row>
    <row r="101" spans="1:16" ht="15.75" thickTop="1" x14ac:dyDescent="0.25">
      <c r="A101" s="351" t="s">
        <v>329</v>
      </c>
      <c r="B101" s="351"/>
      <c r="C101" s="351"/>
      <c r="D101" s="353"/>
      <c r="E101" s="479">
        <f t="shared" ref="E101:P101" si="51">E31/$D$30</f>
        <v>0</v>
      </c>
      <c r="F101" s="479">
        <f t="shared" si="51"/>
        <v>8.4972214201901555E-2</v>
      </c>
      <c r="G101" s="479">
        <f t="shared" si="51"/>
        <v>0.17566047565129994</v>
      </c>
      <c r="H101" s="479">
        <f t="shared" si="51"/>
        <v>0.26725375613448882</v>
      </c>
      <c r="I101" s="479">
        <f t="shared" si="51"/>
        <v>0.35884703661767769</v>
      </c>
      <c r="J101" s="479">
        <f t="shared" si="51"/>
        <v>0.45044031710086657</v>
      </c>
      <c r="K101" s="479">
        <f t="shared" si="51"/>
        <v>0.54203359758405545</v>
      </c>
      <c r="L101" s="479">
        <f t="shared" si="51"/>
        <v>0.63362687806724438</v>
      </c>
      <c r="M101" s="479">
        <f t="shared" si="51"/>
        <v>0.7252201585504332</v>
      </c>
      <c r="N101" s="479">
        <f t="shared" si="51"/>
        <v>0.81681343903362214</v>
      </c>
      <c r="O101" s="479">
        <f t="shared" si="51"/>
        <v>0.90840671951681107</v>
      </c>
      <c r="P101" s="479">
        <f t="shared" si="51"/>
        <v>1</v>
      </c>
    </row>
    <row r="102" spans="1:16" x14ac:dyDescent="0.25">
      <c r="A102" s="351"/>
      <c r="B102" s="351"/>
      <c r="C102" s="351"/>
      <c r="D102" s="480"/>
      <c r="E102" s="481"/>
      <c r="F102" s="482"/>
      <c r="G102" s="482"/>
      <c r="H102" s="482"/>
      <c r="I102" s="482"/>
      <c r="J102" s="482"/>
      <c r="K102" s="482"/>
      <c r="L102" s="482"/>
      <c r="M102" s="482"/>
      <c r="N102" s="482"/>
      <c r="O102" s="482"/>
      <c r="P102" s="482"/>
    </row>
    <row r="103" spans="1:16" ht="18.75" x14ac:dyDescent="0.3">
      <c r="A103" s="483" t="s">
        <v>548</v>
      </c>
      <c r="B103" s="351"/>
      <c r="C103" s="351"/>
      <c r="D103" s="480"/>
      <c r="E103" s="481"/>
      <c r="F103" s="482"/>
      <c r="G103" s="482"/>
      <c r="H103" s="482"/>
      <c r="I103" s="482"/>
      <c r="J103" s="482"/>
      <c r="K103" s="482"/>
      <c r="L103" s="482"/>
      <c r="M103" s="482"/>
      <c r="N103" s="482"/>
      <c r="O103" s="482"/>
      <c r="P103" s="482"/>
    </row>
    <row r="104" spans="1:16" x14ac:dyDescent="0.25">
      <c r="A104" s="18"/>
      <c r="B104" s="18"/>
      <c r="C104" s="18"/>
      <c r="D104" s="354"/>
      <c r="E104" s="355"/>
      <c r="F104" s="354"/>
      <c r="G104" s="354"/>
      <c r="H104" s="354"/>
      <c r="I104" s="356"/>
      <c r="J104" s="354"/>
      <c r="K104" s="354"/>
      <c r="L104" s="354"/>
      <c r="M104" s="356"/>
      <c r="N104" s="354"/>
      <c r="O104" s="354"/>
      <c r="P104" s="354"/>
    </row>
    <row r="105" spans="1:16" x14ac:dyDescent="0.25">
      <c r="A105" s="318" t="s">
        <v>330</v>
      </c>
      <c r="B105" s="318"/>
      <c r="C105" s="318"/>
      <c r="D105" s="357"/>
      <c r="E105" s="358"/>
      <c r="F105" s="357"/>
      <c r="G105" s="357"/>
      <c r="H105" s="357"/>
      <c r="I105" s="357"/>
      <c r="J105" s="357"/>
      <c r="K105" s="357"/>
      <c r="L105" s="357"/>
      <c r="M105" s="357"/>
      <c r="N105" s="357"/>
      <c r="O105" s="357"/>
      <c r="P105" s="357"/>
    </row>
    <row r="106" spans="1:16" x14ac:dyDescent="0.25">
      <c r="A106" s="17" t="s">
        <v>331</v>
      </c>
      <c r="B106" s="18"/>
      <c r="C106" s="18"/>
      <c r="D106" s="347">
        <f t="shared" ref="D106:P106" si="52">D35/D$55</f>
        <v>0.34895484779077474</v>
      </c>
      <c r="E106" s="347" t="e">
        <f t="shared" si="52"/>
        <v>#DIV/0!</v>
      </c>
      <c r="F106" s="347">
        <f t="shared" si="52"/>
        <v>0.27017912913967596</v>
      </c>
      <c r="G106" s="347">
        <f t="shared" si="52"/>
        <v>0.35943483471770277</v>
      </c>
      <c r="H106" s="347">
        <f t="shared" si="52"/>
        <v>0.35943483471770277</v>
      </c>
      <c r="I106" s="347">
        <f t="shared" si="52"/>
        <v>0.35943483471770277</v>
      </c>
      <c r="J106" s="347">
        <f t="shared" si="52"/>
        <v>0.35943483471770277</v>
      </c>
      <c r="K106" s="347">
        <f t="shared" si="52"/>
        <v>0.35943483471770277</v>
      </c>
      <c r="L106" s="347">
        <f t="shared" si="52"/>
        <v>0.35943483471770277</v>
      </c>
      <c r="M106" s="347">
        <f t="shared" si="52"/>
        <v>0.35943483471770277</v>
      </c>
      <c r="N106" s="347">
        <f t="shared" si="52"/>
        <v>0.35943483471770277</v>
      </c>
      <c r="O106" s="347">
        <f t="shared" si="52"/>
        <v>0.35943483471770277</v>
      </c>
      <c r="P106" s="347">
        <f t="shared" si="52"/>
        <v>0.35943483471770277</v>
      </c>
    </row>
    <row r="107" spans="1:16" x14ac:dyDescent="0.25">
      <c r="A107" s="18" t="s">
        <v>332</v>
      </c>
      <c r="B107" s="18"/>
      <c r="C107" s="18"/>
      <c r="D107" s="347">
        <f t="shared" ref="D107:P107" si="53">D36/D$55</f>
        <v>0.16231553134199872</v>
      </c>
      <c r="E107" s="347" t="e">
        <f t="shared" si="53"/>
        <v>#DIV/0!</v>
      </c>
      <c r="F107" s="347">
        <f t="shared" si="53"/>
        <v>0.12567319004583366</v>
      </c>
      <c r="G107" s="347">
        <f t="shared" si="53"/>
        <v>0.16719027275129827</v>
      </c>
      <c r="H107" s="347">
        <f t="shared" si="53"/>
        <v>0.16719027275129827</v>
      </c>
      <c r="I107" s="347">
        <f t="shared" si="53"/>
        <v>0.16719027275129827</v>
      </c>
      <c r="J107" s="347">
        <f t="shared" si="53"/>
        <v>0.16719027275129827</v>
      </c>
      <c r="K107" s="347">
        <f t="shared" si="53"/>
        <v>0.16719027275129827</v>
      </c>
      <c r="L107" s="347">
        <f t="shared" si="53"/>
        <v>0.16719027275129827</v>
      </c>
      <c r="M107" s="347">
        <f t="shared" si="53"/>
        <v>0.16719027275129827</v>
      </c>
      <c r="N107" s="347">
        <f t="shared" si="53"/>
        <v>0.16719027275129827</v>
      </c>
      <c r="O107" s="347">
        <f t="shared" si="53"/>
        <v>0.16719027275129827</v>
      </c>
      <c r="P107" s="347">
        <f t="shared" si="53"/>
        <v>0.16719027275129827</v>
      </c>
    </row>
    <row r="108" spans="1:16" x14ac:dyDescent="0.25">
      <c r="A108" s="18" t="s">
        <v>468</v>
      </c>
      <c r="B108" s="18"/>
      <c r="C108" s="18"/>
      <c r="D108" s="347">
        <f t="shared" ref="D108:P108" si="54">D37/D$55</f>
        <v>0</v>
      </c>
      <c r="E108" s="347" t="e">
        <f t="shared" si="54"/>
        <v>#DIV/0!</v>
      </c>
      <c r="F108" s="347">
        <f t="shared" si="54"/>
        <v>0</v>
      </c>
      <c r="G108" s="347">
        <f t="shared" si="54"/>
        <v>0</v>
      </c>
      <c r="H108" s="347">
        <f t="shared" si="54"/>
        <v>0</v>
      </c>
      <c r="I108" s="347">
        <f t="shared" si="54"/>
        <v>0</v>
      </c>
      <c r="J108" s="347">
        <f t="shared" si="54"/>
        <v>0</v>
      </c>
      <c r="K108" s="347">
        <f t="shared" si="54"/>
        <v>0</v>
      </c>
      <c r="L108" s="347">
        <f t="shared" si="54"/>
        <v>0</v>
      </c>
      <c r="M108" s="347">
        <f t="shared" si="54"/>
        <v>0</v>
      </c>
      <c r="N108" s="347">
        <f t="shared" si="54"/>
        <v>0</v>
      </c>
      <c r="O108" s="347">
        <f t="shared" si="54"/>
        <v>0</v>
      </c>
      <c r="P108" s="347">
        <f t="shared" si="54"/>
        <v>0</v>
      </c>
    </row>
    <row r="109" spans="1:16" x14ac:dyDescent="0.25">
      <c r="A109" s="18" t="s">
        <v>469</v>
      </c>
      <c r="B109" s="18"/>
      <c r="C109" s="18"/>
      <c r="D109" s="347">
        <f t="shared" ref="D109:P109" si="55">D38/D$55</f>
        <v>0</v>
      </c>
      <c r="E109" s="347" t="e">
        <f t="shared" si="55"/>
        <v>#DIV/0!</v>
      </c>
      <c r="F109" s="347">
        <f t="shared" si="55"/>
        <v>0</v>
      </c>
      <c r="G109" s="347">
        <f t="shared" si="55"/>
        <v>0</v>
      </c>
      <c r="H109" s="347">
        <f t="shared" si="55"/>
        <v>0</v>
      </c>
      <c r="I109" s="347">
        <f t="shared" si="55"/>
        <v>0</v>
      </c>
      <c r="J109" s="347">
        <f t="shared" si="55"/>
        <v>0</v>
      </c>
      <c r="K109" s="347">
        <f t="shared" si="55"/>
        <v>0</v>
      </c>
      <c r="L109" s="347">
        <f t="shared" si="55"/>
        <v>0</v>
      </c>
      <c r="M109" s="347">
        <f t="shared" si="55"/>
        <v>0</v>
      </c>
      <c r="N109" s="347">
        <f t="shared" si="55"/>
        <v>0</v>
      </c>
      <c r="O109" s="347">
        <f t="shared" si="55"/>
        <v>0</v>
      </c>
      <c r="P109" s="347">
        <f t="shared" si="55"/>
        <v>0</v>
      </c>
    </row>
    <row r="110" spans="1:16" x14ac:dyDescent="0.25">
      <c r="A110" s="18" t="s">
        <v>135</v>
      </c>
      <c r="B110" s="18"/>
      <c r="C110" s="18"/>
      <c r="D110" s="347">
        <f t="shared" ref="D110:P110" si="56">D39/D$55</f>
        <v>1.9793954360796655E-3</v>
      </c>
      <c r="E110" s="347" t="e">
        <f t="shared" si="56"/>
        <v>#DIV/0!</v>
      </c>
      <c r="F110" s="347">
        <f t="shared" si="56"/>
        <v>1.5325516711654965E-3</v>
      </c>
      <c r="G110" s="347">
        <f t="shared" si="56"/>
        <v>2.0388416321267073E-3</v>
      </c>
      <c r="H110" s="347">
        <f t="shared" si="56"/>
        <v>2.0388416321267073E-3</v>
      </c>
      <c r="I110" s="347">
        <f t="shared" si="56"/>
        <v>2.0388416321267073E-3</v>
      </c>
      <c r="J110" s="347">
        <f t="shared" si="56"/>
        <v>2.0388416321267073E-3</v>
      </c>
      <c r="K110" s="347">
        <f t="shared" si="56"/>
        <v>2.0388416321267073E-3</v>
      </c>
      <c r="L110" s="347">
        <f t="shared" si="56"/>
        <v>2.0388416321267073E-3</v>
      </c>
      <c r="M110" s="347">
        <f t="shared" si="56"/>
        <v>2.0388416321267073E-3</v>
      </c>
      <c r="N110" s="347">
        <f t="shared" si="56"/>
        <v>2.0388416321267073E-3</v>
      </c>
      <c r="O110" s="347">
        <f t="shared" si="56"/>
        <v>2.0388416321267073E-3</v>
      </c>
      <c r="P110" s="347">
        <f t="shared" si="56"/>
        <v>2.0388416321267073E-3</v>
      </c>
    </row>
    <row r="111" spans="1:16" x14ac:dyDescent="0.25">
      <c r="A111" s="18" t="s">
        <v>535</v>
      </c>
      <c r="B111" s="18"/>
      <c r="C111" s="18"/>
      <c r="D111" s="347">
        <f t="shared" ref="D111:P111" si="57">D40/D$55</f>
        <v>8.2120953628734519E-2</v>
      </c>
      <c r="E111" s="347" t="e">
        <f t="shared" si="57"/>
        <v>#DIV/0!</v>
      </c>
      <c r="F111" s="347">
        <f t="shared" si="57"/>
        <v>0.33448548378612025</v>
      </c>
      <c r="G111" s="347">
        <f t="shared" si="57"/>
        <v>4.8547448719391033E-2</v>
      </c>
      <c r="H111" s="347">
        <f t="shared" si="57"/>
        <v>4.8547448719391033E-2</v>
      </c>
      <c r="I111" s="347">
        <f t="shared" si="57"/>
        <v>4.8547448719391033E-2</v>
      </c>
      <c r="J111" s="347">
        <f t="shared" si="57"/>
        <v>4.8547448719391033E-2</v>
      </c>
      <c r="K111" s="347">
        <f t="shared" si="57"/>
        <v>4.8547448719391033E-2</v>
      </c>
      <c r="L111" s="347">
        <f t="shared" si="57"/>
        <v>4.8547448719391033E-2</v>
      </c>
      <c r="M111" s="347">
        <f t="shared" si="57"/>
        <v>4.8547448719391033E-2</v>
      </c>
      <c r="N111" s="347">
        <f t="shared" si="57"/>
        <v>4.8547448719391033E-2</v>
      </c>
      <c r="O111" s="347">
        <f t="shared" si="57"/>
        <v>4.8547448719391033E-2</v>
      </c>
      <c r="P111" s="347">
        <f t="shared" si="57"/>
        <v>4.8547448719391033E-2</v>
      </c>
    </row>
    <row r="112" spans="1:16" x14ac:dyDescent="0.25">
      <c r="A112" s="18" t="s">
        <v>333</v>
      </c>
      <c r="B112" s="18"/>
      <c r="C112" s="18"/>
      <c r="D112" s="347">
        <f t="shared" ref="D112:P112" si="58">D41/D$55</f>
        <v>6.8139902412663086E-2</v>
      </c>
      <c r="E112" s="347" t="e">
        <f t="shared" si="58"/>
        <v>#DIV/0!</v>
      </c>
      <c r="F112" s="347">
        <f t="shared" si="58"/>
        <v>5.2757483124447148E-2</v>
      </c>
      <c r="G112" s="347">
        <f t="shared" si="58"/>
        <v>7.0186314121822163E-2</v>
      </c>
      <c r="H112" s="347">
        <f t="shared" si="58"/>
        <v>7.0186314121822163E-2</v>
      </c>
      <c r="I112" s="347">
        <f t="shared" si="58"/>
        <v>7.0186314121822163E-2</v>
      </c>
      <c r="J112" s="347">
        <f t="shared" si="58"/>
        <v>7.0186314121822163E-2</v>
      </c>
      <c r="K112" s="347">
        <f t="shared" si="58"/>
        <v>7.0186314121822163E-2</v>
      </c>
      <c r="L112" s="347">
        <f t="shared" si="58"/>
        <v>7.0186314121822163E-2</v>
      </c>
      <c r="M112" s="347">
        <f t="shared" si="58"/>
        <v>7.0186314121822163E-2</v>
      </c>
      <c r="N112" s="347">
        <f t="shared" si="58"/>
        <v>7.0186314121822163E-2</v>
      </c>
      <c r="O112" s="347">
        <f t="shared" si="58"/>
        <v>7.0186314121822163E-2</v>
      </c>
      <c r="P112" s="347">
        <f t="shared" si="58"/>
        <v>7.0186314121822163E-2</v>
      </c>
    </row>
    <row r="113" spans="1:16" x14ac:dyDescent="0.25">
      <c r="A113" s="18" t="s">
        <v>368</v>
      </c>
      <c r="B113" s="18"/>
      <c r="C113" s="18"/>
      <c r="D113" s="347">
        <f t="shared" ref="D113:P113" si="59">D42/D$55</f>
        <v>5.8321472670204447E-2</v>
      </c>
      <c r="E113" s="347" t="e">
        <f t="shared" si="59"/>
        <v>#DIV/0!</v>
      </c>
      <c r="F113" s="347">
        <f t="shared" si="59"/>
        <v>0</v>
      </c>
      <c r="G113" s="347">
        <f t="shared" si="59"/>
        <v>6.6080313612678104E-2</v>
      </c>
      <c r="H113" s="347">
        <f t="shared" si="59"/>
        <v>6.6080313612678104E-2</v>
      </c>
      <c r="I113" s="347">
        <f t="shared" si="59"/>
        <v>6.6080313612678104E-2</v>
      </c>
      <c r="J113" s="347">
        <f t="shared" si="59"/>
        <v>6.6080313612678104E-2</v>
      </c>
      <c r="K113" s="347">
        <f t="shared" si="59"/>
        <v>6.6080313612678104E-2</v>
      </c>
      <c r="L113" s="347">
        <f t="shared" si="59"/>
        <v>6.6080313612678104E-2</v>
      </c>
      <c r="M113" s="347">
        <f t="shared" si="59"/>
        <v>6.6080313612678104E-2</v>
      </c>
      <c r="N113" s="347">
        <f t="shared" si="59"/>
        <v>6.6080313612678104E-2</v>
      </c>
      <c r="O113" s="347">
        <f t="shared" si="59"/>
        <v>6.6080313612678104E-2</v>
      </c>
      <c r="P113" s="347">
        <f t="shared" si="59"/>
        <v>6.6080313612678104E-2</v>
      </c>
    </row>
    <row r="114" spans="1:16" x14ac:dyDescent="0.25">
      <c r="A114" s="18" t="s">
        <v>128</v>
      </c>
      <c r="B114" s="18"/>
      <c r="C114" s="18"/>
      <c r="D114" s="347">
        <f t="shared" ref="D114:P114" si="60">D43/D$55</f>
        <v>0</v>
      </c>
      <c r="E114" s="347" t="e">
        <f t="shared" si="60"/>
        <v>#DIV/0!</v>
      </c>
      <c r="F114" s="347">
        <f t="shared" si="60"/>
        <v>0</v>
      </c>
      <c r="G114" s="347">
        <f t="shared" si="60"/>
        <v>0</v>
      </c>
      <c r="H114" s="347">
        <f t="shared" si="60"/>
        <v>0</v>
      </c>
      <c r="I114" s="347">
        <f t="shared" si="60"/>
        <v>0</v>
      </c>
      <c r="J114" s="347">
        <f t="shared" si="60"/>
        <v>0</v>
      </c>
      <c r="K114" s="347">
        <f t="shared" si="60"/>
        <v>0</v>
      </c>
      <c r="L114" s="347">
        <f t="shared" si="60"/>
        <v>0</v>
      </c>
      <c r="M114" s="347">
        <f t="shared" si="60"/>
        <v>0</v>
      </c>
      <c r="N114" s="347">
        <f t="shared" si="60"/>
        <v>0</v>
      </c>
      <c r="O114" s="347">
        <f t="shared" si="60"/>
        <v>0</v>
      </c>
      <c r="P114" s="347">
        <f t="shared" si="60"/>
        <v>0</v>
      </c>
    </row>
    <row r="115" spans="1:16" x14ac:dyDescent="0.25">
      <c r="A115" s="465" t="s">
        <v>536</v>
      </c>
      <c r="B115" s="18"/>
      <c r="C115" s="18"/>
      <c r="D115" s="347">
        <f t="shared" ref="D115:P115" si="61">D44/D$55</f>
        <v>0</v>
      </c>
      <c r="E115" s="347" t="e">
        <f t="shared" si="61"/>
        <v>#DIV/0!</v>
      </c>
      <c r="F115" s="347">
        <f t="shared" si="61"/>
        <v>0</v>
      </c>
      <c r="G115" s="347">
        <f t="shared" si="61"/>
        <v>0</v>
      </c>
      <c r="H115" s="347">
        <f t="shared" si="61"/>
        <v>0</v>
      </c>
      <c r="I115" s="347">
        <f t="shared" si="61"/>
        <v>0</v>
      </c>
      <c r="J115" s="347">
        <f t="shared" si="61"/>
        <v>0</v>
      </c>
      <c r="K115" s="347">
        <f t="shared" si="61"/>
        <v>0</v>
      </c>
      <c r="L115" s="347">
        <f t="shared" si="61"/>
        <v>0</v>
      </c>
      <c r="M115" s="347">
        <f t="shared" si="61"/>
        <v>0</v>
      </c>
      <c r="N115" s="347">
        <f t="shared" si="61"/>
        <v>0</v>
      </c>
      <c r="O115" s="347">
        <f t="shared" si="61"/>
        <v>0</v>
      </c>
      <c r="P115" s="347">
        <f t="shared" si="61"/>
        <v>0</v>
      </c>
    </row>
    <row r="116" spans="1:16" x14ac:dyDescent="0.25">
      <c r="A116" s="150" t="s">
        <v>538</v>
      </c>
      <c r="B116" s="18"/>
      <c r="C116" s="18"/>
      <c r="D116" s="347">
        <f t="shared" ref="D116:P116" si="62">D45/D$55</f>
        <v>0</v>
      </c>
      <c r="E116" s="347" t="e">
        <f t="shared" si="62"/>
        <v>#DIV/0!</v>
      </c>
      <c r="F116" s="347">
        <f t="shared" si="62"/>
        <v>0</v>
      </c>
      <c r="G116" s="347">
        <f t="shared" si="62"/>
        <v>0</v>
      </c>
      <c r="H116" s="347">
        <f t="shared" si="62"/>
        <v>0</v>
      </c>
      <c r="I116" s="347">
        <f t="shared" si="62"/>
        <v>0</v>
      </c>
      <c r="J116" s="347">
        <f t="shared" si="62"/>
        <v>0</v>
      </c>
      <c r="K116" s="347">
        <f t="shared" si="62"/>
        <v>0</v>
      </c>
      <c r="L116" s="347">
        <f t="shared" si="62"/>
        <v>0</v>
      </c>
      <c r="M116" s="347">
        <f t="shared" si="62"/>
        <v>0</v>
      </c>
      <c r="N116" s="347">
        <f t="shared" si="62"/>
        <v>0</v>
      </c>
      <c r="O116" s="347">
        <f t="shared" si="62"/>
        <v>0</v>
      </c>
      <c r="P116" s="347">
        <f t="shared" si="62"/>
        <v>0</v>
      </c>
    </row>
    <row r="117" spans="1:16" x14ac:dyDescent="0.25">
      <c r="A117" s="18" t="s">
        <v>537</v>
      </c>
      <c r="B117" s="18"/>
      <c r="C117" s="18"/>
      <c r="D117" s="347">
        <f t="shared" ref="D117:P117" si="63">D46/D$55</f>
        <v>0.15707916639175062</v>
      </c>
      <c r="E117" s="347" t="e">
        <f t="shared" si="63"/>
        <v>#DIV/0!</v>
      </c>
      <c r="F117" s="347">
        <f t="shared" si="63"/>
        <v>0.12161892190463333</v>
      </c>
      <c r="G117" s="347">
        <f t="shared" si="63"/>
        <v>0.16179664666376942</v>
      </c>
      <c r="H117" s="347">
        <f t="shared" si="63"/>
        <v>0.16179664666376942</v>
      </c>
      <c r="I117" s="347">
        <f t="shared" si="63"/>
        <v>0.16179664666376942</v>
      </c>
      <c r="J117" s="347">
        <f t="shared" si="63"/>
        <v>0.16179664666376942</v>
      </c>
      <c r="K117" s="347">
        <f t="shared" si="63"/>
        <v>0.16179664666376942</v>
      </c>
      <c r="L117" s="347">
        <f t="shared" si="63"/>
        <v>0.16179664666376942</v>
      </c>
      <c r="M117" s="347">
        <f t="shared" si="63"/>
        <v>0.16179664666376942</v>
      </c>
      <c r="N117" s="347">
        <f t="shared" si="63"/>
        <v>0.16179664666376942</v>
      </c>
      <c r="O117" s="347">
        <f t="shared" si="63"/>
        <v>0.16179664666376942</v>
      </c>
      <c r="P117" s="347">
        <f t="shared" si="63"/>
        <v>0.16179664666376942</v>
      </c>
    </row>
    <row r="118" spans="1:16" x14ac:dyDescent="0.25">
      <c r="A118" s="18" t="s">
        <v>255</v>
      </c>
      <c r="B118" s="18"/>
      <c r="C118" s="18"/>
      <c r="D118" s="347">
        <f t="shared" ref="D118:P118" si="64">D47/D$55</f>
        <v>2.5920654520090864E-2</v>
      </c>
      <c r="E118" s="347" t="e">
        <f t="shared" si="64"/>
        <v>#DIV/0!</v>
      </c>
      <c r="F118" s="347">
        <f t="shared" si="64"/>
        <v>2.0069129027167214E-2</v>
      </c>
      <c r="G118" s="347">
        <f t="shared" si="64"/>
        <v>2.6699116611183071E-2</v>
      </c>
      <c r="H118" s="347">
        <f t="shared" si="64"/>
        <v>2.6699116611183071E-2</v>
      </c>
      <c r="I118" s="347">
        <f t="shared" si="64"/>
        <v>2.6699116611183071E-2</v>
      </c>
      <c r="J118" s="347">
        <f t="shared" si="64"/>
        <v>2.6699116611183071E-2</v>
      </c>
      <c r="K118" s="347">
        <f t="shared" si="64"/>
        <v>2.6699116611183071E-2</v>
      </c>
      <c r="L118" s="347">
        <f t="shared" si="64"/>
        <v>2.6699116611183071E-2</v>
      </c>
      <c r="M118" s="347">
        <f t="shared" si="64"/>
        <v>2.6699116611183071E-2</v>
      </c>
      <c r="N118" s="347">
        <f t="shared" si="64"/>
        <v>2.6699116611183071E-2</v>
      </c>
      <c r="O118" s="347">
        <f t="shared" si="64"/>
        <v>2.6699116611183071E-2</v>
      </c>
      <c r="P118" s="347">
        <f t="shared" si="64"/>
        <v>2.6699116611183071E-2</v>
      </c>
    </row>
    <row r="119" spans="1:16" x14ac:dyDescent="0.25">
      <c r="A119" s="18" t="s">
        <v>15</v>
      </c>
      <c r="B119" s="18"/>
      <c r="C119" s="18"/>
      <c r="D119" s="347">
        <f t="shared" ref="D119:P119" si="65">D48/D$55</f>
        <v>3.4364504098605309E-2</v>
      </c>
      <c r="E119" s="347" t="e">
        <f t="shared" si="65"/>
        <v>#DIV/0!</v>
      </c>
      <c r="F119" s="347">
        <f t="shared" si="65"/>
        <v>2.6606799846623203E-2</v>
      </c>
      <c r="G119" s="347">
        <f t="shared" si="65"/>
        <v>3.5396556113310891E-2</v>
      </c>
      <c r="H119" s="347">
        <f t="shared" si="65"/>
        <v>3.5396556113310891E-2</v>
      </c>
      <c r="I119" s="347">
        <f t="shared" si="65"/>
        <v>3.5396556113310891E-2</v>
      </c>
      <c r="J119" s="347">
        <f t="shared" si="65"/>
        <v>3.5396556113310891E-2</v>
      </c>
      <c r="K119" s="347">
        <f t="shared" si="65"/>
        <v>3.5396556113310891E-2</v>
      </c>
      <c r="L119" s="347">
        <f t="shared" si="65"/>
        <v>3.5396556113310891E-2</v>
      </c>
      <c r="M119" s="347">
        <f t="shared" si="65"/>
        <v>3.5396556113310891E-2</v>
      </c>
      <c r="N119" s="347">
        <f t="shared" si="65"/>
        <v>3.5396556113310891E-2</v>
      </c>
      <c r="O119" s="347">
        <f t="shared" si="65"/>
        <v>3.5396556113310891E-2</v>
      </c>
      <c r="P119" s="347">
        <f t="shared" si="65"/>
        <v>3.5396556113310891E-2</v>
      </c>
    </row>
    <row r="120" spans="1:16" x14ac:dyDescent="0.25">
      <c r="A120" s="465" t="s">
        <v>539</v>
      </c>
      <c r="B120" s="18"/>
      <c r="C120" s="18"/>
      <c r="D120" s="347">
        <f t="shared" ref="D120:P120" si="66">D49/D$55</f>
        <v>9.8184297424586588E-3</v>
      </c>
      <c r="E120" s="347" t="e">
        <f t="shared" si="66"/>
        <v>#DIV/0!</v>
      </c>
      <c r="F120" s="347">
        <f t="shared" si="66"/>
        <v>7.6019428133209145E-3</v>
      </c>
      <c r="G120" s="347">
        <f t="shared" si="66"/>
        <v>1.0113301746660254E-2</v>
      </c>
      <c r="H120" s="347">
        <f t="shared" si="66"/>
        <v>1.0113301746660254E-2</v>
      </c>
      <c r="I120" s="347">
        <f t="shared" si="66"/>
        <v>1.0113301746660254E-2</v>
      </c>
      <c r="J120" s="347">
        <f t="shared" si="66"/>
        <v>1.0113301746660254E-2</v>
      </c>
      <c r="K120" s="347">
        <f t="shared" si="66"/>
        <v>1.0113301746660254E-2</v>
      </c>
      <c r="L120" s="347">
        <f t="shared" si="66"/>
        <v>1.0113301746660254E-2</v>
      </c>
      <c r="M120" s="347">
        <f t="shared" si="66"/>
        <v>1.0113301746660254E-2</v>
      </c>
      <c r="N120" s="347">
        <f t="shared" si="66"/>
        <v>1.0113301746660254E-2</v>
      </c>
      <c r="O120" s="347">
        <f t="shared" si="66"/>
        <v>1.0113301746660254E-2</v>
      </c>
      <c r="P120" s="347">
        <f t="shared" si="66"/>
        <v>1.0113301746660254E-2</v>
      </c>
    </row>
    <row r="121" spans="1:16" x14ac:dyDescent="0.25">
      <c r="A121" s="465" t="s">
        <v>242</v>
      </c>
      <c r="B121" s="18"/>
      <c r="C121" s="18"/>
      <c r="D121" s="347">
        <f t="shared" ref="D121:P121" si="67">D50/D$55</f>
        <v>2.9455289227375983E-3</v>
      </c>
      <c r="E121" s="347" t="e">
        <f t="shared" si="67"/>
        <v>#DIV/0!</v>
      </c>
      <c r="F121" s="347">
        <f t="shared" si="67"/>
        <v>2.2805828439962745E-3</v>
      </c>
      <c r="G121" s="347">
        <f t="shared" si="67"/>
        <v>3.0339905239980766E-3</v>
      </c>
      <c r="H121" s="347">
        <f t="shared" si="67"/>
        <v>3.0339905239980766E-3</v>
      </c>
      <c r="I121" s="347">
        <f t="shared" si="67"/>
        <v>3.0339905239980766E-3</v>
      </c>
      <c r="J121" s="347">
        <f t="shared" si="67"/>
        <v>3.0339905239980766E-3</v>
      </c>
      <c r="K121" s="347">
        <f t="shared" si="67"/>
        <v>3.0339905239980766E-3</v>
      </c>
      <c r="L121" s="347">
        <f t="shared" si="67"/>
        <v>3.0339905239980766E-3</v>
      </c>
      <c r="M121" s="347">
        <f t="shared" si="67"/>
        <v>3.0339905239980766E-3</v>
      </c>
      <c r="N121" s="347">
        <f t="shared" si="67"/>
        <v>3.0339905239980766E-3</v>
      </c>
      <c r="O121" s="347">
        <f t="shared" si="67"/>
        <v>3.0339905239980766E-3</v>
      </c>
      <c r="P121" s="347">
        <f t="shared" si="67"/>
        <v>3.0339905239980766E-3</v>
      </c>
    </row>
    <row r="122" spans="1:16" x14ac:dyDescent="0.25">
      <c r="A122" s="465" t="s">
        <v>546</v>
      </c>
      <c r="B122" s="18"/>
      <c r="C122" s="18"/>
      <c r="D122" s="347">
        <f t="shared" ref="D122:P122" si="68">D53/D$55</f>
        <v>3.6257497352951328E-2</v>
      </c>
      <c r="E122" s="347" t="e">
        <f t="shared" si="68"/>
        <v>#DIV/0!</v>
      </c>
      <c r="F122" s="347">
        <f t="shared" si="68"/>
        <v>2.8072454421031474E-2</v>
      </c>
      <c r="G122" s="347">
        <f t="shared" si="68"/>
        <v>3.7346400690066985E-2</v>
      </c>
      <c r="H122" s="347">
        <f t="shared" si="68"/>
        <v>3.7346400690066985E-2</v>
      </c>
      <c r="I122" s="347">
        <f t="shared" si="68"/>
        <v>3.7346400690066985E-2</v>
      </c>
      <c r="J122" s="347">
        <f t="shared" si="68"/>
        <v>3.7346400690066985E-2</v>
      </c>
      <c r="K122" s="347">
        <f t="shared" si="68"/>
        <v>3.7346400690066985E-2</v>
      </c>
      <c r="L122" s="347">
        <f t="shared" si="68"/>
        <v>3.7346400690066985E-2</v>
      </c>
      <c r="M122" s="347">
        <f t="shared" si="68"/>
        <v>3.7346400690066985E-2</v>
      </c>
      <c r="N122" s="347">
        <f t="shared" si="68"/>
        <v>3.7346400690066985E-2</v>
      </c>
      <c r="O122" s="347">
        <f t="shared" si="68"/>
        <v>3.7346400690066985E-2</v>
      </c>
      <c r="P122" s="347">
        <f t="shared" si="68"/>
        <v>3.7346400690066985E-2</v>
      </c>
    </row>
    <row r="123" spans="1:16" x14ac:dyDescent="0.25">
      <c r="A123" s="465" t="s">
        <v>540</v>
      </c>
      <c r="B123" s="18"/>
      <c r="C123" s="18"/>
      <c r="D123" s="347">
        <f t="shared" ref="D123:P123" si="69">D54/D$55</f>
        <v>1.1782115690950393E-2</v>
      </c>
      <c r="E123" s="347" t="e">
        <f t="shared" si="69"/>
        <v>#DIV/0!</v>
      </c>
      <c r="F123" s="347">
        <f t="shared" si="69"/>
        <v>9.1223313759850981E-3</v>
      </c>
      <c r="G123" s="347">
        <f t="shared" si="69"/>
        <v>1.2135962095992306E-2</v>
      </c>
      <c r="H123" s="347">
        <f t="shared" si="69"/>
        <v>1.2135962095992306E-2</v>
      </c>
      <c r="I123" s="347">
        <f t="shared" si="69"/>
        <v>1.2135962095992306E-2</v>
      </c>
      <c r="J123" s="347">
        <f t="shared" si="69"/>
        <v>1.2135962095992306E-2</v>
      </c>
      <c r="K123" s="347">
        <f t="shared" si="69"/>
        <v>1.2135962095992306E-2</v>
      </c>
      <c r="L123" s="347">
        <f t="shared" si="69"/>
        <v>1.2135962095992306E-2</v>
      </c>
      <c r="M123" s="347">
        <f t="shared" si="69"/>
        <v>1.2135962095992306E-2</v>
      </c>
      <c r="N123" s="347">
        <f t="shared" si="69"/>
        <v>1.2135962095992306E-2</v>
      </c>
      <c r="O123" s="347">
        <f t="shared" si="69"/>
        <v>1.2135962095992306E-2</v>
      </c>
      <c r="P123" s="347">
        <f t="shared" si="69"/>
        <v>1.2135962095992306E-2</v>
      </c>
    </row>
    <row r="124" spans="1:16" ht="15.75" thickBot="1" x14ac:dyDescent="0.3">
      <c r="A124" s="351" t="s">
        <v>347</v>
      </c>
      <c r="B124" s="351"/>
      <c r="C124" s="351"/>
      <c r="D124" s="347">
        <f t="shared" ref="D124:P124" si="70">D55/D$55</f>
        <v>1</v>
      </c>
      <c r="E124" s="347" t="e">
        <f t="shared" si="70"/>
        <v>#DIV/0!</v>
      </c>
      <c r="F124" s="347">
        <f t="shared" si="70"/>
        <v>1</v>
      </c>
      <c r="G124" s="347">
        <f t="shared" si="70"/>
        <v>1</v>
      </c>
      <c r="H124" s="347">
        <f t="shared" si="70"/>
        <v>1</v>
      </c>
      <c r="I124" s="347">
        <f t="shared" si="70"/>
        <v>1</v>
      </c>
      <c r="J124" s="347">
        <f t="shared" si="70"/>
        <v>1</v>
      </c>
      <c r="K124" s="347">
        <f t="shared" si="70"/>
        <v>1</v>
      </c>
      <c r="L124" s="347">
        <f t="shared" si="70"/>
        <v>1</v>
      </c>
      <c r="M124" s="347">
        <f t="shared" si="70"/>
        <v>1</v>
      </c>
      <c r="N124" s="347">
        <f t="shared" si="70"/>
        <v>1</v>
      </c>
      <c r="O124" s="347">
        <f t="shared" si="70"/>
        <v>1</v>
      </c>
      <c r="P124" s="347">
        <f t="shared" si="70"/>
        <v>1</v>
      </c>
    </row>
    <row r="125" spans="1:16" ht="15.75" thickTop="1" x14ac:dyDescent="0.25">
      <c r="A125" s="20" t="s">
        <v>334</v>
      </c>
      <c r="B125" s="20"/>
      <c r="C125" s="20"/>
      <c r="D125" s="124"/>
      <c r="E125" s="484">
        <f t="shared" ref="E125:P125" si="71">E57/$D$55</f>
        <v>0</v>
      </c>
      <c r="F125" s="484">
        <f t="shared" si="71"/>
        <v>0.117415316579022</v>
      </c>
      <c r="G125" s="484">
        <f t="shared" si="71"/>
        <v>0.20567378492111982</v>
      </c>
      <c r="H125" s="484">
        <f t="shared" si="71"/>
        <v>0.29393225326321759</v>
      </c>
      <c r="I125" s="484">
        <f t="shared" si="71"/>
        <v>0.38219072160531542</v>
      </c>
      <c r="J125" s="484">
        <f t="shared" si="71"/>
        <v>0.47044918994741319</v>
      </c>
      <c r="K125" s="484">
        <f t="shared" si="71"/>
        <v>0.55870765828951097</v>
      </c>
      <c r="L125" s="484">
        <f t="shared" si="71"/>
        <v>0.6469661266316088</v>
      </c>
      <c r="M125" s="484">
        <f t="shared" si="71"/>
        <v>0.73522459497370662</v>
      </c>
      <c r="N125" s="484">
        <f t="shared" si="71"/>
        <v>0.82348306331580434</v>
      </c>
      <c r="O125" s="484">
        <f t="shared" si="71"/>
        <v>0.91174153165790206</v>
      </c>
      <c r="P125" s="484">
        <f t="shared" si="71"/>
        <v>0.99999999999999978</v>
      </c>
    </row>
    <row r="126" spans="1:16" x14ac:dyDescent="0.25">
      <c r="A126" s="359" t="s">
        <v>549</v>
      </c>
      <c r="B126" s="359"/>
      <c r="C126" s="359"/>
      <c r="D126" s="485"/>
      <c r="E126" s="486">
        <f>IFERROR(E55/E75,0)</f>
        <v>0</v>
      </c>
      <c r="F126" s="486" t="e">
        <f t="shared" ref="F126:P126" si="72">F55/F75</f>
        <v>#DIV/0!</v>
      </c>
      <c r="G126" s="486">
        <f t="shared" si="72"/>
        <v>-2.6628182965932399</v>
      </c>
      <c r="H126" s="486">
        <f t="shared" si="72"/>
        <v>-2.8050778946975945</v>
      </c>
      <c r="I126" s="486">
        <f t="shared" si="72"/>
        <v>-3.0554764221974993</v>
      </c>
      <c r="J126" s="486">
        <f t="shared" si="72"/>
        <v>-3.3549608924416772</v>
      </c>
      <c r="K126" s="486">
        <f t="shared" si="72"/>
        <v>-3.7195333233773709</v>
      </c>
      <c r="L126" s="486">
        <f t="shared" si="72"/>
        <v>-4.1729992603637305</v>
      </c>
      <c r="M126" s="486">
        <f t="shared" si="72"/>
        <v>-4.7523850463181407</v>
      </c>
      <c r="N126" s="486">
        <f t="shared" si="72"/>
        <v>-5.518595537464968</v>
      </c>
      <c r="O126" s="486">
        <f t="shared" si="72"/>
        <v>-6.5793633835985901</v>
      </c>
      <c r="P126" s="486">
        <f t="shared" si="72"/>
        <v>-8.1449638528410304</v>
      </c>
    </row>
    <row r="127" spans="1:16" x14ac:dyDescent="0.25">
      <c r="A127" s="17" t="s">
        <v>550</v>
      </c>
      <c r="B127" s="17"/>
      <c r="C127" s="17"/>
      <c r="D127" s="487"/>
      <c r="E127" s="488" t="e">
        <f t="shared" ref="E127:P127" si="73">E55/E77</f>
        <v>#DIV/0!</v>
      </c>
      <c r="F127" s="488">
        <f t="shared" si="73"/>
        <v>-3.5425003306767779</v>
      </c>
      <c r="G127" s="488">
        <f t="shared" si="73"/>
        <v>-2.8050778946975945</v>
      </c>
      <c r="H127" s="488">
        <f t="shared" si="73"/>
        <v>-3.0554764221974993</v>
      </c>
      <c r="I127" s="488">
        <f t="shared" si="73"/>
        <v>-3.3549608924416772</v>
      </c>
      <c r="J127" s="488">
        <f t="shared" si="73"/>
        <v>-3.7195333233773709</v>
      </c>
      <c r="K127" s="488">
        <f t="shared" si="73"/>
        <v>-4.1729992603637305</v>
      </c>
      <c r="L127" s="488">
        <f t="shared" si="73"/>
        <v>-4.7523850463181407</v>
      </c>
      <c r="M127" s="488">
        <f t="shared" si="73"/>
        <v>-5.518595537464968</v>
      </c>
      <c r="N127" s="488">
        <f t="shared" si="73"/>
        <v>-6.5793633835985901</v>
      </c>
      <c r="O127" s="488">
        <f t="shared" si="73"/>
        <v>-8.1449638528410304</v>
      </c>
      <c r="P127" s="488">
        <f t="shared" si="73"/>
        <v>-10.688314914267947</v>
      </c>
    </row>
    <row r="128" spans="1:16" x14ac:dyDescent="0.25">
      <c r="A128" s="466" t="s">
        <v>335</v>
      </c>
      <c r="B128" s="329"/>
      <c r="C128" s="329"/>
      <c r="D128" s="329"/>
      <c r="E128" s="329"/>
      <c r="F128" s="329"/>
      <c r="G128" s="329"/>
      <c r="H128" s="329"/>
      <c r="I128" s="329"/>
      <c r="J128" s="329"/>
      <c r="K128" s="329"/>
      <c r="L128" s="329"/>
      <c r="M128" s="329"/>
      <c r="N128" s="329"/>
      <c r="O128" s="329"/>
      <c r="P128" s="329"/>
    </row>
    <row r="129" spans="1:16" x14ac:dyDescent="0.25">
      <c r="A129" s="17"/>
      <c r="B129" s="17"/>
      <c r="C129" s="17"/>
      <c r="D129" s="330"/>
      <c r="E129" s="331"/>
      <c r="F129" s="331"/>
      <c r="G129" s="331"/>
      <c r="H129" s="331"/>
      <c r="I129" s="331"/>
      <c r="J129" s="331"/>
      <c r="K129" s="331"/>
      <c r="L129" s="331"/>
      <c r="M129" s="331"/>
      <c r="N129" s="331"/>
      <c r="O129" s="331"/>
      <c r="P129" s="331"/>
    </row>
    <row r="130" spans="1:16" x14ac:dyDescent="0.25">
      <c r="A130" s="17" t="s">
        <v>336</v>
      </c>
      <c r="B130" s="17"/>
      <c r="C130" s="17"/>
      <c r="D130" s="332">
        <f>D100-D124</f>
        <v>0</v>
      </c>
      <c r="E130" s="347">
        <f t="shared" ref="E130:P130" si="74">IF(OR(E73=0,E$30=0),0,E73/E$30)</f>
        <v>0</v>
      </c>
      <c r="F130" s="347">
        <f t="shared" si="74"/>
        <v>-0.39331361649570129</v>
      </c>
      <c r="G130" s="347">
        <f t="shared" si="74"/>
        <v>1.8689663947644205E-2</v>
      </c>
      <c r="H130" s="347">
        <f t="shared" si="74"/>
        <v>2.8385839556790155E-2</v>
      </c>
      <c r="I130" s="347">
        <f t="shared" si="74"/>
        <v>2.8385839556790155E-2</v>
      </c>
      <c r="J130" s="347">
        <f t="shared" si="74"/>
        <v>2.8385839556790155E-2</v>
      </c>
      <c r="K130" s="347">
        <f t="shared" si="74"/>
        <v>2.8385839556790155E-2</v>
      </c>
      <c r="L130" s="347">
        <f t="shared" si="74"/>
        <v>2.8385839556790155E-2</v>
      </c>
      <c r="M130" s="347">
        <f t="shared" si="74"/>
        <v>2.8385839556790155E-2</v>
      </c>
      <c r="N130" s="347">
        <f t="shared" si="74"/>
        <v>2.8385839556790155E-2</v>
      </c>
      <c r="O130" s="347">
        <f t="shared" si="74"/>
        <v>2.8385839556790155E-2</v>
      </c>
      <c r="P130" s="347">
        <f t="shared" si="74"/>
        <v>2.8385839556790155E-2</v>
      </c>
    </row>
    <row r="131" spans="1:16" x14ac:dyDescent="0.25">
      <c r="A131" s="17"/>
      <c r="B131" s="17"/>
      <c r="C131" s="17"/>
      <c r="D131" s="115"/>
      <c r="E131" s="333"/>
      <c r="F131" s="332"/>
      <c r="G131" s="333"/>
      <c r="H131" s="332"/>
      <c r="I131" s="332"/>
      <c r="J131" s="332"/>
      <c r="K131" s="332"/>
      <c r="L131" s="332"/>
      <c r="M131" s="332"/>
      <c r="N131" s="332"/>
      <c r="O131" s="332"/>
      <c r="P131" s="332"/>
    </row>
    <row r="132" spans="1:16" x14ac:dyDescent="0.25">
      <c r="A132" s="17" t="s">
        <v>337</v>
      </c>
      <c r="B132" s="17"/>
      <c r="C132" s="17"/>
      <c r="D132" s="1009"/>
      <c r="E132" s="116"/>
      <c r="F132" s="1010">
        <f t="shared" ref="F132:P132" si="75">E134</f>
        <v>0</v>
      </c>
      <c r="G132" s="1010">
        <f t="shared" si="75"/>
        <v>-0.39331361649570129</v>
      </c>
      <c r="H132" s="1010">
        <f t="shared" si="75"/>
        <v>-0.37462395254805708</v>
      </c>
      <c r="I132" s="1010">
        <f t="shared" si="75"/>
        <v>-0.34623811299126694</v>
      </c>
      <c r="J132" s="1010">
        <f t="shared" si="75"/>
        <v>-0.31785227343447681</v>
      </c>
      <c r="K132" s="1010">
        <f t="shared" si="75"/>
        <v>-0.28946643387768667</v>
      </c>
      <c r="L132" s="1010">
        <f t="shared" si="75"/>
        <v>-0.26108059432089653</v>
      </c>
      <c r="M132" s="1010">
        <f t="shared" si="75"/>
        <v>-0.23269475476410637</v>
      </c>
      <c r="N132" s="1010">
        <f t="shared" si="75"/>
        <v>-0.2043089152073162</v>
      </c>
      <c r="O132" s="1010">
        <f t="shared" si="75"/>
        <v>-0.17592307565052603</v>
      </c>
      <c r="P132" s="1010">
        <f t="shared" si="75"/>
        <v>-0.14753723609373587</v>
      </c>
    </row>
    <row r="133" spans="1:16" x14ac:dyDescent="0.25">
      <c r="A133" s="17"/>
      <c r="B133" s="17"/>
      <c r="C133" s="17"/>
      <c r="D133" s="335"/>
      <c r="E133" s="336"/>
      <c r="F133" s="1011"/>
      <c r="G133" s="1012"/>
      <c r="H133" s="1011"/>
      <c r="I133" s="1011"/>
      <c r="J133" s="1011"/>
      <c r="K133" s="1011"/>
      <c r="L133" s="1011"/>
      <c r="M133" s="1011"/>
      <c r="N133" s="1011"/>
      <c r="O133" s="1011"/>
      <c r="P133" s="1011"/>
    </row>
    <row r="134" spans="1:16" ht="15.75" thickBot="1" x14ac:dyDescent="0.3">
      <c r="A134" s="20" t="s">
        <v>338</v>
      </c>
      <c r="B134" s="20"/>
      <c r="C134" s="20"/>
      <c r="D134" s="338">
        <f>SUM(D132,D130)</f>
        <v>0</v>
      </c>
      <c r="E134" s="1013">
        <f>SUM(E132,E130)</f>
        <v>0</v>
      </c>
      <c r="F134" s="1013">
        <f>SUM(F132,F130)</f>
        <v>-0.39331361649570129</v>
      </c>
      <c r="G134" s="1013">
        <f t="shared" ref="G134:P134" si="76">SUM(G132,G130)</f>
        <v>-0.37462395254805708</v>
      </c>
      <c r="H134" s="1013">
        <f t="shared" si="76"/>
        <v>-0.34623811299126694</v>
      </c>
      <c r="I134" s="1013">
        <f t="shared" si="76"/>
        <v>-0.31785227343447681</v>
      </c>
      <c r="J134" s="1013">
        <f t="shared" si="76"/>
        <v>-0.28946643387768667</v>
      </c>
      <c r="K134" s="1013">
        <f t="shared" si="76"/>
        <v>-0.26108059432089653</v>
      </c>
      <c r="L134" s="1013">
        <f t="shared" si="76"/>
        <v>-0.23269475476410637</v>
      </c>
      <c r="M134" s="1013">
        <f t="shared" si="76"/>
        <v>-0.2043089152073162</v>
      </c>
      <c r="N134" s="1013">
        <f t="shared" si="76"/>
        <v>-0.17592307565052603</v>
      </c>
      <c r="O134" s="1013">
        <f t="shared" si="76"/>
        <v>-0.14753723609373587</v>
      </c>
      <c r="P134" s="1013">
        <f t="shared" si="76"/>
        <v>-0.11915139653694572</v>
      </c>
    </row>
    <row r="135" spans="1:16" ht="15.75" thickTop="1" x14ac:dyDescent="0.25"/>
    <row r="136" spans="1:16" x14ac:dyDescent="0.25">
      <c r="A136" s="141" t="s">
        <v>397</v>
      </c>
      <c r="E136" s="360" t="e">
        <f t="shared" ref="E136:P136" si="77">+E36/E35</f>
        <v>#DIV/0!</v>
      </c>
      <c r="F136" s="360">
        <f t="shared" si="77"/>
        <v>0.46514766127943097</v>
      </c>
      <c r="G136" s="360">
        <f t="shared" si="77"/>
        <v>0.46514766127943097</v>
      </c>
      <c r="H136" s="360">
        <f t="shared" si="77"/>
        <v>0.46514766127943097</v>
      </c>
      <c r="I136" s="360">
        <f t="shared" si="77"/>
        <v>0.46514766127943097</v>
      </c>
      <c r="J136" s="360">
        <f t="shared" si="77"/>
        <v>0.46514766127943097</v>
      </c>
      <c r="K136" s="360">
        <f t="shared" si="77"/>
        <v>0.46514766127943097</v>
      </c>
      <c r="L136" s="360">
        <f t="shared" si="77"/>
        <v>0.46514766127943097</v>
      </c>
      <c r="M136" s="360">
        <f t="shared" si="77"/>
        <v>0.46514766127943097</v>
      </c>
      <c r="N136" s="360">
        <f t="shared" si="77"/>
        <v>0.46514766127943097</v>
      </c>
      <c r="O136" s="360">
        <f t="shared" si="77"/>
        <v>0.46514766127943097</v>
      </c>
      <c r="P136" s="360">
        <f t="shared" si="77"/>
        <v>0.46514766127943097</v>
      </c>
    </row>
    <row r="137" spans="1:16" x14ac:dyDescent="0.25">
      <c r="A137" s="361" t="s">
        <v>398</v>
      </c>
      <c r="B137" s="361"/>
      <c r="C137" s="361"/>
      <c r="E137" s="179">
        <f>Summary!$G$12</f>
        <v>38</v>
      </c>
      <c r="F137" s="179">
        <f>Summary!$G$12</f>
        <v>38</v>
      </c>
      <c r="G137" s="179">
        <f>Summary!$G$12</f>
        <v>38</v>
      </c>
      <c r="H137" s="179">
        <f>Summary!$G$12</f>
        <v>38</v>
      </c>
      <c r="I137" s="179">
        <f>Summary!$G$12</f>
        <v>38</v>
      </c>
      <c r="J137" s="179">
        <f>Summary!$G$12</f>
        <v>38</v>
      </c>
      <c r="K137" s="179">
        <f>Summary!$G$12</f>
        <v>38</v>
      </c>
      <c r="L137" s="179">
        <f>Summary!$G$12</f>
        <v>38</v>
      </c>
      <c r="M137" s="179">
        <f>Summary!$G$12</f>
        <v>38</v>
      </c>
      <c r="N137" s="179">
        <f>Summary!$G$12</f>
        <v>38</v>
      </c>
      <c r="O137" s="179">
        <f>Summary!$G$12</f>
        <v>38</v>
      </c>
      <c r="P137" s="179">
        <f>Summary!$G$12</f>
        <v>38</v>
      </c>
    </row>
    <row r="138" spans="1:16" x14ac:dyDescent="0.25">
      <c r="A138" s="141" t="s">
        <v>399</v>
      </c>
      <c r="E138" s="199">
        <f>+E36/Summary!$G$12</f>
        <v>0</v>
      </c>
      <c r="F138" s="199">
        <f>+F36/Summary!$G$12</f>
        <v>988.73923444976083</v>
      </c>
      <c r="G138" s="199">
        <f>+G36/Summary!$G$12</f>
        <v>988.73923444976083</v>
      </c>
      <c r="H138" s="199">
        <f>+H36/Summary!$G$12</f>
        <v>988.73923444976083</v>
      </c>
      <c r="I138" s="199">
        <f>+I36/Summary!$G$12</f>
        <v>988.73923444976083</v>
      </c>
      <c r="J138" s="199">
        <f>+J36/Summary!$G$12</f>
        <v>988.73923444976083</v>
      </c>
      <c r="K138" s="199">
        <f>+K36/Summary!$G$12</f>
        <v>988.73923444976083</v>
      </c>
      <c r="L138" s="199">
        <f>+L36/Summary!$G$12</f>
        <v>988.73923444976083</v>
      </c>
      <c r="M138" s="199">
        <f>+M36/Summary!$G$12</f>
        <v>988.73923444976083</v>
      </c>
      <c r="N138" s="199">
        <f>+N36/Summary!$G$12</f>
        <v>988.73923444976083</v>
      </c>
      <c r="O138" s="199">
        <f>+O36/Summary!$G$12</f>
        <v>988.73923444976083</v>
      </c>
      <c r="P138" s="199">
        <f>+P36/Summary!$G$12</f>
        <v>988.73923444976083</v>
      </c>
    </row>
    <row r="139" spans="1:16" x14ac:dyDescent="0.25">
      <c r="A139" s="141" t="s">
        <v>400</v>
      </c>
      <c r="E139" s="199">
        <f>+E35/Summary!$G$12</f>
        <v>0</v>
      </c>
      <c r="F139" s="199">
        <f>+F35/Summary!$G$12</f>
        <v>2125.6459330143539</v>
      </c>
      <c r="G139" s="199">
        <f>+G35/Summary!$G$12</f>
        <v>2125.6459330143539</v>
      </c>
      <c r="H139" s="199">
        <f>+H35/Summary!$G$12</f>
        <v>2125.6459330143539</v>
      </c>
      <c r="I139" s="199">
        <f>+I35/Summary!$G$12</f>
        <v>2125.6459330143539</v>
      </c>
      <c r="J139" s="199">
        <f>+J35/Summary!$G$12</f>
        <v>2125.6459330143539</v>
      </c>
      <c r="K139" s="199">
        <f>+K35/Summary!$G$12</f>
        <v>2125.6459330143539</v>
      </c>
      <c r="L139" s="199">
        <f>+L35/Summary!$G$12</f>
        <v>2125.6459330143539</v>
      </c>
      <c r="M139" s="199">
        <f>+M35/Summary!$G$12</f>
        <v>2125.6459330143539</v>
      </c>
      <c r="N139" s="199">
        <f>+N35/Summary!$G$12</f>
        <v>2125.6459330143539</v>
      </c>
      <c r="O139" s="199">
        <f>+O35/Summary!$G$12</f>
        <v>2125.6459330143539</v>
      </c>
      <c r="P139" s="199">
        <f>+P35/Summary!$G$12</f>
        <v>2125.6459330143539</v>
      </c>
    </row>
    <row r="141" spans="1:16" x14ac:dyDescent="0.25">
      <c r="A141" s="309"/>
    </row>
  </sheetData>
  <sheetProtection algorithmName="SHA-512" hashValue="eqS16UygXWAkVncnhCs6pklvq6DUvIAqvxPR2EhVfehidj+y0DaNbCRXla4VUQjr3Av16FDhWP60QThIiI3DKg==" saltValue="actJxnUrhAigWCTdpYlNlQ==" spinCount="100000" sheet="1" selectLockedCells="1"/>
  <conditionalFormatting sqref="D67:P68 D65:D66">
    <cfRule type="cellIs" dxfId="9" priority="177" stopIfTrue="1" operator="equal">
      <formula>0</formula>
    </cfRule>
  </conditionalFormatting>
  <conditionalFormatting sqref="D84:P100">
    <cfRule type="cellIs" dxfId="8" priority="178" stopIfTrue="1" operator="equal">
      <formula>0</formula>
    </cfRule>
  </conditionalFormatting>
  <conditionalFormatting sqref="D106:P124">
    <cfRule type="cellIs" dxfId="7" priority="179" stopIfTrue="1" operator="equal">
      <formula>0</formula>
    </cfRule>
  </conditionalFormatting>
  <pageMargins left="0.25" right="0.25" top="0.5" bottom="0.45" header="0.25" footer="0.25"/>
  <pageSetup scale="63" fitToHeight="3" orientation="landscape" r:id="rId1"/>
  <headerFooter>
    <oddHeader xml:space="preserve">&amp;L &amp;C &amp;R </oddHeader>
    <oddFooter>&amp;L&amp;7&amp;D  at &amp;T Mike 702.486.8879&amp;C&amp;7&amp;F  &amp;A&amp;R&amp;7Page &amp;P of &amp;N</oddFooter>
  </headerFooter>
  <rowBreaks count="1" manualBreakCount="1">
    <brk id="79" max="14" man="1"/>
  </rowBreaks>
  <legacyDrawing r:id="rId2"/>
  <extLst>
    <ext xmlns:x14="http://schemas.microsoft.com/office/spreadsheetml/2009/9/main" uri="{78C0D931-6437-407d-A8EE-F0AAD7539E65}">
      <x14:conditionalFormattings>
        <x14:conditionalFormatting xmlns:xm="http://schemas.microsoft.com/office/excel/2006/main">
          <x14:cfRule type="cellIs" priority="5" operator="notBetween" id="{43A297F8-FFBE-417E-89DE-D5D0089D6E55}">
            <xm:f>0.95*'Enrol Staff &amp; Exp'!$H$75</xm:f>
            <xm:f>1.05*'Enrol Staff &amp; Exp'!$H$75</xm:f>
            <x14:dxf>
              <fill>
                <patternFill>
                  <bgColor rgb="FFFF0000"/>
                </patternFill>
              </fill>
            </x14:dxf>
          </x14:cfRule>
          <xm:sqref>B30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tint="-0.34998626667073579"/>
  </sheetPr>
  <dimension ref="A1:K29"/>
  <sheetViews>
    <sheetView workbookViewId="0">
      <selection activeCell="E13" sqref="E13"/>
    </sheetView>
  </sheetViews>
  <sheetFormatPr defaultColWidth="8.85546875" defaultRowHeight="15" x14ac:dyDescent="0.25"/>
  <cols>
    <col min="1" max="1" width="14.140625" style="7" bestFit="1" customWidth="1"/>
    <col min="2" max="2" width="9.42578125" style="5" bestFit="1" customWidth="1"/>
    <col min="3" max="4" width="9.42578125" style="5" customWidth="1"/>
    <col min="5" max="5" width="10.85546875" style="7" customWidth="1"/>
    <col min="6" max="6" width="13.140625" style="7" customWidth="1"/>
    <col min="7" max="7" width="6.42578125" style="7" customWidth="1"/>
    <col min="8" max="8" width="10" style="7" customWidth="1"/>
    <col min="9" max="9" width="10.85546875" style="7" customWidth="1"/>
    <col min="10" max="10" width="11.42578125" customWidth="1"/>
    <col min="11" max="11" width="11" style="7" customWidth="1"/>
    <col min="12" max="16384" width="8.85546875" style="7"/>
  </cols>
  <sheetData>
    <row r="1" spans="1:11" ht="15.75" x14ac:dyDescent="0.25">
      <c r="A1" s="63" t="s">
        <v>723</v>
      </c>
      <c r="B1" s="67"/>
      <c r="F1" s="69" t="s">
        <v>457</v>
      </c>
    </row>
    <row r="2" spans="1:11" ht="15.75" x14ac:dyDescent="0.25">
      <c r="A2" s="64" t="str">
        <f>SchoolName</f>
        <v xml:space="preserve">Alaka'i Heritage Academy </v>
      </c>
      <c r="B2" s="68"/>
    </row>
    <row r="3" spans="1:11" x14ac:dyDescent="0.25">
      <c r="A3" s="61" t="s">
        <v>415</v>
      </c>
    </row>
    <row r="4" spans="1:11" x14ac:dyDescent="0.25">
      <c r="A4" s="62" t="s">
        <v>452</v>
      </c>
    </row>
    <row r="5" spans="1:11" x14ac:dyDescent="0.25">
      <c r="A5" s="84" t="str">
        <f ca="1">CELL("filename")</f>
        <v>C:\Users\Kyle.McOmber\Work Folders\Desktop\Alaka'i Appeal Submissions\Second Submission\[Copy of Attachment 16 - Financial Plan Workbook - AHA (002).xlsx]Market</v>
      </c>
    </row>
    <row r="7" spans="1:11" x14ac:dyDescent="0.25">
      <c r="B7" s="86"/>
      <c r="C7" s="73"/>
      <c r="D7" s="73"/>
      <c r="E7" s="73"/>
      <c r="F7" s="73"/>
    </row>
    <row r="8" spans="1:11" x14ac:dyDescent="0.25">
      <c r="B8" s="1444" t="s">
        <v>475</v>
      </c>
      <c r="C8" s="1445"/>
      <c r="D8" s="85"/>
      <c r="E8" s="85"/>
      <c r="F8" s="85"/>
      <c r="I8" s="7" t="s">
        <v>471</v>
      </c>
      <c r="J8" s="1446" t="s">
        <v>488</v>
      </c>
      <c r="K8" s="1446"/>
    </row>
    <row r="9" spans="1:11" ht="30" x14ac:dyDescent="0.25">
      <c r="A9" s="76" t="s">
        <v>304</v>
      </c>
      <c r="B9" s="108" t="s">
        <v>308</v>
      </c>
      <c r="C9" s="109" t="s">
        <v>340</v>
      </c>
      <c r="D9" s="79" t="s">
        <v>341</v>
      </c>
      <c r="E9" s="96" t="s">
        <v>472</v>
      </c>
      <c r="F9" s="77" t="s">
        <v>307</v>
      </c>
      <c r="G9" s="98" t="s">
        <v>473</v>
      </c>
      <c r="H9" s="78" t="s">
        <v>464</v>
      </c>
      <c r="I9" s="78" t="s">
        <v>465</v>
      </c>
      <c r="J9" s="111" t="s">
        <v>495</v>
      </c>
      <c r="K9" s="111" t="s">
        <v>496</v>
      </c>
    </row>
    <row r="10" spans="1:11" x14ac:dyDescent="0.25">
      <c r="A10" s="52" t="s">
        <v>287</v>
      </c>
      <c r="B10" s="53">
        <v>7184</v>
      </c>
      <c r="C10" s="54">
        <v>1245.3823475451604</v>
      </c>
      <c r="D10" s="54">
        <f>B10+C10</f>
        <v>8429.3823475451609</v>
      </c>
      <c r="E10" s="75">
        <v>0</v>
      </c>
      <c r="F10" s="56">
        <f t="shared" ref="F10:F26" si="0">E10*D10</f>
        <v>0</v>
      </c>
      <c r="G10" s="97">
        <f>IF(E10=0,0,IF(F10/4&gt;500000,"Mo","Qtrly"))</f>
        <v>0</v>
      </c>
      <c r="H10" s="74">
        <f>+C10/D10</f>
        <v>0.14774301321233171</v>
      </c>
      <c r="I10" s="74">
        <f>+D10/$D$12</f>
        <v>1.1638051335266291</v>
      </c>
      <c r="J10" s="113">
        <f>IF(G10="Qtrly",F10/4,0)</f>
        <v>0</v>
      </c>
      <c r="K10" s="9">
        <f>IF(G10="Mo",F10/12,0)</f>
        <v>0</v>
      </c>
    </row>
    <row r="11" spans="1:11" x14ac:dyDescent="0.25">
      <c r="A11" s="52" t="s">
        <v>288</v>
      </c>
      <c r="B11" s="87">
        <v>7006</v>
      </c>
      <c r="C11" s="88">
        <v>1320.4897724523435</v>
      </c>
      <c r="D11" s="88">
        <f t="shared" ref="D11:D26" si="1">B11+C11</f>
        <v>8326.4897724523435</v>
      </c>
      <c r="E11" s="80"/>
      <c r="F11" s="81">
        <f t="shared" si="0"/>
        <v>0</v>
      </c>
      <c r="G11" s="97">
        <f>IF(E11=0,0,IF(F11/4&gt;500000,"Mo","Qtrly"))</f>
        <v>0</v>
      </c>
      <c r="H11" s="74">
        <f t="shared" ref="H11:H26" si="2">+C11/D11</f>
        <v>0.15858901031994288</v>
      </c>
      <c r="I11" s="74">
        <f>+D11/$D$12</f>
        <v>1.1495992401221535</v>
      </c>
      <c r="J11" s="110">
        <f>IF(G11="Qtrly",F11/4,0)</f>
        <v>0</v>
      </c>
      <c r="K11" s="10">
        <f>IF(G11="Mo",F11/12,0)</f>
        <v>0</v>
      </c>
    </row>
    <row r="12" spans="1:11" x14ac:dyDescent="0.25">
      <c r="A12" s="89" t="s">
        <v>289</v>
      </c>
      <c r="B12" s="90">
        <v>6067</v>
      </c>
      <c r="C12" s="91">
        <v>1175.9499619081098</v>
      </c>
      <c r="D12" s="91">
        <f t="shared" si="1"/>
        <v>7242.9499619081098</v>
      </c>
      <c r="E12" s="92">
        <v>330</v>
      </c>
      <c r="F12" s="93">
        <f t="shared" si="0"/>
        <v>2390173.4874296761</v>
      </c>
      <c r="G12" s="97" t="str">
        <f>IF(E12=0,0,IF(F12/4&gt;500000,"Mo","Qtrly"))</f>
        <v>Mo</v>
      </c>
      <c r="H12" s="94">
        <f t="shared" si="2"/>
        <v>0.1623578746356979</v>
      </c>
      <c r="I12" s="94">
        <f>+D12/$D$12</f>
        <v>1</v>
      </c>
      <c r="J12" s="110">
        <f>IF(G12="Qtrly",F12/4,0)</f>
        <v>0</v>
      </c>
      <c r="K12" s="10">
        <f>IF(G12="Mo",F12/12,0)</f>
        <v>199181.12395247302</v>
      </c>
    </row>
    <row r="13" spans="1:11" x14ac:dyDescent="0.25">
      <c r="A13" s="52" t="s">
        <v>290</v>
      </c>
      <c r="B13" s="87">
        <v>6086</v>
      </c>
      <c r="C13" s="88">
        <v>3253.7290423366917</v>
      </c>
      <c r="D13" s="88">
        <f t="shared" si="1"/>
        <v>9339.7290423366921</v>
      </c>
      <c r="E13" s="80">
        <v>0</v>
      </c>
      <c r="F13" s="81">
        <f t="shared" si="0"/>
        <v>0</v>
      </c>
      <c r="G13" s="97">
        <f t="shared" ref="G13:G26" si="3">IF(E13=0,0,IF(F13/4&gt;500000,"Mo","Qtrly"))</f>
        <v>0</v>
      </c>
      <c r="H13" s="74">
        <f t="shared" si="2"/>
        <v>0.34837510034687758</v>
      </c>
      <c r="I13" s="74">
        <f t="shared" ref="I13:I26" si="4">+D13/$D$12</f>
        <v>1.2894924155842433</v>
      </c>
      <c r="J13" s="110">
        <f t="shared" ref="J13:J26" si="5">IF(G13="Qtrly",F13/4,0)</f>
        <v>0</v>
      </c>
      <c r="K13" s="10">
        <f t="shared" ref="K13:K26" si="6">IF(G13="Mo",F13/12,0)</f>
        <v>0</v>
      </c>
    </row>
    <row r="14" spans="1:11" x14ac:dyDescent="0.25">
      <c r="A14" s="52" t="s">
        <v>291</v>
      </c>
      <c r="B14" s="87">
        <v>7891</v>
      </c>
      <c r="C14" s="88">
        <v>1529.3898852952666</v>
      </c>
      <c r="D14" s="88">
        <f t="shared" si="1"/>
        <v>9420.3898852952661</v>
      </c>
      <c r="E14" s="80">
        <v>0</v>
      </c>
      <c r="F14" s="81">
        <f t="shared" si="0"/>
        <v>0</v>
      </c>
      <c r="G14" s="97">
        <f t="shared" si="3"/>
        <v>0</v>
      </c>
      <c r="H14" s="74">
        <f t="shared" si="2"/>
        <v>0.16234889467606473</v>
      </c>
      <c r="I14" s="74">
        <f t="shared" si="4"/>
        <v>1.3006288784043349</v>
      </c>
      <c r="J14" s="110">
        <f t="shared" si="5"/>
        <v>0</v>
      </c>
      <c r="K14" s="10">
        <f t="shared" si="6"/>
        <v>0</v>
      </c>
    </row>
    <row r="15" spans="1:11" x14ac:dyDescent="0.25">
      <c r="A15" s="52" t="s">
        <v>292</v>
      </c>
      <c r="B15" s="87">
        <v>20750</v>
      </c>
      <c r="C15" s="88">
        <v>9469.2635503703241</v>
      </c>
      <c r="D15" s="88">
        <f t="shared" si="1"/>
        <v>30219.263550370324</v>
      </c>
      <c r="E15" s="80">
        <v>0</v>
      </c>
      <c r="F15" s="81">
        <f t="shared" si="0"/>
        <v>0</v>
      </c>
      <c r="G15" s="97">
        <f t="shared" si="3"/>
        <v>0</v>
      </c>
      <c r="H15" s="74">
        <f t="shared" si="2"/>
        <v>0.31335189669949065</v>
      </c>
      <c r="I15" s="74">
        <f t="shared" si="4"/>
        <v>4.1722314401312319</v>
      </c>
      <c r="J15" s="110">
        <f t="shared" si="5"/>
        <v>0</v>
      </c>
      <c r="K15" s="10">
        <f t="shared" si="6"/>
        <v>0</v>
      </c>
    </row>
    <row r="16" spans="1:11" x14ac:dyDescent="0.25">
      <c r="A16" s="52" t="s">
        <v>293</v>
      </c>
      <c r="B16" s="87">
        <v>11032</v>
      </c>
      <c r="C16" s="88">
        <v>20035.774574253475</v>
      </c>
      <c r="D16" s="88">
        <f t="shared" si="1"/>
        <v>31067.774574253475</v>
      </c>
      <c r="E16" s="80">
        <v>0</v>
      </c>
      <c r="F16" s="81">
        <f t="shared" si="0"/>
        <v>0</v>
      </c>
      <c r="G16" s="97">
        <f t="shared" si="3"/>
        <v>0</v>
      </c>
      <c r="H16" s="74">
        <f t="shared" si="2"/>
        <v>0.64490536734026471</v>
      </c>
      <c r="I16" s="74">
        <f t="shared" si="4"/>
        <v>4.2893813622410919</v>
      </c>
      <c r="J16" s="110">
        <f t="shared" si="5"/>
        <v>0</v>
      </c>
      <c r="K16" s="10">
        <f t="shared" si="6"/>
        <v>0</v>
      </c>
    </row>
    <row r="17" spans="1:11" x14ac:dyDescent="0.25">
      <c r="A17" s="52" t="s">
        <v>294</v>
      </c>
      <c r="B17" s="87">
        <v>7431</v>
      </c>
      <c r="C17" s="88">
        <v>2257.9168173623493</v>
      </c>
      <c r="D17" s="88">
        <f t="shared" si="1"/>
        <v>9688.9168173623493</v>
      </c>
      <c r="E17" s="80">
        <v>0</v>
      </c>
      <c r="F17" s="81">
        <f t="shared" si="0"/>
        <v>0</v>
      </c>
      <c r="G17" s="97">
        <f t="shared" si="3"/>
        <v>0</v>
      </c>
      <c r="H17" s="74">
        <f t="shared" si="2"/>
        <v>0.2330412016043121</v>
      </c>
      <c r="I17" s="74">
        <f t="shared" si="4"/>
        <v>1.3377031276369422</v>
      </c>
      <c r="J17" s="110">
        <f t="shared" si="5"/>
        <v>0</v>
      </c>
      <c r="K17" s="10">
        <f t="shared" si="6"/>
        <v>0</v>
      </c>
    </row>
    <row r="18" spans="1:11" x14ac:dyDescent="0.25">
      <c r="A18" s="52" t="s">
        <v>295</v>
      </c>
      <c r="B18" s="87">
        <v>3517</v>
      </c>
      <c r="C18" s="88">
        <v>8536.338724633586</v>
      </c>
      <c r="D18" s="88">
        <f t="shared" si="1"/>
        <v>12053.338724633586</v>
      </c>
      <c r="E18" s="80">
        <v>0</v>
      </c>
      <c r="F18" s="81">
        <f t="shared" si="0"/>
        <v>0</v>
      </c>
      <c r="G18" s="97">
        <f t="shared" si="3"/>
        <v>0</v>
      </c>
      <c r="H18" s="74">
        <f t="shared" si="2"/>
        <v>0.70821362608749594</v>
      </c>
      <c r="I18" s="74">
        <f t="shared" si="4"/>
        <v>1.6641477282079979</v>
      </c>
      <c r="J18" s="110">
        <f t="shared" si="5"/>
        <v>0</v>
      </c>
      <c r="K18" s="10">
        <f t="shared" si="6"/>
        <v>0</v>
      </c>
    </row>
    <row r="19" spans="1:11" x14ac:dyDescent="0.25">
      <c r="A19" s="52" t="s">
        <v>296</v>
      </c>
      <c r="B19" s="87">
        <v>12131</v>
      </c>
      <c r="C19" s="88">
        <v>1685.3148174012715</v>
      </c>
      <c r="D19" s="88">
        <f t="shared" si="1"/>
        <v>13816.314817401271</v>
      </c>
      <c r="E19" s="80">
        <v>0</v>
      </c>
      <c r="F19" s="81">
        <f t="shared" si="0"/>
        <v>0</v>
      </c>
      <c r="G19" s="97">
        <f t="shared" si="3"/>
        <v>0</v>
      </c>
      <c r="H19" s="74">
        <f t="shared" si="2"/>
        <v>0.12198005326852161</v>
      </c>
      <c r="I19" s="74">
        <f t="shared" si="4"/>
        <v>1.9075535368963739</v>
      </c>
      <c r="J19" s="110">
        <f t="shared" si="5"/>
        <v>0</v>
      </c>
      <c r="K19" s="10">
        <f t="shared" si="6"/>
        <v>0</v>
      </c>
    </row>
    <row r="20" spans="1:11" x14ac:dyDescent="0.25">
      <c r="A20" s="52" t="s">
        <v>297</v>
      </c>
      <c r="B20" s="87">
        <v>7724</v>
      </c>
      <c r="C20" s="88">
        <v>1043.382638093434</v>
      </c>
      <c r="D20" s="88">
        <f t="shared" si="1"/>
        <v>8767.3826380934333</v>
      </c>
      <c r="E20" s="80">
        <v>0</v>
      </c>
      <c r="F20" s="81">
        <f t="shared" si="0"/>
        <v>0</v>
      </c>
      <c r="G20" s="97">
        <f t="shared" si="3"/>
        <v>0</v>
      </c>
      <c r="H20" s="74">
        <f t="shared" si="2"/>
        <v>0.11900731166449117</v>
      </c>
      <c r="I20" s="74">
        <f t="shared" si="4"/>
        <v>1.2104712422704245</v>
      </c>
      <c r="J20" s="110">
        <f t="shared" si="5"/>
        <v>0</v>
      </c>
      <c r="K20" s="10">
        <f t="shared" si="6"/>
        <v>0</v>
      </c>
    </row>
    <row r="21" spans="1:11" x14ac:dyDescent="0.25">
      <c r="A21" s="52" t="s">
        <v>298</v>
      </c>
      <c r="B21" s="87">
        <v>10152</v>
      </c>
      <c r="C21" s="88">
        <v>1653.6465092972339</v>
      </c>
      <c r="D21" s="88">
        <f t="shared" si="1"/>
        <v>11805.646509297234</v>
      </c>
      <c r="E21" s="80">
        <v>0</v>
      </c>
      <c r="F21" s="81">
        <f t="shared" si="0"/>
        <v>0</v>
      </c>
      <c r="G21" s="97">
        <f t="shared" si="3"/>
        <v>0</v>
      </c>
      <c r="H21" s="74">
        <f t="shared" si="2"/>
        <v>0.14007250750689063</v>
      </c>
      <c r="I21" s="74">
        <f t="shared" si="4"/>
        <v>1.6299500302204366</v>
      </c>
      <c r="J21" s="110">
        <f t="shared" si="5"/>
        <v>0</v>
      </c>
      <c r="K21" s="10">
        <f t="shared" si="6"/>
        <v>0</v>
      </c>
    </row>
    <row r="22" spans="1:11" x14ac:dyDescent="0.25">
      <c r="A22" s="52" t="s">
        <v>299</v>
      </c>
      <c r="B22" s="87">
        <v>7967</v>
      </c>
      <c r="C22" s="88">
        <v>1826.7160516863926</v>
      </c>
      <c r="D22" s="88">
        <f t="shared" si="1"/>
        <v>9793.7160516863933</v>
      </c>
      <c r="E22" s="80">
        <v>0</v>
      </c>
      <c r="F22" s="81">
        <f t="shared" si="0"/>
        <v>0</v>
      </c>
      <c r="G22" s="97">
        <f t="shared" si="3"/>
        <v>0</v>
      </c>
      <c r="H22" s="74">
        <f t="shared" si="2"/>
        <v>0.18651919680393919</v>
      </c>
      <c r="I22" s="74">
        <f t="shared" si="4"/>
        <v>1.3521722645045444</v>
      </c>
      <c r="J22" s="110">
        <f t="shared" si="5"/>
        <v>0</v>
      </c>
      <c r="K22" s="10">
        <f t="shared" si="6"/>
        <v>0</v>
      </c>
    </row>
    <row r="23" spans="1:11" x14ac:dyDescent="0.25">
      <c r="A23" s="52" t="s">
        <v>300</v>
      </c>
      <c r="B23" s="87">
        <v>9691</v>
      </c>
      <c r="C23" s="88">
        <v>3203.4141560818189</v>
      </c>
      <c r="D23" s="88">
        <f t="shared" si="1"/>
        <v>12894.414156081819</v>
      </c>
      <c r="E23" s="80">
        <v>0</v>
      </c>
      <c r="F23" s="81">
        <f t="shared" si="0"/>
        <v>0</v>
      </c>
      <c r="G23" s="97">
        <f t="shared" si="3"/>
        <v>0</v>
      </c>
      <c r="H23" s="74">
        <f t="shared" si="2"/>
        <v>0.24843425356947191</v>
      </c>
      <c r="I23" s="74">
        <f t="shared" si="4"/>
        <v>1.7802710530786086</v>
      </c>
      <c r="J23" s="110">
        <f t="shared" si="5"/>
        <v>0</v>
      </c>
      <c r="K23" s="10">
        <f t="shared" si="6"/>
        <v>0</v>
      </c>
    </row>
    <row r="24" spans="1:11" x14ac:dyDescent="0.25">
      <c r="A24" s="52" t="s">
        <v>301</v>
      </c>
      <c r="B24" s="87">
        <v>6136</v>
      </c>
      <c r="C24" s="88">
        <v>10216.403262371867</v>
      </c>
      <c r="D24" s="88">
        <f t="shared" si="1"/>
        <v>16352.403262371867</v>
      </c>
      <c r="E24" s="80">
        <v>0</v>
      </c>
      <c r="F24" s="81">
        <f t="shared" si="0"/>
        <v>0</v>
      </c>
      <c r="G24" s="97">
        <f t="shared" si="3"/>
        <v>0</v>
      </c>
      <c r="H24" s="74">
        <f t="shared" si="2"/>
        <v>0.62476463541481964</v>
      </c>
      <c r="I24" s="74">
        <f t="shared" si="4"/>
        <v>2.257699328087575</v>
      </c>
      <c r="J24" s="110">
        <f t="shared" si="5"/>
        <v>0</v>
      </c>
      <c r="K24" s="10">
        <f t="shared" si="6"/>
        <v>0</v>
      </c>
    </row>
    <row r="25" spans="1:11" x14ac:dyDescent="0.25">
      <c r="A25" s="101" t="s">
        <v>302</v>
      </c>
      <c r="B25" s="102">
        <v>6034</v>
      </c>
      <c r="C25" s="103">
        <v>1417.3102570989925</v>
      </c>
      <c r="D25" s="103">
        <f t="shared" si="1"/>
        <v>7451.3102570989922</v>
      </c>
      <c r="E25" s="104">
        <v>0</v>
      </c>
      <c r="F25" s="105">
        <f t="shared" si="0"/>
        <v>0</v>
      </c>
      <c r="G25" s="106">
        <f t="shared" si="3"/>
        <v>0</v>
      </c>
      <c r="H25" s="107">
        <f t="shared" si="2"/>
        <v>0.19020953472561372</v>
      </c>
      <c r="I25" s="107">
        <f t="shared" si="4"/>
        <v>1.0287673249555338</v>
      </c>
      <c r="J25" s="110">
        <f t="shared" si="5"/>
        <v>0</v>
      </c>
      <c r="K25" s="10">
        <f t="shared" si="6"/>
        <v>0</v>
      </c>
    </row>
    <row r="26" spans="1:11" x14ac:dyDescent="0.25">
      <c r="A26" s="52" t="s">
        <v>303</v>
      </c>
      <c r="B26" s="87">
        <v>8512</v>
      </c>
      <c r="C26" s="88">
        <v>2603.8851528305713</v>
      </c>
      <c r="D26" s="88">
        <f t="shared" si="1"/>
        <v>11115.885152830571</v>
      </c>
      <c r="E26" s="82">
        <v>0</v>
      </c>
      <c r="F26" s="81">
        <f t="shared" si="0"/>
        <v>0</v>
      </c>
      <c r="G26" s="97">
        <f t="shared" si="3"/>
        <v>0</v>
      </c>
      <c r="H26" s="83">
        <f t="shared" si="2"/>
        <v>0.23424901544322926</v>
      </c>
      <c r="I26" s="83">
        <f t="shared" si="4"/>
        <v>1.5347179272659452</v>
      </c>
      <c r="J26" s="110">
        <f t="shared" si="5"/>
        <v>0</v>
      </c>
      <c r="K26" s="10">
        <f t="shared" si="6"/>
        <v>0</v>
      </c>
    </row>
    <row r="27" spans="1:11" x14ac:dyDescent="0.25">
      <c r="A27" s="55" t="s">
        <v>306</v>
      </c>
      <c r="B27" s="57">
        <f>IF(OR(F27=0,E27=0),0,F27/E27)</f>
        <v>7242.9499619081098</v>
      </c>
      <c r="C27" s="58"/>
      <c r="D27" s="58"/>
      <c r="E27" s="59">
        <f>SUM(E10:E26)</f>
        <v>330</v>
      </c>
      <c r="F27" s="60">
        <f>SUM(F10:F26)</f>
        <v>2390173.4874296761</v>
      </c>
      <c r="G27" s="99"/>
      <c r="J27" s="112"/>
      <c r="K27" s="99"/>
    </row>
    <row r="28" spans="1:11" x14ac:dyDescent="0.25">
      <c r="A28" s="55" t="s">
        <v>474</v>
      </c>
      <c r="B28" s="55"/>
      <c r="C28" s="55"/>
      <c r="D28" s="55"/>
      <c r="E28" s="55"/>
      <c r="F28" s="95">
        <f>+F27/E27</f>
        <v>7242.9499619081098</v>
      </c>
      <c r="G28" s="8"/>
      <c r="H28" s="55"/>
      <c r="I28" s="55"/>
      <c r="K28" s="8"/>
    </row>
    <row r="29" spans="1:11" x14ac:dyDescent="0.25">
      <c r="G29" s="8"/>
      <c r="K29" s="8"/>
    </row>
  </sheetData>
  <sheetProtection algorithmName="SHA-512" hashValue="hkFoDAxH3YjWLJ0NoUxDQi6AgiCml1okCUEsCAH8RusEVgfTr31bYKQsaOTxpdzOMW+/ytlMT4K86IUQhCh0gA==" saltValue="Fo9X8RG0ufVO9czf8do9Mg==" spinCount="100000" sheet="1" selectLockedCells="1"/>
  <mergeCells count="2">
    <mergeCell ref="B8:C8"/>
    <mergeCell ref="J8:K8"/>
  </mergeCells>
  <conditionalFormatting sqref="F28:G28 A10:I11 A28 A13:I24 A26:I26">
    <cfRule type="expression" dxfId="5" priority="14" stopIfTrue="1">
      <formula>MOD(ROW(),2)=0</formula>
    </cfRule>
  </conditionalFormatting>
  <conditionalFormatting sqref="B28:E28">
    <cfRule type="expression" dxfId="4" priority="13" stopIfTrue="1">
      <formula>MOD(ROW(),2)=0</formula>
    </cfRule>
  </conditionalFormatting>
  <conditionalFormatting sqref="H28:I28">
    <cfRule type="expression" dxfId="3" priority="12" stopIfTrue="1">
      <formula>MOD(ROW(),2)=0</formula>
    </cfRule>
  </conditionalFormatting>
  <conditionalFormatting sqref="A12:I12">
    <cfRule type="expression" dxfId="2" priority="15" stopIfTrue="1">
      <formula>MOD(ROW(),2)=0</formula>
    </cfRule>
  </conditionalFormatting>
  <conditionalFormatting sqref="A25:I25">
    <cfRule type="expression" dxfId="1" priority="16" stopIfTrue="1">
      <formula>MOD(ROW(),2)=0</formula>
    </cfRule>
  </conditionalFormatting>
  <conditionalFormatting sqref="J10:K26">
    <cfRule type="expression" dxfId="0" priority="17" stopIfTrue="1">
      <formula>MOD(ROW(),2)=0</formula>
    </cfRule>
  </conditionalFormatting>
  <pageMargins left="0.25" right="0.25" top="0.5" bottom="0.44999999999999996" header="0.25" footer="0.25"/>
  <pageSetup scale="88" orientation="landscape" r:id="rId1"/>
  <headerFooter>
    <oddHeader xml:space="preserve">&amp;L &amp;C &amp;R </oddHeader>
    <oddFooter>&amp;L&amp;7&amp;D  at &amp;T Mike 702.486.8879&amp;C&amp;7&amp;F  &amp;A&amp;R&amp;7Page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80"/>
  <sheetViews>
    <sheetView showGridLines="0" view="pageBreakPreview" zoomScale="115" zoomScaleNormal="115" zoomScaleSheetLayoutView="115" workbookViewId="0">
      <selection activeCell="K30" sqref="K30"/>
    </sheetView>
  </sheetViews>
  <sheetFormatPr defaultColWidth="9.140625" defaultRowHeight="12.75" x14ac:dyDescent="0.2"/>
  <cols>
    <col min="1" max="1" width="10.7109375" style="11" bestFit="1" customWidth="1"/>
    <col min="2" max="16384" width="9.140625" style="11"/>
  </cols>
  <sheetData>
    <row r="1" spans="1:16" ht="15.75" x14ac:dyDescent="0.25">
      <c r="A1" s="1273" t="s">
        <v>932</v>
      </c>
      <c r="B1" s="1273"/>
      <c r="C1" s="1273"/>
    </row>
    <row r="2" spans="1:16" ht="15.75" x14ac:dyDescent="0.25">
      <c r="A2" s="71" t="str">
        <f>SchoolName</f>
        <v xml:space="preserve">Alaka'i Heritage Academy </v>
      </c>
      <c r="B2" s="100"/>
      <c r="C2" s="100"/>
    </row>
    <row r="3" spans="1:16" x14ac:dyDescent="0.2">
      <c r="A3" s="15" t="s">
        <v>415</v>
      </c>
    </row>
    <row r="4" spans="1:16" x14ac:dyDescent="0.2">
      <c r="A4" s="14" t="s">
        <v>452</v>
      </c>
    </row>
    <row r="5" spans="1:16" x14ac:dyDescent="0.2">
      <c r="A5" s="13" t="str">
        <f ca="1">CELL("filename")</f>
        <v>C:\Users\Kyle.McOmber\Work Folders\Desktop\Alaka'i Appeal Submissions\Second Submission\[Copy of Attachment 16 - Financial Plan Workbook - AHA (002).xlsx]Market</v>
      </c>
    </row>
    <row r="7" spans="1:16" x14ac:dyDescent="0.2">
      <c r="A7" s="12"/>
      <c r="B7" s="12"/>
      <c r="C7" s="12"/>
      <c r="D7" s="12"/>
      <c r="E7" s="12"/>
      <c r="F7" s="12"/>
      <c r="G7" s="12"/>
      <c r="H7" s="12"/>
      <c r="I7" s="12"/>
      <c r="J7" s="12"/>
      <c r="K7" s="12"/>
      <c r="L7" s="12"/>
      <c r="M7" s="12"/>
      <c r="N7" s="12"/>
      <c r="O7" s="12"/>
      <c r="P7" s="12"/>
    </row>
    <row r="8" spans="1:16" x14ac:dyDescent="0.2">
      <c r="A8" s="12"/>
      <c r="B8" s="12"/>
      <c r="C8" s="12"/>
      <c r="D8" s="12"/>
      <c r="E8" s="12"/>
      <c r="F8" s="12"/>
      <c r="G8" s="12"/>
      <c r="H8" s="12"/>
      <c r="I8" s="12"/>
      <c r="J8" s="12"/>
      <c r="K8" s="12"/>
      <c r="L8" s="12"/>
      <c r="M8" s="12"/>
      <c r="N8" s="12"/>
      <c r="O8" s="12"/>
      <c r="P8" s="12"/>
    </row>
    <row r="9" spans="1:16" x14ac:dyDescent="0.2">
      <c r="A9" s="12"/>
      <c r="B9" s="12"/>
      <c r="C9" s="12"/>
      <c r="D9" s="12"/>
      <c r="E9" s="12"/>
      <c r="F9" s="12"/>
      <c r="G9" s="12"/>
      <c r="H9" s="12"/>
      <c r="I9" s="12"/>
      <c r="J9" s="12"/>
      <c r="K9" s="12"/>
      <c r="L9" s="12"/>
      <c r="M9" s="12"/>
      <c r="N9" s="12"/>
      <c r="O9" s="12"/>
      <c r="P9" s="12"/>
    </row>
    <row r="10" spans="1:16" x14ac:dyDescent="0.2">
      <c r="A10" s="12"/>
      <c r="B10" s="12"/>
      <c r="C10" s="12"/>
      <c r="D10" s="12"/>
      <c r="E10" s="12"/>
      <c r="F10" s="12"/>
      <c r="G10" s="12"/>
      <c r="H10" s="12"/>
      <c r="I10" s="12"/>
      <c r="J10" s="12"/>
      <c r="K10" s="12"/>
      <c r="L10" s="12"/>
      <c r="M10" s="12"/>
      <c r="N10" s="12"/>
      <c r="O10" s="12"/>
      <c r="P10" s="12"/>
    </row>
    <row r="11" spans="1:16" x14ac:dyDescent="0.2">
      <c r="A11" s="12"/>
      <c r="B11" s="12"/>
      <c r="C11" s="12"/>
      <c r="D11" s="12"/>
      <c r="E11" s="12"/>
      <c r="F11" s="12"/>
      <c r="G11" s="12"/>
      <c r="H11" s="12"/>
      <c r="I11" s="12"/>
      <c r="J11" s="12"/>
      <c r="K11" s="12"/>
      <c r="L11" s="12"/>
      <c r="M11" s="12"/>
      <c r="N11" s="12"/>
      <c r="O11" s="12"/>
      <c r="P11" s="12"/>
    </row>
    <row r="12" spans="1:16" x14ac:dyDescent="0.2">
      <c r="A12" s="12"/>
      <c r="B12" s="12"/>
      <c r="C12" s="12"/>
      <c r="D12" s="12"/>
      <c r="E12" s="12"/>
      <c r="F12" s="12"/>
      <c r="G12" s="12"/>
      <c r="H12" s="12"/>
      <c r="I12" s="12"/>
      <c r="J12" s="12"/>
      <c r="K12" s="12"/>
      <c r="L12" s="12"/>
      <c r="M12" s="12"/>
      <c r="N12" s="12"/>
      <c r="O12" s="12"/>
      <c r="P12" s="12"/>
    </row>
    <row r="13" spans="1:16" x14ac:dyDescent="0.2">
      <c r="A13" s="12"/>
      <c r="B13" s="12"/>
      <c r="C13" s="12"/>
      <c r="D13" s="12"/>
      <c r="E13" s="12"/>
      <c r="F13" s="12"/>
      <c r="G13" s="12"/>
      <c r="H13" s="12"/>
      <c r="I13" s="12"/>
      <c r="J13" s="12"/>
      <c r="K13" s="12"/>
      <c r="L13" s="12"/>
      <c r="M13" s="12"/>
      <c r="N13" s="12"/>
      <c r="O13" s="12"/>
      <c r="P13" s="12"/>
    </row>
    <row r="14" spans="1:16" x14ac:dyDescent="0.2">
      <c r="A14" s="12"/>
      <c r="B14" s="12"/>
      <c r="C14" s="12"/>
      <c r="D14" s="12"/>
      <c r="E14" s="12"/>
      <c r="F14" s="12"/>
      <c r="G14" s="12"/>
      <c r="H14" s="12"/>
      <c r="I14" s="12"/>
      <c r="J14" s="12"/>
      <c r="K14" s="12"/>
      <c r="L14" s="12"/>
      <c r="M14" s="12"/>
      <c r="N14" s="12"/>
      <c r="O14" s="12"/>
      <c r="P14" s="12"/>
    </row>
    <row r="15" spans="1:16" x14ac:dyDescent="0.2">
      <c r="A15" s="12"/>
      <c r="B15" s="12"/>
      <c r="C15" s="12"/>
      <c r="D15" s="12"/>
      <c r="E15" s="12"/>
      <c r="F15" s="12"/>
      <c r="G15" s="12"/>
      <c r="H15" s="12"/>
      <c r="I15" s="12"/>
      <c r="J15" s="12"/>
      <c r="K15" s="12"/>
      <c r="L15" s="12"/>
      <c r="M15" s="12"/>
      <c r="N15" s="12"/>
      <c r="O15" s="12"/>
      <c r="P15" s="12"/>
    </row>
    <row r="16" spans="1:16" x14ac:dyDescent="0.2">
      <c r="A16" s="12"/>
      <c r="B16" s="12"/>
      <c r="C16" s="12"/>
      <c r="D16" s="12"/>
      <c r="E16" s="12"/>
      <c r="F16" s="12"/>
      <c r="G16" s="12"/>
      <c r="H16" s="12"/>
      <c r="I16" s="12"/>
      <c r="J16" s="12"/>
      <c r="K16" s="12"/>
      <c r="L16" s="12"/>
      <c r="M16" s="12"/>
      <c r="N16" s="12"/>
      <c r="O16" s="12"/>
      <c r="P16" s="12"/>
    </row>
    <row r="17" spans="1:16" x14ac:dyDescent="0.2">
      <c r="A17" s="12"/>
      <c r="B17" s="12"/>
      <c r="C17" s="12"/>
      <c r="D17" s="12"/>
      <c r="E17" s="12"/>
      <c r="F17" s="12"/>
      <c r="G17" s="12"/>
      <c r="H17" s="12"/>
      <c r="I17" s="12"/>
      <c r="J17" s="12"/>
      <c r="K17" s="12"/>
      <c r="L17" s="12"/>
      <c r="M17" s="12"/>
      <c r="N17" s="12"/>
      <c r="O17" s="12"/>
      <c r="P17" s="12"/>
    </row>
    <row r="18" spans="1:16" x14ac:dyDescent="0.2">
      <c r="A18" s="12"/>
      <c r="B18" s="12"/>
      <c r="C18" s="12"/>
      <c r="D18" s="12"/>
      <c r="E18" s="12"/>
      <c r="F18" s="12"/>
      <c r="G18" s="12"/>
      <c r="H18" s="12"/>
      <c r="I18" s="12"/>
      <c r="J18" s="12"/>
      <c r="K18" s="12"/>
      <c r="L18" s="12"/>
      <c r="M18" s="12"/>
      <c r="N18" s="12"/>
      <c r="O18" s="12"/>
      <c r="P18" s="12"/>
    </row>
    <row r="19" spans="1:16" x14ac:dyDescent="0.2">
      <c r="A19" s="12"/>
      <c r="B19" s="12"/>
      <c r="C19" s="12"/>
      <c r="D19" s="12"/>
      <c r="E19" s="12"/>
      <c r="F19" s="12"/>
      <c r="G19" s="12"/>
      <c r="H19" s="12"/>
      <c r="I19" s="12"/>
      <c r="J19" s="12"/>
      <c r="K19" s="12"/>
      <c r="L19" s="12"/>
      <c r="M19" s="12"/>
      <c r="N19" s="12"/>
      <c r="O19" s="12"/>
      <c r="P19" s="12"/>
    </row>
    <row r="20" spans="1:16" x14ac:dyDescent="0.2">
      <c r="A20" s="12"/>
      <c r="B20" s="12"/>
      <c r="C20" s="12"/>
      <c r="D20" s="12"/>
      <c r="E20" s="12"/>
      <c r="F20" s="12"/>
      <c r="G20" s="12"/>
      <c r="H20" s="12"/>
      <c r="I20" s="12"/>
      <c r="J20" s="12"/>
      <c r="K20" s="12"/>
      <c r="L20" s="12"/>
      <c r="M20" s="12"/>
      <c r="N20" s="12"/>
      <c r="O20" s="12"/>
      <c r="P20" s="12"/>
    </row>
    <row r="21" spans="1:16" x14ac:dyDescent="0.2">
      <c r="A21" s="12"/>
      <c r="B21" s="12"/>
      <c r="C21" s="12"/>
      <c r="D21" s="12"/>
      <c r="E21" s="12"/>
      <c r="F21" s="12"/>
      <c r="G21" s="12"/>
      <c r="H21" s="12"/>
      <c r="I21" s="12"/>
      <c r="J21" s="12"/>
      <c r="K21" s="12"/>
      <c r="L21" s="12"/>
      <c r="M21" s="12"/>
      <c r="N21" s="12"/>
      <c r="O21" s="12"/>
      <c r="P21" s="12"/>
    </row>
    <row r="22" spans="1:16" x14ac:dyDescent="0.2">
      <c r="A22" s="12"/>
      <c r="B22" s="12"/>
      <c r="C22" s="12"/>
      <c r="D22" s="12"/>
      <c r="E22" s="12"/>
      <c r="F22" s="12"/>
      <c r="G22" s="12"/>
      <c r="H22" s="12"/>
      <c r="I22" s="12"/>
      <c r="J22" s="12"/>
      <c r="K22" s="12"/>
      <c r="L22" s="12"/>
      <c r="M22" s="12"/>
      <c r="N22" s="12"/>
      <c r="O22" s="12"/>
      <c r="P22" s="12"/>
    </row>
    <row r="23" spans="1:16" x14ac:dyDescent="0.2">
      <c r="A23" s="12"/>
      <c r="B23" s="12"/>
      <c r="C23" s="12"/>
      <c r="D23" s="12"/>
      <c r="E23" s="12"/>
      <c r="F23" s="12"/>
      <c r="G23" s="12"/>
      <c r="H23" s="12"/>
      <c r="I23" s="12"/>
      <c r="J23" s="12"/>
      <c r="K23" s="12"/>
      <c r="L23" s="12"/>
      <c r="M23" s="12"/>
      <c r="N23" s="12"/>
      <c r="O23" s="12"/>
      <c r="P23" s="12"/>
    </row>
    <row r="24" spans="1:16" x14ac:dyDescent="0.2">
      <c r="A24" s="12"/>
      <c r="B24" s="12"/>
      <c r="C24" s="12"/>
      <c r="D24" s="12"/>
      <c r="E24" s="12"/>
      <c r="F24" s="12"/>
      <c r="G24" s="12"/>
      <c r="H24" s="12"/>
      <c r="I24" s="12"/>
      <c r="J24" s="12"/>
      <c r="K24" s="12"/>
      <c r="L24" s="12"/>
      <c r="M24" s="12"/>
      <c r="N24" s="12"/>
      <c r="O24" s="12"/>
      <c r="P24" s="12"/>
    </row>
    <row r="25" spans="1:16" x14ac:dyDescent="0.2">
      <c r="A25" s="12"/>
      <c r="B25" s="12"/>
      <c r="C25" s="12"/>
      <c r="D25" s="12"/>
      <c r="E25" s="12"/>
      <c r="F25" s="12"/>
      <c r="G25" s="12"/>
      <c r="H25" s="12"/>
      <c r="I25" s="12"/>
      <c r="J25" s="12"/>
      <c r="K25" s="12"/>
      <c r="L25" s="12"/>
      <c r="M25" s="12"/>
      <c r="N25" s="12"/>
      <c r="O25" s="12"/>
      <c r="P25" s="12"/>
    </row>
    <row r="26" spans="1:16" x14ac:dyDescent="0.2">
      <c r="A26" s="12"/>
      <c r="B26" s="12"/>
      <c r="C26" s="12"/>
      <c r="D26" s="12"/>
      <c r="E26" s="12"/>
      <c r="F26" s="12"/>
      <c r="G26" s="12"/>
      <c r="H26" s="12"/>
      <c r="I26" s="12"/>
      <c r="J26" s="12"/>
      <c r="K26" s="12"/>
      <c r="L26" s="12"/>
      <c r="M26" s="12"/>
      <c r="N26" s="12"/>
      <c r="O26" s="12"/>
      <c r="P26" s="12"/>
    </row>
    <row r="27" spans="1:16" x14ac:dyDescent="0.2">
      <c r="A27" s="12"/>
      <c r="B27" s="12"/>
      <c r="C27" s="12"/>
      <c r="D27" s="12"/>
      <c r="E27" s="12"/>
      <c r="F27" s="12"/>
      <c r="G27" s="12"/>
      <c r="H27" s="12"/>
      <c r="I27" s="12"/>
      <c r="J27" s="12"/>
      <c r="K27" s="12"/>
      <c r="L27" s="12"/>
      <c r="M27" s="12"/>
      <c r="N27" s="12"/>
      <c r="O27" s="12"/>
      <c r="P27" s="12"/>
    </row>
    <row r="28" spans="1:16" x14ac:dyDescent="0.2">
      <c r="A28" s="12"/>
      <c r="B28" s="12"/>
      <c r="C28" s="12"/>
      <c r="D28" s="12"/>
      <c r="E28" s="12"/>
      <c r="F28" s="12"/>
      <c r="G28" s="12"/>
      <c r="H28" s="12"/>
      <c r="I28" s="12"/>
      <c r="J28" s="12"/>
      <c r="K28" s="12"/>
      <c r="L28" s="12"/>
      <c r="M28" s="12"/>
      <c r="N28" s="12"/>
      <c r="O28" s="12"/>
      <c r="P28" s="12"/>
    </row>
    <row r="29" spans="1:16" x14ac:dyDescent="0.2">
      <c r="A29" s="12"/>
      <c r="B29" s="12"/>
      <c r="C29" s="12"/>
      <c r="D29" s="12"/>
      <c r="E29" s="12"/>
      <c r="F29" s="12"/>
      <c r="G29" s="12"/>
      <c r="H29" s="12"/>
      <c r="I29" s="12"/>
      <c r="J29" s="12"/>
      <c r="K29" s="12"/>
      <c r="L29" s="12"/>
      <c r="M29" s="12"/>
      <c r="N29" s="12"/>
      <c r="O29" s="12"/>
      <c r="P29" s="12"/>
    </row>
    <row r="30" spans="1:16" x14ac:dyDescent="0.2">
      <c r="A30" s="12"/>
      <c r="B30" s="12"/>
      <c r="C30" s="12"/>
      <c r="D30" s="12"/>
      <c r="E30" s="12"/>
      <c r="F30" s="12"/>
      <c r="G30" s="12"/>
      <c r="H30" s="12"/>
      <c r="I30" s="12"/>
      <c r="J30" s="12"/>
      <c r="K30" s="12"/>
      <c r="L30" s="12"/>
      <c r="M30" s="12"/>
      <c r="N30" s="12"/>
      <c r="O30" s="12"/>
      <c r="P30" s="12"/>
    </row>
    <row r="31" spans="1:16" x14ac:dyDescent="0.2">
      <c r="A31" s="12"/>
      <c r="B31" s="12"/>
      <c r="C31" s="12"/>
      <c r="D31" s="12"/>
      <c r="E31" s="12"/>
      <c r="F31" s="12"/>
      <c r="G31" s="12"/>
      <c r="H31" s="12"/>
      <c r="I31" s="12"/>
      <c r="J31" s="12"/>
      <c r="K31" s="12"/>
      <c r="L31" s="12"/>
      <c r="M31" s="12"/>
      <c r="N31" s="12"/>
      <c r="O31" s="12"/>
      <c r="P31" s="12"/>
    </row>
    <row r="32" spans="1:16" x14ac:dyDescent="0.2">
      <c r="A32" s="12"/>
      <c r="B32" s="12"/>
      <c r="C32" s="12"/>
      <c r="D32" s="12"/>
      <c r="E32" s="12"/>
      <c r="F32" s="12"/>
      <c r="G32" s="12"/>
      <c r="H32" s="12"/>
      <c r="I32" s="12"/>
      <c r="J32" s="12"/>
      <c r="K32" s="12"/>
      <c r="L32" s="12"/>
      <c r="M32" s="12"/>
      <c r="N32" s="12"/>
      <c r="O32" s="12"/>
      <c r="P32" s="12"/>
    </row>
    <row r="33" spans="1:16" x14ac:dyDescent="0.2">
      <c r="A33" s="12"/>
      <c r="B33" s="12"/>
      <c r="C33" s="12"/>
      <c r="D33" s="12"/>
      <c r="E33" s="12"/>
      <c r="F33" s="12"/>
      <c r="G33" s="12"/>
      <c r="H33" s="12"/>
      <c r="I33" s="12"/>
      <c r="J33" s="12"/>
      <c r="K33" s="12"/>
      <c r="L33" s="12"/>
      <c r="M33" s="12"/>
      <c r="N33" s="12"/>
      <c r="O33" s="12"/>
      <c r="P33" s="12"/>
    </row>
    <row r="34" spans="1:16" x14ac:dyDescent="0.2">
      <c r="A34" s="12"/>
      <c r="B34" s="12"/>
      <c r="C34" s="12"/>
      <c r="D34" s="12"/>
      <c r="E34" s="12"/>
      <c r="F34" s="12"/>
      <c r="G34" s="12"/>
      <c r="H34" s="12"/>
      <c r="I34" s="12"/>
      <c r="J34" s="12"/>
      <c r="K34" s="12"/>
      <c r="L34" s="12"/>
      <c r="M34" s="12"/>
      <c r="N34" s="12"/>
      <c r="O34" s="12"/>
      <c r="P34" s="12"/>
    </row>
    <row r="35" spans="1:16" x14ac:dyDescent="0.2">
      <c r="A35" s="12"/>
      <c r="B35" s="12"/>
      <c r="C35" s="12"/>
      <c r="D35" s="12"/>
      <c r="E35" s="12"/>
      <c r="F35" s="12"/>
      <c r="G35" s="12"/>
      <c r="H35" s="12"/>
      <c r="I35" s="12"/>
      <c r="J35" s="12"/>
      <c r="K35" s="12"/>
      <c r="L35" s="12"/>
      <c r="M35" s="12"/>
      <c r="N35" s="12"/>
      <c r="O35" s="12"/>
      <c r="P35" s="12"/>
    </row>
    <row r="36" spans="1:16" x14ac:dyDescent="0.2">
      <c r="A36" s="12"/>
      <c r="B36" s="12"/>
      <c r="C36" s="12"/>
      <c r="D36" s="12"/>
      <c r="E36" s="12"/>
      <c r="F36" s="12"/>
      <c r="G36" s="12"/>
      <c r="H36" s="12"/>
      <c r="I36" s="12"/>
      <c r="J36" s="12"/>
      <c r="K36" s="12"/>
      <c r="L36" s="12"/>
      <c r="M36" s="12"/>
      <c r="N36" s="12"/>
      <c r="O36" s="12"/>
      <c r="P36" s="12"/>
    </row>
    <row r="37" spans="1:16" x14ac:dyDescent="0.2">
      <c r="A37" s="12"/>
      <c r="B37" s="12"/>
      <c r="C37" s="12"/>
      <c r="D37" s="12"/>
      <c r="E37" s="12"/>
      <c r="F37" s="12"/>
      <c r="G37" s="12"/>
      <c r="H37" s="12"/>
      <c r="I37" s="12"/>
      <c r="J37" s="12"/>
      <c r="K37" s="12"/>
      <c r="L37" s="12"/>
      <c r="M37" s="12"/>
      <c r="N37" s="12"/>
      <c r="O37" s="12"/>
      <c r="P37" s="12"/>
    </row>
    <row r="38" spans="1:16" x14ac:dyDescent="0.2">
      <c r="A38" s="12"/>
      <c r="B38" s="12"/>
      <c r="C38" s="12"/>
      <c r="D38" s="12"/>
      <c r="E38" s="12"/>
      <c r="F38" s="12"/>
      <c r="G38" s="12"/>
      <c r="H38" s="12"/>
      <c r="I38" s="12"/>
      <c r="J38" s="12"/>
      <c r="K38" s="12"/>
      <c r="L38" s="12"/>
      <c r="M38" s="12"/>
      <c r="N38" s="12"/>
      <c r="O38" s="12"/>
      <c r="P38" s="12"/>
    </row>
    <row r="39" spans="1:16" x14ac:dyDescent="0.2">
      <c r="A39" s="12"/>
      <c r="B39" s="12"/>
      <c r="C39" s="12"/>
      <c r="D39" s="12"/>
      <c r="E39" s="12"/>
      <c r="F39" s="12"/>
      <c r="G39" s="12"/>
      <c r="H39" s="12"/>
      <c r="I39" s="12"/>
      <c r="J39" s="12"/>
      <c r="K39" s="12"/>
      <c r="L39" s="12"/>
      <c r="M39" s="12"/>
      <c r="N39" s="12"/>
      <c r="O39" s="12"/>
      <c r="P39" s="12"/>
    </row>
    <row r="40" spans="1:16" x14ac:dyDescent="0.2">
      <c r="A40" s="12"/>
      <c r="B40" s="12"/>
      <c r="C40" s="12"/>
      <c r="D40" s="12"/>
      <c r="E40" s="12"/>
      <c r="F40" s="12"/>
      <c r="G40" s="12"/>
      <c r="H40" s="12"/>
      <c r="I40" s="12"/>
      <c r="J40" s="12"/>
      <c r="K40" s="12"/>
      <c r="L40" s="12"/>
      <c r="M40" s="12"/>
      <c r="N40" s="12"/>
      <c r="O40" s="12"/>
      <c r="P40" s="12"/>
    </row>
    <row r="41" spans="1:16" x14ac:dyDescent="0.2">
      <c r="A41" s="12"/>
      <c r="B41" s="12"/>
      <c r="C41" s="12"/>
      <c r="D41" s="12"/>
      <c r="E41" s="12"/>
      <c r="F41" s="12"/>
      <c r="G41" s="12"/>
      <c r="H41" s="12"/>
      <c r="I41" s="12"/>
      <c r="J41" s="12"/>
      <c r="K41" s="12"/>
      <c r="L41" s="12"/>
      <c r="M41" s="12"/>
      <c r="N41" s="12"/>
      <c r="O41" s="12"/>
      <c r="P41" s="12"/>
    </row>
    <row r="42" spans="1:16" x14ac:dyDescent="0.2">
      <c r="A42" s="12"/>
      <c r="B42" s="12"/>
      <c r="C42" s="12"/>
      <c r="D42" s="12"/>
      <c r="E42" s="12"/>
      <c r="F42" s="12"/>
      <c r="G42" s="12"/>
      <c r="H42" s="12"/>
      <c r="I42" s="12"/>
      <c r="J42" s="12"/>
      <c r="K42" s="12"/>
      <c r="L42" s="12"/>
      <c r="M42" s="12"/>
      <c r="N42" s="12"/>
      <c r="O42" s="12"/>
      <c r="P42" s="12"/>
    </row>
    <row r="43" spans="1:16" x14ac:dyDescent="0.2">
      <c r="A43" s="12"/>
      <c r="B43" s="12"/>
      <c r="C43" s="12"/>
      <c r="D43" s="12"/>
      <c r="E43" s="12"/>
      <c r="F43" s="12"/>
      <c r="G43" s="12"/>
      <c r="H43" s="12"/>
      <c r="I43" s="12"/>
      <c r="J43" s="12"/>
      <c r="K43" s="12"/>
      <c r="L43" s="12"/>
      <c r="M43" s="12"/>
      <c r="N43" s="12"/>
      <c r="O43" s="12"/>
      <c r="P43" s="12"/>
    </row>
    <row r="44" spans="1:16" x14ac:dyDescent="0.2">
      <c r="A44" s="12"/>
      <c r="B44" s="12"/>
      <c r="C44" s="12"/>
      <c r="D44" s="12"/>
      <c r="E44" s="12"/>
      <c r="F44" s="12"/>
      <c r="G44" s="12"/>
      <c r="H44" s="12"/>
      <c r="I44" s="12"/>
      <c r="J44" s="12"/>
      <c r="K44" s="12"/>
      <c r="L44" s="12"/>
      <c r="M44" s="12"/>
      <c r="N44" s="12"/>
      <c r="O44" s="12"/>
      <c r="P44" s="12"/>
    </row>
    <row r="45" spans="1:16" x14ac:dyDescent="0.2">
      <c r="A45" s="12"/>
      <c r="B45" s="12"/>
      <c r="C45" s="12"/>
      <c r="D45" s="12"/>
      <c r="E45" s="12"/>
      <c r="F45" s="12"/>
      <c r="G45" s="12"/>
      <c r="H45" s="12"/>
      <c r="I45" s="12"/>
      <c r="J45" s="12"/>
      <c r="K45" s="12"/>
      <c r="L45" s="12"/>
      <c r="M45" s="12"/>
      <c r="N45" s="12"/>
      <c r="O45" s="12"/>
      <c r="P45" s="12"/>
    </row>
    <row r="46" spans="1:16" x14ac:dyDescent="0.2">
      <c r="A46" s="12"/>
      <c r="B46" s="12"/>
      <c r="C46" s="12"/>
      <c r="D46" s="12"/>
      <c r="E46" s="12"/>
      <c r="F46" s="12"/>
      <c r="G46" s="12"/>
      <c r="H46" s="12"/>
      <c r="I46" s="12"/>
      <c r="J46" s="12"/>
      <c r="K46" s="12"/>
      <c r="L46" s="12"/>
      <c r="M46" s="12"/>
      <c r="N46" s="12"/>
      <c r="O46" s="12"/>
      <c r="P46" s="12"/>
    </row>
    <row r="47" spans="1:16" x14ac:dyDescent="0.2">
      <c r="A47" s="12"/>
      <c r="B47" s="12"/>
      <c r="C47" s="12"/>
      <c r="D47" s="12"/>
      <c r="E47" s="12"/>
      <c r="F47" s="12"/>
      <c r="G47" s="12"/>
      <c r="H47" s="12"/>
      <c r="I47" s="12"/>
      <c r="J47" s="12"/>
      <c r="K47" s="12"/>
      <c r="L47" s="12"/>
      <c r="M47" s="12"/>
      <c r="N47" s="12"/>
      <c r="O47" s="12"/>
      <c r="P47" s="12"/>
    </row>
    <row r="48" spans="1:16" x14ac:dyDescent="0.2">
      <c r="A48" s="12"/>
      <c r="B48" s="12"/>
      <c r="C48" s="12"/>
      <c r="D48" s="12"/>
      <c r="E48" s="12"/>
      <c r="F48" s="12"/>
      <c r="G48" s="12"/>
      <c r="H48" s="12"/>
      <c r="I48" s="12"/>
      <c r="J48" s="12"/>
      <c r="K48" s="12"/>
      <c r="L48" s="12"/>
      <c r="M48" s="12"/>
      <c r="N48" s="12"/>
      <c r="O48" s="12"/>
      <c r="P48" s="12"/>
    </row>
    <row r="49" spans="1:16" x14ac:dyDescent="0.2">
      <c r="A49" s="12"/>
      <c r="B49" s="12"/>
      <c r="C49" s="12"/>
      <c r="D49" s="12"/>
      <c r="E49" s="12"/>
      <c r="F49" s="12"/>
      <c r="G49" s="12"/>
      <c r="H49" s="12"/>
      <c r="I49" s="12"/>
      <c r="J49" s="12"/>
      <c r="K49" s="12"/>
      <c r="L49" s="12"/>
      <c r="M49" s="12"/>
      <c r="N49" s="12"/>
      <c r="O49" s="12"/>
      <c r="P49" s="12"/>
    </row>
    <row r="50" spans="1:16" x14ac:dyDescent="0.2">
      <c r="A50" s="12"/>
      <c r="B50" s="12"/>
      <c r="C50" s="12"/>
      <c r="D50" s="12"/>
      <c r="E50" s="12"/>
      <c r="F50" s="12"/>
      <c r="G50" s="12"/>
      <c r="H50" s="12"/>
      <c r="I50" s="12"/>
      <c r="J50" s="12"/>
      <c r="K50" s="12"/>
      <c r="L50" s="12"/>
      <c r="M50" s="12"/>
      <c r="N50" s="12"/>
      <c r="O50" s="12"/>
      <c r="P50" s="12"/>
    </row>
    <row r="51" spans="1:16" x14ac:dyDescent="0.2">
      <c r="A51" s="12"/>
      <c r="B51" s="12"/>
      <c r="C51" s="12"/>
      <c r="D51" s="12"/>
      <c r="E51" s="12"/>
      <c r="F51" s="12"/>
      <c r="G51" s="12"/>
      <c r="H51" s="12"/>
      <c r="I51" s="12"/>
      <c r="J51" s="12"/>
      <c r="K51" s="12"/>
      <c r="L51" s="12"/>
      <c r="M51" s="12"/>
      <c r="N51" s="12"/>
      <c r="O51" s="12"/>
      <c r="P51" s="12"/>
    </row>
    <row r="52" spans="1:16" x14ac:dyDescent="0.2">
      <c r="A52" s="12"/>
      <c r="B52" s="12"/>
      <c r="C52" s="12"/>
      <c r="D52" s="12"/>
      <c r="E52" s="12"/>
      <c r="F52" s="12"/>
      <c r="G52" s="12"/>
      <c r="H52" s="12"/>
      <c r="I52" s="12"/>
      <c r="J52" s="12"/>
      <c r="K52" s="12"/>
      <c r="L52" s="12"/>
      <c r="M52" s="12"/>
      <c r="N52" s="12"/>
      <c r="O52" s="12"/>
      <c r="P52" s="12"/>
    </row>
    <row r="53" spans="1:16" x14ac:dyDescent="0.2">
      <c r="A53" s="12"/>
      <c r="B53" s="12"/>
      <c r="C53" s="12"/>
      <c r="D53" s="12"/>
      <c r="E53" s="12"/>
      <c r="F53" s="12"/>
      <c r="G53" s="12"/>
      <c r="H53" s="12"/>
      <c r="I53" s="12"/>
      <c r="J53" s="12"/>
      <c r="K53" s="12"/>
      <c r="L53" s="12"/>
      <c r="M53" s="12"/>
      <c r="N53" s="12"/>
      <c r="O53" s="12"/>
      <c r="P53" s="12"/>
    </row>
    <row r="54" spans="1:16" x14ac:dyDescent="0.2">
      <c r="A54" s="12"/>
      <c r="B54" s="12"/>
      <c r="C54" s="12"/>
      <c r="D54" s="12"/>
      <c r="E54" s="12"/>
      <c r="F54" s="12"/>
      <c r="G54" s="12"/>
      <c r="H54" s="12"/>
      <c r="I54" s="12"/>
      <c r="J54" s="12"/>
      <c r="K54" s="12"/>
      <c r="L54" s="12"/>
      <c r="M54" s="12"/>
      <c r="N54" s="12"/>
      <c r="O54" s="12"/>
      <c r="P54" s="12"/>
    </row>
    <row r="55" spans="1:16" x14ac:dyDescent="0.2">
      <c r="A55" s="12"/>
      <c r="B55" s="12"/>
      <c r="C55" s="12"/>
      <c r="D55" s="12"/>
      <c r="E55" s="12"/>
      <c r="F55" s="12"/>
      <c r="G55" s="12"/>
      <c r="H55" s="12"/>
      <c r="I55" s="12"/>
      <c r="J55" s="12"/>
      <c r="K55" s="12"/>
      <c r="L55" s="12"/>
      <c r="M55" s="12"/>
      <c r="N55" s="12"/>
      <c r="O55" s="12"/>
      <c r="P55" s="12"/>
    </row>
    <row r="56" spans="1:16" x14ac:dyDescent="0.2">
      <c r="A56" s="12"/>
      <c r="B56" s="12"/>
      <c r="C56" s="12"/>
      <c r="D56" s="12"/>
      <c r="E56" s="12"/>
      <c r="F56" s="12"/>
      <c r="G56" s="12"/>
      <c r="H56" s="12"/>
      <c r="I56" s="12"/>
      <c r="J56" s="12"/>
      <c r="K56" s="12"/>
      <c r="L56" s="12"/>
      <c r="M56" s="12"/>
      <c r="N56" s="12"/>
      <c r="O56" s="12"/>
      <c r="P56" s="12"/>
    </row>
    <row r="57" spans="1:16" x14ac:dyDescent="0.2">
      <c r="A57" s="12"/>
      <c r="B57" s="12"/>
      <c r="C57" s="12"/>
      <c r="D57" s="12"/>
      <c r="E57" s="12"/>
      <c r="F57" s="12"/>
      <c r="G57" s="12"/>
      <c r="H57" s="12"/>
      <c r="I57" s="12"/>
      <c r="J57" s="12"/>
      <c r="K57" s="12"/>
      <c r="L57" s="12"/>
      <c r="M57" s="12"/>
      <c r="N57" s="12"/>
      <c r="O57" s="12"/>
      <c r="P57" s="12"/>
    </row>
    <row r="58" spans="1:16" x14ac:dyDescent="0.2">
      <c r="A58" s="12"/>
      <c r="B58" s="12"/>
      <c r="C58" s="12"/>
      <c r="D58" s="12"/>
      <c r="E58" s="12"/>
      <c r="F58" s="12"/>
      <c r="G58" s="12"/>
      <c r="H58" s="12"/>
      <c r="I58" s="12"/>
      <c r="J58" s="12"/>
      <c r="K58" s="12"/>
      <c r="L58" s="12"/>
      <c r="M58" s="12"/>
      <c r="N58" s="12"/>
      <c r="O58" s="12"/>
      <c r="P58" s="12"/>
    </row>
    <row r="59" spans="1:16" x14ac:dyDescent="0.2">
      <c r="A59" s="12"/>
      <c r="B59" s="12"/>
      <c r="C59" s="12"/>
      <c r="D59" s="12"/>
      <c r="E59" s="12"/>
      <c r="F59" s="12"/>
      <c r="G59" s="12"/>
      <c r="H59" s="12"/>
      <c r="I59" s="12"/>
      <c r="J59" s="12"/>
      <c r="K59" s="12"/>
      <c r="L59" s="12"/>
      <c r="M59" s="12"/>
      <c r="N59" s="12"/>
      <c r="O59" s="12"/>
      <c r="P59" s="12"/>
    </row>
    <row r="60" spans="1:16" x14ac:dyDescent="0.2">
      <c r="A60" s="12"/>
      <c r="B60" s="12"/>
      <c r="C60" s="12"/>
      <c r="D60" s="12"/>
      <c r="E60" s="12"/>
      <c r="F60" s="12"/>
      <c r="G60" s="12"/>
      <c r="H60" s="12"/>
      <c r="I60" s="12"/>
      <c r="J60" s="12"/>
      <c r="K60" s="12"/>
      <c r="L60" s="12"/>
      <c r="M60" s="12"/>
      <c r="N60" s="12"/>
      <c r="O60" s="12"/>
      <c r="P60" s="12"/>
    </row>
    <row r="61" spans="1:16" x14ac:dyDescent="0.2">
      <c r="A61" s="12"/>
      <c r="B61" s="12"/>
      <c r="C61" s="12"/>
      <c r="D61" s="12"/>
      <c r="E61" s="12"/>
      <c r="F61" s="12"/>
      <c r="G61" s="12"/>
      <c r="H61" s="12"/>
      <c r="I61" s="12"/>
      <c r="J61" s="12"/>
      <c r="K61" s="12"/>
      <c r="L61" s="12"/>
      <c r="M61" s="12"/>
      <c r="N61" s="12"/>
      <c r="O61" s="12"/>
      <c r="P61" s="12"/>
    </row>
    <row r="62" spans="1:16" x14ac:dyDescent="0.2">
      <c r="A62" s="12"/>
      <c r="B62" s="12"/>
      <c r="C62" s="12"/>
      <c r="D62" s="12"/>
      <c r="E62" s="12"/>
      <c r="F62" s="12"/>
      <c r="G62" s="12"/>
      <c r="H62" s="12"/>
      <c r="I62" s="12"/>
      <c r="J62" s="12"/>
      <c r="K62" s="12"/>
      <c r="L62" s="12"/>
      <c r="M62" s="12"/>
      <c r="N62" s="12"/>
      <c r="O62" s="12"/>
      <c r="P62" s="12"/>
    </row>
    <row r="63" spans="1:16" x14ac:dyDescent="0.2">
      <c r="A63" s="12"/>
      <c r="B63" s="12"/>
      <c r="C63" s="12"/>
      <c r="D63" s="12"/>
      <c r="E63" s="12"/>
      <c r="F63" s="12"/>
      <c r="G63" s="12"/>
      <c r="H63" s="12"/>
      <c r="I63" s="12"/>
      <c r="J63" s="12"/>
      <c r="K63" s="12"/>
      <c r="L63" s="12"/>
      <c r="M63" s="12"/>
      <c r="N63" s="12"/>
      <c r="O63" s="12"/>
      <c r="P63" s="12"/>
    </row>
    <row r="64" spans="1:16" x14ac:dyDescent="0.2">
      <c r="A64" s="12"/>
      <c r="B64" s="12"/>
      <c r="C64" s="12"/>
      <c r="D64" s="12"/>
      <c r="E64" s="12"/>
      <c r="F64" s="12"/>
      <c r="G64" s="12"/>
      <c r="H64" s="12"/>
      <c r="I64" s="12"/>
      <c r="J64" s="12"/>
      <c r="K64" s="12"/>
      <c r="L64" s="12"/>
      <c r="M64" s="12"/>
      <c r="N64" s="12"/>
      <c r="O64" s="12"/>
      <c r="P64" s="12"/>
    </row>
    <row r="65" spans="1:16" x14ac:dyDescent="0.2">
      <c r="A65" s="12"/>
      <c r="B65" s="12"/>
      <c r="C65" s="12"/>
      <c r="D65" s="12"/>
      <c r="E65" s="12"/>
      <c r="F65" s="12"/>
      <c r="G65" s="12"/>
      <c r="H65" s="12"/>
      <c r="I65" s="12"/>
      <c r="J65" s="12"/>
      <c r="K65" s="12"/>
      <c r="L65" s="12"/>
      <c r="M65" s="12"/>
      <c r="N65" s="12"/>
      <c r="O65" s="12"/>
      <c r="P65" s="12"/>
    </row>
    <row r="66" spans="1:16" x14ac:dyDescent="0.2">
      <c r="A66" s="12"/>
      <c r="B66" s="12"/>
      <c r="C66" s="12"/>
      <c r="D66" s="12"/>
      <c r="E66" s="12"/>
      <c r="F66" s="12"/>
      <c r="G66" s="12"/>
      <c r="H66" s="12"/>
      <c r="I66" s="12"/>
      <c r="J66" s="12"/>
      <c r="K66" s="12"/>
      <c r="L66" s="12"/>
      <c r="M66" s="12"/>
      <c r="N66" s="12"/>
      <c r="O66" s="12"/>
      <c r="P66" s="12"/>
    </row>
    <row r="67" spans="1:16" x14ac:dyDescent="0.2">
      <c r="A67" s="12"/>
      <c r="B67" s="12"/>
      <c r="C67" s="12"/>
      <c r="D67" s="12"/>
      <c r="E67" s="12"/>
      <c r="F67" s="12"/>
      <c r="G67" s="12"/>
      <c r="H67" s="12"/>
      <c r="I67" s="12"/>
      <c r="J67" s="12"/>
      <c r="K67" s="12"/>
      <c r="L67" s="12"/>
      <c r="M67" s="12"/>
      <c r="N67" s="12"/>
      <c r="O67" s="12"/>
      <c r="P67" s="12"/>
    </row>
    <row r="68" spans="1:16" x14ac:dyDescent="0.2">
      <c r="A68" s="12"/>
      <c r="B68" s="12"/>
      <c r="C68" s="12"/>
      <c r="D68" s="12"/>
      <c r="E68" s="12"/>
      <c r="F68" s="12"/>
      <c r="G68" s="12"/>
      <c r="H68" s="12"/>
      <c r="I68" s="12"/>
      <c r="J68" s="12"/>
      <c r="K68" s="12"/>
      <c r="L68" s="12"/>
      <c r="M68" s="12"/>
      <c r="N68" s="12"/>
      <c r="O68" s="12"/>
      <c r="P68" s="12"/>
    </row>
    <row r="69" spans="1:16" x14ac:dyDescent="0.2">
      <c r="A69" s="12"/>
      <c r="B69" s="12"/>
      <c r="C69" s="12"/>
      <c r="D69" s="12"/>
      <c r="E69" s="12"/>
      <c r="F69" s="12"/>
      <c r="G69" s="12"/>
      <c r="H69" s="12"/>
      <c r="I69" s="12"/>
      <c r="J69" s="12"/>
      <c r="K69" s="12"/>
      <c r="L69" s="12"/>
      <c r="M69" s="12"/>
      <c r="N69" s="12"/>
      <c r="O69" s="12"/>
      <c r="P69" s="12"/>
    </row>
    <row r="70" spans="1:16" x14ac:dyDescent="0.2">
      <c r="A70" s="12"/>
      <c r="B70" s="12"/>
      <c r="C70" s="12"/>
      <c r="D70" s="12"/>
      <c r="E70" s="12"/>
      <c r="F70" s="12"/>
      <c r="G70" s="12"/>
      <c r="H70" s="12"/>
      <c r="I70" s="12"/>
      <c r="J70" s="12"/>
      <c r="K70" s="12"/>
      <c r="L70" s="12"/>
      <c r="M70" s="12"/>
      <c r="N70" s="12"/>
      <c r="O70" s="12"/>
      <c r="P70" s="12"/>
    </row>
    <row r="71" spans="1:16" x14ac:dyDescent="0.2">
      <c r="A71" s="12"/>
      <c r="B71" s="12"/>
      <c r="C71" s="12"/>
      <c r="D71" s="12"/>
      <c r="E71" s="12"/>
      <c r="F71" s="12"/>
      <c r="G71" s="12"/>
      <c r="H71" s="12"/>
      <c r="I71" s="12"/>
      <c r="J71" s="12"/>
      <c r="K71" s="12"/>
      <c r="L71" s="12"/>
      <c r="M71" s="12"/>
      <c r="N71" s="12"/>
      <c r="O71" s="12"/>
      <c r="P71" s="12"/>
    </row>
    <row r="72" spans="1:16" x14ac:dyDescent="0.2">
      <c r="A72" s="12"/>
      <c r="B72" s="12"/>
      <c r="C72" s="12"/>
      <c r="D72" s="12"/>
      <c r="E72" s="12"/>
      <c r="F72" s="12"/>
      <c r="G72" s="12"/>
      <c r="H72" s="12"/>
      <c r="I72" s="12"/>
      <c r="J72" s="12"/>
      <c r="K72" s="12"/>
      <c r="L72" s="12"/>
      <c r="M72" s="12"/>
      <c r="N72" s="12"/>
      <c r="O72" s="12"/>
      <c r="P72" s="12"/>
    </row>
    <row r="73" spans="1:16" x14ac:dyDescent="0.2">
      <c r="A73" s="12"/>
      <c r="B73" s="12"/>
      <c r="C73" s="12"/>
      <c r="D73" s="12"/>
      <c r="E73" s="12"/>
      <c r="F73" s="12"/>
      <c r="G73" s="12"/>
      <c r="H73" s="12"/>
      <c r="I73" s="12"/>
      <c r="J73" s="12"/>
      <c r="K73" s="12"/>
      <c r="L73" s="12"/>
      <c r="M73" s="12"/>
      <c r="N73" s="12"/>
      <c r="O73" s="12"/>
      <c r="P73" s="12"/>
    </row>
    <row r="74" spans="1:16" x14ac:dyDescent="0.2">
      <c r="A74" s="12"/>
      <c r="B74" s="12"/>
      <c r="C74" s="12"/>
      <c r="D74" s="12"/>
      <c r="E74" s="12"/>
      <c r="F74" s="12"/>
      <c r="G74" s="12"/>
      <c r="H74" s="12"/>
      <c r="I74" s="12"/>
      <c r="J74" s="12"/>
      <c r="K74" s="12"/>
      <c r="L74" s="12"/>
      <c r="M74" s="12"/>
      <c r="N74" s="12"/>
      <c r="O74" s="12"/>
      <c r="P74" s="12"/>
    </row>
    <row r="75" spans="1:16" x14ac:dyDescent="0.2">
      <c r="A75" s="12"/>
      <c r="B75" s="12"/>
      <c r="C75" s="12"/>
      <c r="D75" s="12"/>
      <c r="E75" s="12"/>
      <c r="F75" s="12"/>
      <c r="G75" s="12"/>
      <c r="H75" s="12"/>
      <c r="I75" s="12"/>
      <c r="J75" s="12"/>
      <c r="K75" s="12"/>
      <c r="L75" s="12"/>
      <c r="M75" s="12"/>
      <c r="N75" s="12"/>
      <c r="O75" s="12"/>
      <c r="P75" s="12"/>
    </row>
    <row r="76" spans="1:16" x14ac:dyDescent="0.2">
      <c r="A76" s="12"/>
      <c r="B76" s="12"/>
      <c r="C76" s="12"/>
      <c r="D76" s="12"/>
      <c r="E76" s="12"/>
      <c r="F76" s="12"/>
      <c r="G76" s="12"/>
      <c r="H76" s="12"/>
      <c r="I76" s="12"/>
      <c r="J76" s="12"/>
      <c r="K76" s="12"/>
      <c r="L76" s="12"/>
      <c r="M76" s="12"/>
      <c r="N76" s="12"/>
      <c r="O76" s="12"/>
      <c r="P76" s="12"/>
    </row>
    <row r="77" spans="1:16" x14ac:dyDescent="0.2">
      <c r="A77" s="12"/>
      <c r="B77" s="12"/>
      <c r="C77" s="12"/>
      <c r="D77" s="12"/>
      <c r="E77" s="12"/>
      <c r="F77" s="12"/>
      <c r="G77" s="12"/>
      <c r="H77" s="12"/>
      <c r="I77" s="12"/>
      <c r="J77" s="12"/>
      <c r="K77" s="12"/>
      <c r="L77" s="12"/>
      <c r="M77" s="12"/>
      <c r="N77" s="12"/>
      <c r="O77" s="12"/>
      <c r="P77" s="12"/>
    </row>
    <row r="78" spans="1:16" x14ac:dyDescent="0.2">
      <c r="A78" s="12"/>
      <c r="B78" s="12"/>
      <c r="C78" s="12"/>
      <c r="D78" s="12"/>
      <c r="E78" s="12"/>
      <c r="F78" s="12"/>
      <c r="G78" s="12"/>
      <c r="H78" s="12"/>
      <c r="I78" s="12"/>
      <c r="J78" s="12"/>
      <c r="K78" s="12"/>
      <c r="L78" s="12"/>
      <c r="M78" s="12"/>
      <c r="N78" s="12"/>
      <c r="O78" s="12"/>
      <c r="P78" s="12"/>
    </row>
    <row r="79" spans="1:16" x14ac:dyDescent="0.2">
      <c r="A79" s="12"/>
      <c r="B79" s="12"/>
      <c r="C79" s="12"/>
      <c r="D79" s="12"/>
      <c r="E79" s="12"/>
      <c r="F79" s="12"/>
      <c r="G79" s="12"/>
      <c r="H79" s="12"/>
      <c r="I79" s="12"/>
      <c r="J79" s="12"/>
      <c r="K79" s="12"/>
      <c r="L79" s="12"/>
      <c r="M79" s="12"/>
      <c r="N79" s="12"/>
      <c r="O79" s="12"/>
      <c r="P79" s="12"/>
    </row>
    <row r="80" spans="1:16" x14ac:dyDescent="0.2">
      <c r="A80" s="12"/>
      <c r="B80" s="12"/>
      <c r="C80" s="12"/>
      <c r="D80" s="12"/>
      <c r="E80" s="12"/>
      <c r="F80" s="12"/>
      <c r="G80" s="12"/>
      <c r="H80" s="12"/>
      <c r="I80" s="12"/>
      <c r="J80" s="12"/>
      <c r="K80" s="12"/>
      <c r="L80" s="12"/>
      <c r="M80" s="12"/>
      <c r="N80" s="12"/>
      <c r="O80" s="12"/>
      <c r="P80" s="12"/>
    </row>
  </sheetData>
  <sheetProtection algorithmName="SHA-512" hashValue="fF2zYaie9xp5W7bbV4cXIQpW4FaU1hyTnRVeQL5bWAEpWRYKuuBf09V3DHUaJc7WdvsJKKBZFwV94CrbUpUShw==" saltValue="gdO9H0WVZdrkJ8c2X1IxUQ==" spinCount="100000" sheet="1" objects="1" scenarios="1"/>
  <pageMargins left="0.35" right="0.25" top="0.32" bottom="0.5" header="0.32" footer="0.3"/>
  <pageSetup orientation="portrait" r:id="rId1"/>
  <headerFooter alignWithMargins="0">
    <oddFooter>&amp;L&amp;7&amp;D  at &amp;T Mike 702.486.8879&amp;C&amp;7Page &amp;P of &amp;N&amp;R&amp;7&amp;F  &amp;A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showGridLines="0" view="pageBreakPreview" zoomScale="115" zoomScaleNormal="115" zoomScaleSheetLayoutView="115" workbookViewId="0">
      <selection activeCell="F6" sqref="F6"/>
    </sheetView>
  </sheetViews>
  <sheetFormatPr defaultColWidth="9.140625" defaultRowHeight="12.75" x14ac:dyDescent="0.2"/>
  <cols>
    <col min="1" max="16384" width="9.140625" style="11"/>
  </cols>
  <sheetData>
    <row r="1" spans="1:16" ht="15.75" x14ac:dyDescent="0.25">
      <c r="A1" s="1288"/>
      <c r="B1" s="1288"/>
      <c r="C1" s="1288"/>
    </row>
    <row r="2" spans="1:16" ht="15.75" x14ac:dyDescent="0.25">
      <c r="A2" s="71"/>
      <c r="B2" s="100"/>
      <c r="C2" s="100"/>
    </row>
    <row r="3" spans="1:16" x14ac:dyDescent="0.2">
      <c r="A3" s="15" t="s">
        <v>416</v>
      </c>
    </row>
    <row r="4" spans="1:16" x14ac:dyDescent="0.2">
      <c r="A4" s="14" t="s">
        <v>415</v>
      </c>
    </row>
    <row r="5" spans="1:16" x14ac:dyDescent="0.2">
      <c r="A5" s="13" t="str">
        <f ca="1">CELL("filename")</f>
        <v>C:\Users\Kyle.McOmber\Work Folders\Desktop\Alaka'i Appeal Submissions\Second Submission\[Copy of Attachment 16 - Financial Plan Workbook - AHA (002).xlsx]Market</v>
      </c>
    </row>
    <row r="6" spans="1:16" x14ac:dyDescent="0.2">
      <c r="A6" s="12"/>
      <c r="B6" s="12"/>
      <c r="C6" s="12"/>
      <c r="D6" s="12"/>
      <c r="E6" s="12"/>
      <c r="F6" s="12"/>
      <c r="G6" s="12"/>
      <c r="H6" s="12"/>
      <c r="I6" s="12"/>
      <c r="J6" s="12"/>
      <c r="K6" s="12"/>
      <c r="L6" s="12"/>
      <c r="M6" s="12"/>
      <c r="N6" s="12"/>
      <c r="O6" s="12"/>
      <c r="P6" s="12"/>
    </row>
    <row r="7" spans="1:16" x14ac:dyDescent="0.2">
      <c r="A7" s="12"/>
      <c r="B7" s="12"/>
      <c r="C7" s="12"/>
      <c r="D7" s="12"/>
      <c r="E7" s="12"/>
      <c r="F7" s="12"/>
      <c r="G7" s="12"/>
      <c r="H7" s="12"/>
      <c r="I7" s="12"/>
      <c r="J7" s="12"/>
      <c r="K7" s="12"/>
      <c r="L7" s="12"/>
      <c r="M7" s="12"/>
      <c r="N7" s="12"/>
      <c r="O7" s="12"/>
      <c r="P7" s="12"/>
    </row>
    <row r="8" spans="1:16" x14ac:dyDescent="0.2">
      <c r="A8" s="12"/>
      <c r="B8" s="12"/>
      <c r="C8" s="12"/>
      <c r="D8" s="12"/>
      <c r="E8" s="12"/>
      <c r="F8" s="12"/>
      <c r="G8" s="12"/>
      <c r="H8" s="12"/>
      <c r="I8" s="12"/>
      <c r="J8" s="12"/>
      <c r="K8" s="12"/>
      <c r="L8" s="12"/>
      <c r="M8" s="12"/>
      <c r="N8" s="12"/>
      <c r="O8" s="12"/>
      <c r="P8" s="12"/>
    </row>
    <row r="9" spans="1:16" x14ac:dyDescent="0.2">
      <c r="A9" s="12"/>
      <c r="B9" s="12"/>
      <c r="C9" s="12"/>
      <c r="D9" s="12"/>
      <c r="E9" s="12"/>
      <c r="F9" s="12"/>
      <c r="G9" s="12"/>
      <c r="H9" s="12"/>
      <c r="I9" s="12"/>
      <c r="J9" s="12"/>
      <c r="K9" s="12"/>
      <c r="L9" s="12"/>
      <c r="M9" s="12"/>
      <c r="N9" s="12"/>
      <c r="O9" s="12"/>
      <c r="P9" s="12"/>
    </row>
    <row r="10" spans="1:16" x14ac:dyDescent="0.2">
      <c r="A10" s="12"/>
      <c r="B10" s="12"/>
      <c r="C10" s="12"/>
      <c r="D10" s="12"/>
      <c r="E10" s="12"/>
      <c r="F10" s="12"/>
      <c r="G10" s="12"/>
      <c r="H10" s="12"/>
      <c r="I10" s="12"/>
      <c r="J10" s="12"/>
      <c r="K10" s="12"/>
      <c r="L10" s="12"/>
      <c r="M10" s="12"/>
      <c r="N10" s="12"/>
      <c r="O10" s="12"/>
      <c r="P10" s="12"/>
    </row>
    <row r="11" spans="1:16" x14ac:dyDescent="0.2">
      <c r="A11" s="12"/>
      <c r="B11" s="12"/>
      <c r="C11" s="12"/>
      <c r="D11" s="12"/>
      <c r="E11" s="12"/>
      <c r="F11" s="12"/>
      <c r="G11" s="12"/>
      <c r="H11" s="12"/>
      <c r="I11" s="12"/>
      <c r="J11" s="12"/>
      <c r="K11" s="12"/>
      <c r="L11" s="12"/>
      <c r="M11" s="12"/>
      <c r="N11" s="12"/>
      <c r="O11" s="12"/>
      <c r="P11" s="12"/>
    </row>
    <row r="12" spans="1:16" x14ac:dyDescent="0.2">
      <c r="A12" s="12"/>
      <c r="B12" s="12"/>
      <c r="C12" s="12"/>
      <c r="D12" s="12"/>
      <c r="E12" s="12"/>
      <c r="F12" s="12"/>
      <c r="G12" s="12"/>
      <c r="H12" s="12"/>
      <c r="I12" s="12"/>
      <c r="J12" s="12"/>
      <c r="K12" s="12"/>
      <c r="L12" s="12"/>
      <c r="M12" s="12"/>
      <c r="N12" s="12"/>
      <c r="O12" s="12"/>
      <c r="P12" s="12"/>
    </row>
    <row r="13" spans="1:16" x14ac:dyDescent="0.2">
      <c r="A13" s="12"/>
      <c r="B13" s="12"/>
      <c r="C13" s="12"/>
      <c r="D13" s="12"/>
      <c r="E13" s="12"/>
      <c r="F13" s="12"/>
      <c r="G13" s="12"/>
      <c r="H13" s="12"/>
      <c r="I13" s="12"/>
      <c r="J13" s="12"/>
      <c r="K13" s="12"/>
      <c r="L13" s="12"/>
      <c r="M13" s="12"/>
      <c r="N13" s="12"/>
      <c r="O13" s="12"/>
      <c r="P13" s="12"/>
    </row>
    <row r="14" spans="1:16" x14ac:dyDescent="0.2">
      <c r="A14" s="12"/>
      <c r="B14" s="12"/>
      <c r="C14" s="12"/>
      <c r="D14" s="12"/>
      <c r="E14" s="12"/>
      <c r="F14" s="12"/>
      <c r="G14" s="12"/>
      <c r="H14" s="12"/>
      <c r="I14" s="12"/>
      <c r="J14" s="12"/>
      <c r="K14" s="12"/>
      <c r="L14" s="12"/>
      <c r="M14" s="12"/>
      <c r="N14" s="12"/>
      <c r="O14" s="12"/>
      <c r="P14" s="12"/>
    </row>
    <row r="15" spans="1:16" x14ac:dyDescent="0.2">
      <c r="A15" s="12"/>
      <c r="B15" s="12"/>
      <c r="C15" s="12"/>
      <c r="D15" s="12"/>
      <c r="E15" s="12"/>
      <c r="F15" s="12"/>
      <c r="G15" s="12"/>
      <c r="H15" s="12"/>
      <c r="I15" s="12"/>
      <c r="J15" s="12"/>
      <c r="K15" s="12"/>
      <c r="L15" s="12"/>
      <c r="M15" s="12"/>
      <c r="N15" s="12"/>
      <c r="O15" s="12"/>
      <c r="P15" s="12"/>
    </row>
    <row r="16" spans="1:16" x14ac:dyDescent="0.2">
      <c r="A16" s="12"/>
      <c r="B16" s="12"/>
      <c r="C16" s="12"/>
      <c r="D16" s="12"/>
      <c r="E16" s="12"/>
      <c r="F16" s="12"/>
      <c r="G16" s="12"/>
      <c r="H16" s="12"/>
      <c r="I16" s="12"/>
      <c r="J16" s="12"/>
      <c r="K16" s="12"/>
      <c r="L16" s="12"/>
      <c r="M16" s="12"/>
      <c r="N16" s="12"/>
      <c r="O16" s="12"/>
      <c r="P16" s="12"/>
    </row>
    <row r="17" spans="1:16" x14ac:dyDescent="0.2">
      <c r="A17" s="12"/>
      <c r="B17" s="12"/>
      <c r="C17" s="12"/>
      <c r="D17" s="12"/>
      <c r="E17" s="12"/>
      <c r="F17" s="12"/>
      <c r="G17" s="12"/>
      <c r="H17" s="12"/>
      <c r="I17" s="12"/>
      <c r="J17" s="12"/>
      <c r="K17" s="12"/>
      <c r="L17" s="12"/>
      <c r="M17" s="12"/>
      <c r="N17" s="12"/>
      <c r="O17" s="12"/>
      <c r="P17" s="12"/>
    </row>
    <row r="18" spans="1:16" x14ac:dyDescent="0.2">
      <c r="A18" s="12"/>
      <c r="B18" s="12"/>
      <c r="C18" s="12"/>
      <c r="D18" s="12"/>
      <c r="E18" s="12"/>
      <c r="F18" s="12"/>
      <c r="G18" s="12"/>
      <c r="H18" s="12"/>
      <c r="I18" s="12"/>
      <c r="J18" s="12"/>
      <c r="K18" s="12"/>
      <c r="L18" s="12"/>
      <c r="M18" s="12"/>
      <c r="N18" s="12"/>
      <c r="O18" s="12"/>
      <c r="P18" s="12"/>
    </row>
    <row r="19" spans="1:16" x14ac:dyDescent="0.2">
      <c r="A19" s="12"/>
      <c r="B19" s="12"/>
      <c r="C19" s="12"/>
      <c r="D19" s="12"/>
      <c r="E19" s="12"/>
      <c r="F19" s="12"/>
      <c r="G19" s="12"/>
      <c r="H19" s="12"/>
      <c r="I19" s="12"/>
      <c r="J19" s="12"/>
      <c r="K19" s="12"/>
      <c r="L19" s="12"/>
      <c r="M19" s="12"/>
      <c r="N19" s="12"/>
      <c r="O19" s="12"/>
      <c r="P19" s="12"/>
    </row>
    <row r="20" spans="1:16" x14ac:dyDescent="0.2">
      <c r="A20" s="12"/>
      <c r="B20" s="12"/>
      <c r="C20" s="12"/>
      <c r="D20" s="12"/>
      <c r="E20" s="12"/>
      <c r="F20" s="12"/>
      <c r="G20" s="12"/>
      <c r="H20" s="12"/>
      <c r="I20" s="12"/>
      <c r="J20" s="12"/>
      <c r="K20" s="12"/>
      <c r="L20" s="12"/>
      <c r="M20" s="12"/>
      <c r="N20" s="12"/>
      <c r="O20" s="12"/>
      <c r="P20" s="12"/>
    </row>
    <row r="21" spans="1:16" x14ac:dyDescent="0.2">
      <c r="A21" s="12"/>
      <c r="B21" s="12"/>
      <c r="C21" s="12"/>
      <c r="D21" s="12"/>
      <c r="E21" s="12"/>
      <c r="F21" s="12"/>
      <c r="G21" s="12"/>
      <c r="H21" s="12"/>
      <c r="I21" s="12"/>
      <c r="J21" s="12"/>
      <c r="K21" s="12"/>
      <c r="L21" s="12"/>
      <c r="M21" s="12"/>
      <c r="N21" s="12"/>
      <c r="O21" s="12"/>
      <c r="P21" s="12"/>
    </row>
    <row r="22" spans="1:16" x14ac:dyDescent="0.2">
      <c r="A22" s="12"/>
      <c r="B22" s="12"/>
      <c r="C22" s="12"/>
      <c r="D22" s="12"/>
      <c r="E22" s="12"/>
      <c r="F22" s="12"/>
      <c r="G22" s="12"/>
      <c r="H22" s="12"/>
      <c r="I22" s="12"/>
      <c r="J22" s="12"/>
      <c r="K22" s="12"/>
      <c r="L22" s="12"/>
      <c r="M22" s="12"/>
      <c r="N22" s="12"/>
      <c r="O22" s="12"/>
      <c r="P22" s="12"/>
    </row>
    <row r="23" spans="1:16" x14ac:dyDescent="0.2">
      <c r="A23" s="12"/>
      <c r="B23" s="12"/>
      <c r="C23" s="12"/>
      <c r="D23" s="12"/>
      <c r="E23" s="12"/>
      <c r="F23" s="12"/>
      <c r="G23" s="12"/>
      <c r="H23" s="12"/>
      <c r="I23" s="12"/>
      <c r="J23" s="12"/>
      <c r="K23" s="12"/>
      <c r="L23" s="12"/>
      <c r="M23" s="12"/>
      <c r="N23" s="12"/>
      <c r="O23" s="12"/>
      <c r="P23" s="12"/>
    </row>
    <row r="24" spans="1:16" x14ac:dyDescent="0.2">
      <c r="A24" s="12"/>
      <c r="B24" s="12"/>
      <c r="C24" s="12"/>
      <c r="D24" s="12"/>
      <c r="E24" s="12"/>
      <c r="F24" s="12"/>
      <c r="G24" s="12"/>
      <c r="H24" s="12"/>
      <c r="I24" s="12"/>
      <c r="J24" s="12"/>
      <c r="K24" s="12"/>
      <c r="L24" s="12"/>
      <c r="M24" s="12"/>
      <c r="N24" s="12"/>
      <c r="O24" s="12"/>
      <c r="P24" s="12"/>
    </row>
    <row r="25" spans="1:16" x14ac:dyDescent="0.2">
      <c r="A25" s="12"/>
      <c r="B25" s="12"/>
      <c r="C25" s="12"/>
      <c r="D25" s="12"/>
      <c r="E25" s="12"/>
      <c r="F25" s="12"/>
      <c r="G25" s="12"/>
      <c r="H25" s="12"/>
      <c r="I25" s="12"/>
      <c r="J25" s="12"/>
      <c r="K25" s="12"/>
      <c r="L25" s="12"/>
      <c r="M25" s="12"/>
      <c r="N25" s="12"/>
      <c r="O25" s="12"/>
      <c r="P25" s="12"/>
    </row>
    <row r="26" spans="1:16" x14ac:dyDescent="0.2">
      <c r="A26" s="12"/>
      <c r="B26" s="12"/>
      <c r="C26" s="12"/>
      <c r="D26" s="12"/>
      <c r="E26" s="12"/>
      <c r="F26" s="12"/>
      <c r="G26" s="12"/>
      <c r="H26" s="12"/>
      <c r="I26" s="12"/>
      <c r="J26" s="12"/>
      <c r="K26" s="12"/>
      <c r="L26" s="12"/>
      <c r="M26" s="12"/>
      <c r="N26" s="12"/>
      <c r="O26" s="12"/>
      <c r="P26" s="12"/>
    </row>
    <row r="27" spans="1:16" x14ac:dyDescent="0.2">
      <c r="A27" s="12"/>
      <c r="B27" s="12"/>
      <c r="C27" s="12"/>
      <c r="D27" s="12"/>
      <c r="E27" s="12"/>
      <c r="F27" s="12"/>
      <c r="G27" s="12"/>
      <c r="H27" s="12"/>
      <c r="I27" s="12"/>
      <c r="J27" s="12"/>
      <c r="K27" s="12"/>
      <c r="L27" s="12"/>
      <c r="M27" s="12"/>
      <c r="N27" s="12"/>
      <c r="O27" s="12"/>
      <c r="P27" s="12"/>
    </row>
    <row r="28" spans="1:16" x14ac:dyDescent="0.2">
      <c r="A28" s="12"/>
      <c r="B28" s="12"/>
      <c r="C28" s="12"/>
      <c r="D28" s="12"/>
      <c r="E28" s="12"/>
      <c r="F28" s="12"/>
      <c r="G28" s="12"/>
      <c r="H28" s="12"/>
      <c r="I28" s="12"/>
      <c r="J28" s="12"/>
      <c r="K28" s="12"/>
      <c r="L28" s="12"/>
      <c r="M28" s="12"/>
      <c r="N28" s="12"/>
      <c r="O28" s="12"/>
      <c r="P28" s="12"/>
    </row>
    <row r="29" spans="1:16" x14ac:dyDescent="0.2">
      <c r="A29" s="12"/>
      <c r="B29" s="12"/>
      <c r="C29" s="12"/>
      <c r="D29" s="12"/>
      <c r="E29" s="12"/>
      <c r="F29" s="12"/>
      <c r="G29" s="12"/>
      <c r="H29" s="12"/>
      <c r="I29" s="12"/>
      <c r="J29" s="12"/>
      <c r="K29" s="12"/>
      <c r="L29" s="12"/>
      <c r="M29" s="12"/>
      <c r="N29" s="12"/>
      <c r="O29" s="12"/>
      <c r="P29" s="12"/>
    </row>
    <row r="30" spans="1:16" x14ac:dyDescent="0.2">
      <c r="A30" s="12"/>
      <c r="B30" s="12"/>
      <c r="C30" s="12"/>
      <c r="D30" s="12"/>
      <c r="E30" s="12"/>
      <c r="F30" s="12"/>
      <c r="G30" s="12"/>
      <c r="H30" s="12"/>
      <c r="I30" s="12"/>
      <c r="J30" s="12"/>
      <c r="K30" s="12"/>
      <c r="L30" s="12"/>
      <c r="M30" s="12"/>
      <c r="N30" s="12"/>
      <c r="O30" s="12"/>
      <c r="P30" s="12"/>
    </row>
    <row r="31" spans="1:16" x14ac:dyDescent="0.2">
      <c r="A31" s="12"/>
      <c r="B31" s="12"/>
      <c r="C31" s="12"/>
      <c r="D31" s="12"/>
      <c r="E31" s="12"/>
      <c r="F31" s="12"/>
      <c r="G31" s="12"/>
      <c r="H31" s="12"/>
      <c r="I31" s="12"/>
      <c r="J31" s="12"/>
      <c r="K31" s="12"/>
      <c r="L31" s="12"/>
      <c r="M31" s="12"/>
      <c r="N31" s="12"/>
      <c r="O31" s="12"/>
      <c r="P31" s="12"/>
    </row>
    <row r="32" spans="1:16" x14ac:dyDescent="0.2">
      <c r="A32" s="12"/>
      <c r="B32" s="12"/>
      <c r="C32" s="12"/>
      <c r="D32" s="12"/>
      <c r="E32" s="12"/>
      <c r="F32" s="12"/>
      <c r="G32" s="12"/>
      <c r="H32" s="12"/>
      <c r="I32" s="12"/>
      <c r="J32" s="12"/>
      <c r="K32" s="12"/>
      <c r="L32" s="12"/>
      <c r="M32" s="12"/>
      <c r="N32" s="12"/>
      <c r="O32" s="12"/>
      <c r="P32" s="12"/>
    </row>
    <row r="33" spans="1:16" x14ac:dyDescent="0.2">
      <c r="A33" s="12"/>
      <c r="B33" s="12"/>
      <c r="C33" s="12"/>
      <c r="D33" s="12"/>
      <c r="E33" s="12"/>
      <c r="F33" s="12"/>
      <c r="G33" s="12"/>
      <c r="H33" s="12"/>
      <c r="I33" s="12"/>
      <c r="J33" s="12"/>
      <c r="K33" s="12"/>
      <c r="L33" s="12"/>
      <c r="M33" s="12"/>
      <c r="N33" s="12"/>
      <c r="O33" s="12"/>
      <c r="P33" s="12"/>
    </row>
    <row r="34" spans="1:16" x14ac:dyDescent="0.2">
      <c r="A34" s="12"/>
      <c r="B34" s="12"/>
      <c r="C34" s="12"/>
      <c r="D34" s="12"/>
      <c r="E34" s="12"/>
      <c r="F34" s="12"/>
      <c r="G34" s="12"/>
      <c r="H34" s="12"/>
      <c r="I34" s="12"/>
      <c r="J34" s="12"/>
      <c r="K34" s="12"/>
      <c r="L34" s="12"/>
      <c r="M34" s="12"/>
      <c r="N34" s="12"/>
      <c r="O34" s="12"/>
      <c r="P34" s="12"/>
    </row>
    <row r="35" spans="1:16" x14ac:dyDescent="0.2">
      <c r="A35" s="12"/>
      <c r="B35" s="12"/>
      <c r="C35" s="12"/>
      <c r="D35" s="12"/>
      <c r="E35" s="12"/>
      <c r="F35" s="12"/>
      <c r="G35" s="12"/>
      <c r="H35" s="12"/>
      <c r="I35" s="12"/>
      <c r="J35" s="12"/>
      <c r="K35" s="12"/>
      <c r="L35" s="12"/>
      <c r="M35" s="12"/>
      <c r="N35" s="12"/>
      <c r="O35" s="12"/>
      <c r="P35" s="12"/>
    </row>
    <row r="36" spans="1:16" x14ac:dyDescent="0.2">
      <c r="A36" s="12"/>
      <c r="B36" s="12"/>
      <c r="C36" s="12"/>
      <c r="D36" s="12"/>
      <c r="E36" s="12"/>
      <c r="F36" s="12"/>
      <c r="G36" s="12"/>
      <c r="H36" s="12"/>
      <c r="I36" s="12"/>
      <c r="J36" s="12"/>
      <c r="K36" s="12"/>
      <c r="L36" s="12"/>
      <c r="M36" s="12"/>
      <c r="N36" s="12"/>
      <c r="O36" s="12"/>
      <c r="P36" s="12"/>
    </row>
    <row r="37" spans="1:16" x14ac:dyDescent="0.2">
      <c r="A37" s="12"/>
      <c r="B37" s="12"/>
      <c r="C37" s="12"/>
      <c r="D37" s="12"/>
      <c r="E37" s="12"/>
      <c r="F37" s="12"/>
      <c r="G37" s="12"/>
      <c r="H37" s="12"/>
      <c r="I37" s="12"/>
      <c r="J37" s="12"/>
      <c r="K37" s="12"/>
      <c r="L37" s="12"/>
      <c r="M37" s="12"/>
      <c r="N37" s="12"/>
      <c r="O37" s="12"/>
      <c r="P37" s="12"/>
    </row>
    <row r="38" spans="1:16" x14ac:dyDescent="0.2">
      <c r="A38" s="12"/>
      <c r="B38" s="12"/>
      <c r="C38" s="12"/>
      <c r="D38" s="12"/>
      <c r="E38" s="12"/>
      <c r="F38" s="12"/>
      <c r="G38" s="12"/>
      <c r="H38" s="12"/>
      <c r="I38" s="12"/>
      <c r="J38" s="12"/>
      <c r="K38" s="12"/>
      <c r="L38" s="12"/>
      <c r="M38" s="12"/>
      <c r="N38" s="12"/>
      <c r="O38" s="12"/>
      <c r="P38" s="12"/>
    </row>
    <row r="39" spans="1:16" x14ac:dyDescent="0.2">
      <c r="A39" s="12"/>
      <c r="B39" s="12"/>
      <c r="C39" s="12"/>
      <c r="D39" s="12"/>
      <c r="E39" s="12"/>
      <c r="F39" s="12"/>
      <c r="G39" s="12"/>
      <c r="H39" s="12"/>
      <c r="I39" s="12"/>
      <c r="J39" s="12"/>
      <c r="K39" s="12"/>
      <c r="L39" s="12"/>
      <c r="M39" s="12"/>
      <c r="N39" s="12"/>
      <c r="O39" s="12"/>
      <c r="P39" s="12"/>
    </row>
    <row r="40" spans="1:16" x14ac:dyDescent="0.2">
      <c r="A40" s="12"/>
      <c r="B40" s="12"/>
      <c r="C40" s="12"/>
      <c r="D40" s="12"/>
      <c r="E40" s="12"/>
      <c r="F40" s="12"/>
      <c r="G40" s="12"/>
      <c r="H40" s="12"/>
      <c r="I40" s="12"/>
      <c r="J40" s="12"/>
      <c r="K40" s="12"/>
      <c r="L40" s="12"/>
      <c r="M40" s="12"/>
      <c r="N40" s="12"/>
      <c r="O40" s="12"/>
      <c r="P40" s="12"/>
    </row>
    <row r="41" spans="1:16" x14ac:dyDescent="0.2">
      <c r="A41" s="12"/>
      <c r="B41" s="12"/>
      <c r="C41" s="12"/>
      <c r="D41" s="12"/>
      <c r="E41" s="12"/>
      <c r="F41" s="12"/>
      <c r="G41" s="12"/>
      <c r="H41" s="12"/>
      <c r="I41" s="12"/>
      <c r="J41" s="12"/>
      <c r="K41" s="12"/>
      <c r="L41" s="12"/>
      <c r="M41" s="12"/>
      <c r="N41" s="12"/>
      <c r="O41" s="12"/>
      <c r="P41" s="12"/>
    </row>
    <row r="42" spans="1:16" x14ac:dyDescent="0.2">
      <c r="A42" s="12"/>
      <c r="B42" s="12"/>
      <c r="C42" s="12"/>
      <c r="D42" s="12"/>
      <c r="E42" s="12"/>
      <c r="F42" s="12"/>
      <c r="G42" s="12"/>
      <c r="H42" s="12"/>
      <c r="I42" s="12"/>
      <c r="J42" s="12"/>
      <c r="K42" s="12"/>
      <c r="L42" s="12"/>
      <c r="M42" s="12"/>
      <c r="N42" s="12"/>
      <c r="O42" s="12"/>
      <c r="P42" s="12"/>
    </row>
    <row r="43" spans="1:16" x14ac:dyDescent="0.2">
      <c r="A43" s="12"/>
      <c r="B43" s="12"/>
      <c r="C43" s="12"/>
      <c r="D43" s="12"/>
      <c r="E43" s="12"/>
      <c r="F43" s="12"/>
      <c r="G43" s="12"/>
      <c r="H43" s="12"/>
      <c r="I43" s="12"/>
      <c r="J43" s="12"/>
      <c r="K43" s="12"/>
      <c r="L43" s="12"/>
      <c r="M43" s="12"/>
      <c r="N43" s="12"/>
      <c r="O43" s="12"/>
      <c r="P43" s="12"/>
    </row>
    <row r="44" spans="1:16" x14ac:dyDescent="0.2">
      <c r="A44" s="12"/>
      <c r="B44" s="12"/>
      <c r="C44" s="12"/>
      <c r="D44" s="12"/>
      <c r="E44" s="12"/>
      <c r="F44" s="12"/>
      <c r="G44" s="12"/>
      <c r="H44" s="12"/>
      <c r="I44" s="12"/>
      <c r="J44" s="12"/>
      <c r="K44" s="12"/>
      <c r="L44" s="12"/>
      <c r="M44" s="12"/>
      <c r="N44" s="12"/>
      <c r="O44" s="12"/>
      <c r="P44" s="12"/>
    </row>
    <row r="45" spans="1:16" x14ac:dyDescent="0.2">
      <c r="A45" s="12"/>
      <c r="B45" s="12"/>
      <c r="C45" s="12"/>
      <c r="D45" s="12"/>
      <c r="E45" s="12"/>
      <c r="F45" s="12"/>
      <c r="G45" s="12"/>
      <c r="H45" s="12"/>
      <c r="I45" s="12"/>
      <c r="J45" s="12"/>
      <c r="K45" s="12"/>
      <c r="L45" s="12"/>
      <c r="M45" s="12"/>
      <c r="N45" s="12"/>
      <c r="O45" s="12"/>
      <c r="P45" s="12"/>
    </row>
    <row r="46" spans="1:16" x14ac:dyDescent="0.2">
      <c r="A46" s="12"/>
      <c r="B46" s="12"/>
      <c r="C46" s="12"/>
      <c r="D46" s="12"/>
      <c r="E46" s="12"/>
      <c r="F46" s="12"/>
      <c r="G46" s="12"/>
      <c r="H46" s="12"/>
      <c r="I46" s="12"/>
      <c r="J46" s="12"/>
      <c r="K46" s="12"/>
      <c r="L46" s="12"/>
      <c r="M46" s="12"/>
      <c r="N46" s="12"/>
      <c r="O46" s="12"/>
      <c r="P46" s="12"/>
    </row>
    <row r="47" spans="1:16" x14ac:dyDescent="0.2">
      <c r="A47" s="12"/>
      <c r="B47" s="12"/>
      <c r="C47" s="12"/>
      <c r="D47" s="12"/>
      <c r="E47" s="12"/>
      <c r="F47" s="12"/>
      <c r="G47" s="12"/>
      <c r="H47" s="12"/>
      <c r="I47" s="12"/>
      <c r="J47" s="12"/>
      <c r="K47" s="12"/>
      <c r="L47" s="12"/>
      <c r="M47" s="12"/>
      <c r="N47" s="12"/>
      <c r="O47" s="12"/>
      <c r="P47" s="12"/>
    </row>
    <row r="48" spans="1:16" x14ac:dyDescent="0.2">
      <c r="A48" s="12"/>
      <c r="B48" s="12"/>
      <c r="C48" s="12"/>
      <c r="D48" s="12"/>
      <c r="E48" s="12"/>
      <c r="F48" s="12"/>
      <c r="G48" s="12"/>
      <c r="H48" s="12"/>
      <c r="I48" s="12"/>
      <c r="J48" s="12"/>
      <c r="K48" s="12"/>
      <c r="L48" s="12"/>
      <c r="M48" s="12"/>
      <c r="N48" s="12"/>
      <c r="O48" s="12"/>
      <c r="P48" s="12"/>
    </row>
    <row r="49" spans="1:16" x14ac:dyDescent="0.2">
      <c r="A49" s="12"/>
      <c r="B49" s="12"/>
      <c r="C49" s="12"/>
      <c r="D49" s="12"/>
      <c r="E49" s="12"/>
      <c r="F49" s="12"/>
      <c r="G49" s="12"/>
      <c r="H49" s="12"/>
      <c r="I49" s="12"/>
      <c r="J49" s="12"/>
      <c r="K49" s="12"/>
      <c r="L49" s="12"/>
      <c r="M49" s="12"/>
      <c r="N49" s="12"/>
      <c r="O49" s="12"/>
      <c r="P49" s="12"/>
    </row>
    <row r="50" spans="1:16" x14ac:dyDescent="0.2">
      <c r="A50" s="12"/>
      <c r="B50" s="12"/>
      <c r="C50" s="12"/>
      <c r="D50" s="12"/>
      <c r="E50" s="12"/>
      <c r="F50" s="12"/>
      <c r="G50" s="12"/>
      <c r="H50" s="12"/>
      <c r="I50" s="12"/>
      <c r="J50" s="12"/>
      <c r="K50" s="12"/>
      <c r="L50" s="12"/>
      <c r="M50" s="12"/>
      <c r="N50" s="12"/>
      <c r="O50" s="12"/>
      <c r="P50" s="12"/>
    </row>
    <row r="51" spans="1:16" x14ac:dyDescent="0.2">
      <c r="A51" s="12"/>
      <c r="B51" s="12"/>
      <c r="C51" s="12"/>
      <c r="D51" s="12"/>
      <c r="E51" s="12"/>
      <c r="F51" s="12"/>
      <c r="G51" s="12"/>
      <c r="H51" s="12"/>
      <c r="I51" s="12"/>
      <c r="J51" s="12"/>
      <c r="K51" s="12"/>
      <c r="L51" s="12"/>
      <c r="M51" s="12"/>
      <c r="N51" s="12"/>
      <c r="O51" s="12"/>
      <c r="P51" s="12"/>
    </row>
    <row r="52" spans="1:16" x14ac:dyDescent="0.2">
      <c r="A52" s="12"/>
      <c r="B52" s="12"/>
      <c r="C52" s="12"/>
      <c r="D52" s="12"/>
      <c r="E52" s="12"/>
      <c r="F52" s="12"/>
      <c r="G52" s="12"/>
      <c r="H52" s="12"/>
      <c r="I52" s="12"/>
      <c r="J52" s="12"/>
      <c r="K52" s="12"/>
      <c r="L52" s="12"/>
      <c r="M52" s="12"/>
      <c r="N52" s="12"/>
      <c r="O52" s="12"/>
      <c r="P52" s="12"/>
    </row>
    <row r="53" spans="1:16" x14ac:dyDescent="0.2">
      <c r="A53" s="12"/>
      <c r="B53" s="12"/>
      <c r="C53" s="12"/>
      <c r="D53" s="12"/>
      <c r="E53" s="12"/>
      <c r="F53" s="12"/>
      <c r="G53" s="12"/>
      <c r="H53" s="12"/>
      <c r="I53" s="12"/>
      <c r="J53" s="12"/>
      <c r="K53" s="12"/>
      <c r="L53" s="12"/>
      <c r="M53" s="12"/>
      <c r="N53" s="12"/>
      <c r="O53" s="12"/>
      <c r="P53" s="12"/>
    </row>
    <row r="54" spans="1:16" x14ac:dyDescent="0.2">
      <c r="A54" s="12"/>
      <c r="B54" s="12"/>
      <c r="C54" s="12"/>
      <c r="D54" s="12"/>
      <c r="E54" s="12"/>
      <c r="F54" s="12"/>
      <c r="G54" s="12"/>
      <c r="H54" s="12"/>
      <c r="I54" s="12"/>
      <c r="J54" s="12"/>
      <c r="K54" s="12"/>
      <c r="L54" s="12"/>
      <c r="M54" s="12"/>
      <c r="N54" s="12"/>
      <c r="O54" s="12"/>
      <c r="P54" s="12"/>
    </row>
    <row r="55" spans="1:16" x14ac:dyDescent="0.2">
      <c r="A55" s="12"/>
      <c r="B55" s="12"/>
      <c r="C55" s="12"/>
      <c r="D55" s="12"/>
      <c r="E55" s="12"/>
      <c r="F55" s="12"/>
      <c r="G55" s="12"/>
      <c r="H55" s="12"/>
      <c r="I55" s="12"/>
      <c r="J55" s="12"/>
      <c r="K55" s="12"/>
      <c r="L55" s="12"/>
      <c r="M55" s="12"/>
      <c r="N55" s="12"/>
      <c r="O55" s="12"/>
      <c r="P55" s="12"/>
    </row>
    <row r="56" spans="1:16" x14ac:dyDescent="0.2">
      <c r="A56" s="12"/>
      <c r="B56" s="12"/>
      <c r="C56" s="12"/>
      <c r="D56" s="12"/>
      <c r="E56" s="12"/>
      <c r="F56" s="12"/>
      <c r="G56" s="12"/>
      <c r="H56" s="12"/>
      <c r="I56" s="12"/>
      <c r="J56" s="12"/>
      <c r="K56" s="12"/>
      <c r="L56" s="12"/>
      <c r="M56" s="12"/>
      <c r="N56" s="12"/>
      <c r="O56" s="12"/>
      <c r="P56" s="12"/>
    </row>
    <row r="57" spans="1:16" x14ac:dyDescent="0.2">
      <c r="A57" s="12"/>
      <c r="B57" s="12"/>
      <c r="C57" s="12"/>
      <c r="D57" s="12"/>
      <c r="E57" s="12"/>
      <c r="F57" s="12"/>
      <c r="G57" s="12"/>
      <c r="H57" s="12"/>
      <c r="I57" s="12"/>
      <c r="J57" s="12"/>
      <c r="K57" s="12"/>
      <c r="L57" s="12"/>
      <c r="M57" s="12"/>
      <c r="N57" s="12"/>
      <c r="O57" s="12"/>
      <c r="P57" s="12"/>
    </row>
    <row r="58" spans="1:16" x14ac:dyDescent="0.2">
      <c r="A58" s="12"/>
      <c r="B58" s="12"/>
      <c r="C58" s="12"/>
      <c r="D58" s="12"/>
      <c r="E58" s="12"/>
      <c r="F58" s="12"/>
      <c r="G58" s="12"/>
      <c r="H58" s="12"/>
      <c r="I58" s="12"/>
      <c r="J58" s="12"/>
      <c r="K58" s="12"/>
      <c r="L58" s="12"/>
      <c r="M58" s="12"/>
      <c r="N58" s="12"/>
      <c r="O58" s="12"/>
      <c r="P58" s="12"/>
    </row>
    <row r="59" spans="1:16" x14ac:dyDescent="0.2">
      <c r="A59" s="12"/>
      <c r="B59" s="12"/>
      <c r="C59" s="12"/>
      <c r="D59" s="12"/>
      <c r="E59" s="12"/>
      <c r="F59" s="12"/>
      <c r="G59" s="12"/>
      <c r="H59" s="12"/>
      <c r="I59" s="12"/>
      <c r="J59" s="12"/>
      <c r="K59" s="12"/>
      <c r="L59" s="12"/>
      <c r="M59" s="12"/>
      <c r="N59" s="12"/>
      <c r="O59" s="12"/>
      <c r="P59" s="12"/>
    </row>
    <row r="60" spans="1:16" x14ac:dyDescent="0.2">
      <c r="A60" s="12"/>
      <c r="B60" s="12"/>
      <c r="C60" s="12"/>
      <c r="D60" s="12"/>
      <c r="E60" s="12"/>
      <c r="F60" s="12"/>
      <c r="G60" s="12"/>
      <c r="H60" s="12"/>
      <c r="I60" s="12"/>
      <c r="J60" s="12"/>
      <c r="K60" s="12"/>
      <c r="L60" s="12"/>
      <c r="M60" s="12"/>
      <c r="N60" s="12"/>
      <c r="O60" s="12"/>
      <c r="P60" s="12"/>
    </row>
    <row r="61" spans="1:16" x14ac:dyDescent="0.2">
      <c r="A61" s="12"/>
      <c r="B61" s="12"/>
      <c r="C61" s="12"/>
      <c r="D61" s="12"/>
      <c r="E61" s="12"/>
      <c r="F61" s="12"/>
      <c r="G61" s="12"/>
      <c r="H61" s="12"/>
      <c r="I61" s="12"/>
      <c r="J61" s="12"/>
      <c r="K61" s="12"/>
      <c r="L61" s="12"/>
      <c r="M61" s="12"/>
      <c r="N61" s="12"/>
      <c r="O61" s="12"/>
      <c r="P61" s="12"/>
    </row>
    <row r="62" spans="1:16" x14ac:dyDescent="0.2">
      <c r="A62" s="12"/>
      <c r="B62" s="12"/>
      <c r="C62" s="12"/>
      <c r="D62" s="12"/>
      <c r="E62" s="12"/>
      <c r="F62" s="12"/>
      <c r="G62" s="12"/>
      <c r="H62" s="12"/>
      <c r="I62" s="12"/>
      <c r="J62" s="12"/>
      <c r="K62" s="12"/>
      <c r="L62" s="12"/>
      <c r="M62" s="12"/>
      <c r="N62" s="12"/>
      <c r="O62" s="12"/>
      <c r="P62" s="12"/>
    </row>
    <row r="63" spans="1:16" x14ac:dyDescent="0.2">
      <c r="A63" s="12"/>
      <c r="B63" s="12"/>
      <c r="C63" s="12"/>
      <c r="D63" s="12"/>
      <c r="E63" s="12"/>
      <c r="F63" s="12"/>
      <c r="G63" s="12"/>
      <c r="H63" s="12"/>
      <c r="I63" s="12"/>
      <c r="J63" s="12"/>
      <c r="K63" s="12"/>
      <c r="L63" s="12"/>
      <c r="M63" s="12"/>
      <c r="N63" s="12"/>
      <c r="O63" s="12"/>
      <c r="P63" s="12"/>
    </row>
    <row r="64" spans="1:16" x14ac:dyDescent="0.2">
      <c r="A64" s="12"/>
      <c r="B64" s="12"/>
      <c r="C64" s="12"/>
      <c r="D64" s="12"/>
      <c r="E64" s="12"/>
      <c r="F64" s="12"/>
      <c r="G64" s="12"/>
      <c r="H64" s="12"/>
      <c r="I64" s="12"/>
      <c r="J64" s="12"/>
      <c r="K64" s="12"/>
      <c r="L64" s="12"/>
      <c r="M64" s="12"/>
      <c r="N64" s="12"/>
      <c r="O64" s="12"/>
      <c r="P64" s="12"/>
    </row>
    <row r="65" spans="1:16" x14ac:dyDescent="0.2">
      <c r="A65" s="12"/>
      <c r="B65" s="12"/>
      <c r="C65" s="12"/>
      <c r="D65" s="12"/>
      <c r="E65" s="12"/>
      <c r="F65" s="12"/>
      <c r="G65" s="12"/>
      <c r="H65" s="12"/>
      <c r="I65" s="12"/>
      <c r="J65" s="12"/>
      <c r="K65" s="12"/>
      <c r="L65" s="12"/>
      <c r="M65" s="12"/>
      <c r="N65" s="12"/>
      <c r="O65" s="12"/>
      <c r="P65" s="12"/>
    </row>
    <row r="66" spans="1:16" x14ac:dyDescent="0.2">
      <c r="A66" s="12"/>
      <c r="B66" s="12"/>
      <c r="C66" s="12"/>
      <c r="D66" s="12"/>
      <c r="E66" s="12"/>
      <c r="F66" s="12"/>
      <c r="G66" s="12"/>
      <c r="H66" s="12"/>
      <c r="I66" s="12"/>
      <c r="J66" s="12"/>
      <c r="K66" s="12"/>
      <c r="L66" s="12"/>
      <c r="M66" s="12"/>
      <c r="N66" s="12"/>
      <c r="O66" s="12"/>
      <c r="P66" s="12"/>
    </row>
    <row r="67" spans="1:16" x14ac:dyDescent="0.2">
      <c r="A67" s="12"/>
      <c r="B67" s="12"/>
      <c r="C67" s="12"/>
      <c r="D67" s="12"/>
      <c r="E67" s="12"/>
      <c r="F67" s="12"/>
      <c r="G67" s="12"/>
      <c r="H67" s="12"/>
      <c r="I67" s="12"/>
      <c r="J67" s="12"/>
      <c r="K67" s="12"/>
      <c r="L67" s="12"/>
      <c r="M67" s="12"/>
      <c r="N67" s="12"/>
      <c r="O67" s="12"/>
      <c r="P67" s="12"/>
    </row>
    <row r="68" spans="1:16" x14ac:dyDescent="0.2">
      <c r="A68" s="12"/>
      <c r="B68" s="12"/>
      <c r="C68" s="12"/>
      <c r="D68" s="12"/>
      <c r="E68" s="12"/>
      <c r="F68" s="12"/>
      <c r="G68" s="12"/>
      <c r="H68" s="12"/>
      <c r="I68" s="12"/>
      <c r="J68" s="12"/>
      <c r="K68" s="12"/>
      <c r="L68" s="12"/>
      <c r="M68" s="12"/>
      <c r="N68" s="12"/>
      <c r="O68" s="12"/>
      <c r="P68" s="12"/>
    </row>
    <row r="69" spans="1:16" x14ac:dyDescent="0.2">
      <c r="A69" s="12"/>
      <c r="B69" s="12"/>
      <c r="C69" s="12"/>
      <c r="D69" s="12"/>
      <c r="E69" s="12"/>
      <c r="F69" s="12"/>
      <c r="G69" s="12"/>
      <c r="H69" s="12"/>
      <c r="I69" s="12"/>
      <c r="J69" s="12"/>
      <c r="K69" s="12"/>
      <c r="L69" s="12"/>
      <c r="M69" s="12"/>
      <c r="N69" s="12"/>
      <c r="O69" s="12"/>
      <c r="P69" s="12"/>
    </row>
    <row r="70" spans="1:16" x14ac:dyDescent="0.2">
      <c r="A70" s="12"/>
      <c r="B70" s="12"/>
      <c r="C70" s="12"/>
      <c r="D70" s="12"/>
      <c r="E70" s="12"/>
      <c r="F70" s="12"/>
      <c r="G70" s="12"/>
      <c r="H70" s="12"/>
      <c r="I70" s="12"/>
      <c r="J70" s="12"/>
      <c r="K70" s="12"/>
      <c r="L70" s="12"/>
      <c r="M70" s="12"/>
      <c r="N70" s="12"/>
      <c r="O70" s="12"/>
      <c r="P70" s="12"/>
    </row>
    <row r="71" spans="1:16" x14ac:dyDescent="0.2">
      <c r="A71" s="12"/>
      <c r="B71" s="12"/>
      <c r="C71" s="12"/>
      <c r="D71" s="12"/>
      <c r="E71" s="12"/>
      <c r="F71" s="12"/>
      <c r="G71" s="12"/>
      <c r="H71" s="12"/>
      <c r="I71" s="12"/>
      <c r="J71" s="12"/>
      <c r="K71" s="12"/>
      <c r="L71" s="12"/>
      <c r="M71" s="12"/>
      <c r="N71" s="12"/>
      <c r="O71" s="12"/>
      <c r="P71" s="12"/>
    </row>
    <row r="72" spans="1:16" x14ac:dyDescent="0.2">
      <c r="A72" s="12"/>
      <c r="B72" s="12"/>
      <c r="C72" s="12"/>
      <c r="D72" s="12"/>
      <c r="E72" s="12"/>
      <c r="F72" s="12"/>
      <c r="G72" s="12"/>
      <c r="H72" s="12"/>
      <c r="I72" s="12"/>
      <c r="J72" s="12"/>
      <c r="K72" s="12"/>
      <c r="L72" s="12"/>
      <c r="M72" s="12"/>
      <c r="N72" s="12"/>
      <c r="O72" s="12"/>
      <c r="P72" s="12"/>
    </row>
    <row r="73" spans="1:16" x14ac:dyDescent="0.2">
      <c r="A73" s="12"/>
      <c r="B73" s="12"/>
      <c r="C73" s="12"/>
      <c r="D73" s="12"/>
      <c r="E73" s="12"/>
      <c r="F73" s="12"/>
      <c r="G73" s="12"/>
      <c r="H73" s="12"/>
      <c r="I73" s="12"/>
      <c r="J73" s="12"/>
      <c r="K73" s="12"/>
      <c r="L73" s="12"/>
      <c r="M73" s="12"/>
      <c r="N73" s="12"/>
      <c r="O73" s="12"/>
      <c r="P73" s="12"/>
    </row>
    <row r="74" spans="1:16" x14ac:dyDescent="0.2">
      <c r="A74" s="12"/>
      <c r="B74" s="12"/>
      <c r="C74" s="12"/>
      <c r="D74" s="12"/>
      <c r="E74" s="12"/>
      <c r="F74" s="12"/>
      <c r="G74" s="12"/>
      <c r="H74" s="12"/>
      <c r="I74" s="12"/>
      <c r="J74" s="12"/>
      <c r="K74" s="12"/>
      <c r="L74" s="12"/>
      <c r="M74" s="12"/>
      <c r="N74" s="12"/>
      <c r="O74" s="12"/>
      <c r="P74" s="12"/>
    </row>
    <row r="75" spans="1:16" x14ac:dyDescent="0.2">
      <c r="A75" s="12"/>
      <c r="B75" s="12"/>
      <c r="C75" s="12"/>
      <c r="D75" s="12"/>
      <c r="E75" s="12"/>
      <c r="F75" s="12"/>
      <c r="G75" s="12"/>
      <c r="H75" s="12"/>
      <c r="I75" s="12"/>
      <c r="J75" s="12"/>
      <c r="K75" s="12"/>
      <c r="L75" s="12"/>
      <c r="M75" s="12"/>
      <c r="N75" s="12"/>
      <c r="O75" s="12"/>
      <c r="P75" s="12"/>
    </row>
    <row r="76" spans="1:16" x14ac:dyDescent="0.2">
      <c r="A76" s="12"/>
      <c r="B76" s="12"/>
      <c r="C76" s="12"/>
      <c r="D76" s="12"/>
      <c r="E76" s="12"/>
      <c r="F76" s="12"/>
      <c r="G76" s="12"/>
      <c r="H76" s="12"/>
      <c r="I76" s="12"/>
      <c r="J76" s="12"/>
      <c r="K76" s="12"/>
      <c r="L76" s="12"/>
      <c r="M76" s="12"/>
      <c r="N76" s="12"/>
      <c r="O76" s="12"/>
      <c r="P76" s="12"/>
    </row>
    <row r="77" spans="1:16" x14ac:dyDescent="0.2">
      <c r="A77" s="12"/>
      <c r="B77" s="12"/>
      <c r="C77" s="12"/>
      <c r="D77" s="12"/>
      <c r="E77" s="12"/>
      <c r="F77" s="12"/>
      <c r="G77" s="12"/>
      <c r="H77" s="12"/>
      <c r="I77" s="12"/>
      <c r="J77" s="12"/>
      <c r="K77" s="12"/>
      <c r="L77" s="12"/>
      <c r="M77" s="12"/>
      <c r="N77" s="12"/>
      <c r="O77" s="12"/>
      <c r="P77" s="12"/>
    </row>
    <row r="78" spans="1:16" x14ac:dyDescent="0.2">
      <c r="A78" s="12"/>
      <c r="B78" s="12"/>
      <c r="C78" s="12"/>
      <c r="D78" s="12"/>
      <c r="E78" s="12"/>
      <c r="F78" s="12"/>
      <c r="G78" s="12"/>
      <c r="H78" s="12"/>
      <c r="I78" s="12"/>
      <c r="J78" s="12"/>
      <c r="K78" s="12"/>
      <c r="L78" s="12"/>
      <c r="M78" s="12"/>
      <c r="N78" s="12"/>
      <c r="O78" s="12"/>
      <c r="P78" s="12"/>
    </row>
    <row r="79" spans="1:16" x14ac:dyDescent="0.2">
      <c r="A79" s="12"/>
      <c r="B79" s="12"/>
      <c r="C79" s="12"/>
      <c r="D79" s="12"/>
      <c r="E79" s="12"/>
      <c r="F79" s="12"/>
      <c r="G79" s="12"/>
      <c r="H79" s="12"/>
      <c r="I79" s="12"/>
      <c r="J79" s="12"/>
      <c r="K79" s="12"/>
      <c r="L79" s="12"/>
      <c r="M79" s="12"/>
      <c r="N79" s="12"/>
      <c r="O79" s="12"/>
      <c r="P79" s="12"/>
    </row>
    <row r="80" spans="1:16" x14ac:dyDescent="0.2">
      <c r="A80" s="12"/>
      <c r="B80" s="12"/>
      <c r="C80" s="12"/>
      <c r="D80" s="12"/>
      <c r="E80" s="12"/>
      <c r="F80" s="12"/>
      <c r="G80" s="12"/>
      <c r="H80" s="12"/>
      <c r="I80" s="12"/>
      <c r="J80" s="12"/>
      <c r="K80" s="12"/>
      <c r="L80" s="12"/>
      <c r="M80" s="12"/>
      <c r="N80" s="12"/>
      <c r="O80" s="12"/>
      <c r="P80" s="12"/>
    </row>
  </sheetData>
  <pageMargins left="0.35" right="0.25" top="0.32" bottom="0.5" header="0.32" footer="0.3"/>
  <pageSetup orientation="portrait" r:id="rId1"/>
  <headerFooter alignWithMargins="0">
    <oddFooter>&amp;L&amp;7&amp;D  at &amp;T Mike 702.486.8879&amp;C&amp;7Page &amp;P of &amp;N&amp;R&amp;7&amp;F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G26"/>
  <sheetViews>
    <sheetView zoomScale="85" zoomScaleNormal="85" zoomScaleSheetLayoutView="70" workbookViewId="0">
      <selection activeCell="C8" sqref="C8:G8"/>
    </sheetView>
  </sheetViews>
  <sheetFormatPr defaultRowHeight="15.75" x14ac:dyDescent="0.25"/>
  <cols>
    <col min="1" max="1" width="1.28515625" style="490" customWidth="1"/>
    <col min="2" max="2" width="3.28515625" customWidth="1"/>
    <col min="3" max="3" width="19" customWidth="1"/>
    <col min="4" max="4" width="26.7109375" customWidth="1"/>
    <col min="5" max="5" width="24.42578125" customWidth="1"/>
    <col min="6" max="6" width="19.42578125" customWidth="1"/>
    <col min="7" max="7" width="7.5703125" customWidth="1"/>
  </cols>
  <sheetData>
    <row r="1" spans="1:7" x14ac:dyDescent="0.25">
      <c r="A1" s="65" t="s">
        <v>708</v>
      </c>
      <c r="B1" s="65"/>
      <c r="C1" s="65"/>
    </row>
    <row r="2" spans="1:7" x14ac:dyDescent="0.25">
      <c r="A2" s="494" t="str">
        <f>SchoolName</f>
        <v xml:space="preserve">Alaka'i Heritage Academy </v>
      </c>
      <c r="B2" s="495"/>
      <c r="C2" s="495"/>
    </row>
    <row r="3" spans="1:7" ht="15" x14ac:dyDescent="0.25">
      <c r="A3" s="491" t="s">
        <v>415</v>
      </c>
    </row>
    <row r="4" spans="1:7" ht="15" x14ac:dyDescent="0.25">
      <c r="A4" s="492" t="s">
        <v>452</v>
      </c>
    </row>
    <row r="5" spans="1:7" ht="15" x14ac:dyDescent="0.25">
      <c r="A5" s="493" t="str">
        <f ca="1">CELL("filename")</f>
        <v>C:\Users\Kyle.McOmber\Work Folders\Desktop\Alaka'i Appeal Submissions\Second Submission\[Copy of Attachment 16 - Financial Plan Workbook - AHA (002).xlsx]Market</v>
      </c>
    </row>
    <row r="7" spans="1:7" x14ac:dyDescent="0.25">
      <c r="C7" s="673" t="s">
        <v>709</v>
      </c>
      <c r="D7" s="673"/>
      <c r="E7" s="673"/>
      <c r="F7" s="275"/>
      <c r="G7" s="275"/>
    </row>
    <row r="8" spans="1:7" ht="34.5" x14ac:dyDescent="0.45">
      <c r="C8" s="1421" t="s">
        <v>956</v>
      </c>
      <c r="D8" s="1421"/>
      <c r="E8" s="1421"/>
      <c r="F8" s="1421"/>
      <c r="G8" s="1421"/>
    </row>
    <row r="10" spans="1:7" x14ac:dyDescent="0.25">
      <c r="C10" s="1268">
        <v>2020</v>
      </c>
      <c r="D10" s="666" t="s">
        <v>753</v>
      </c>
    </row>
    <row r="11" spans="1:7" x14ac:dyDescent="0.25">
      <c r="C11" s="782">
        <f>+C10+1</f>
        <v>2021</v>
      </c>
    </row>
    <row r="13" spans="1:7" x14ac:dyDescent="0.25">
      <c r="C13" s="673" t="s">
        <v>710</v>
      </c>
      <c r="D13" s="673"/>
      <c r="E13" s="273" t="s">
        <v>598</v>
      </c>
      <c r="F13" s="1423" t="s">
        <v>599</v>
      </c>
      <c r="G13" s="1423"/>
    </row>
    <row r="14" spans="1:7" x14ac:dyDescent="0.25">
      <c r="B14" s="674">
        <v>1</v>
      </c>
      <c r="C14" s="1424" t="s">
        <v>957</v>
      </c>
      <c r="D14" s="1424"/>
      <c r="E14" s="1269" t="s">
        <v>958</v>
      </c>
      <c r="F14" s="1425" t="s">
        <v>959</v>
      </c>
      <c r="G14" s="1425"/>
    </row>
    <row r="15" spans="1:7" x14ac:dyDescent="0.25">
      <c r="B15" s="674">
        <v>2</v>
      </c>
      <c r="C15" s="1426"/>
      <c r="D15" s="1426"/>
      <c r="E15" s="1269"/>
      <c r="F15" s="1427"/>
      <c r="G15" s="1427"/>
    </row>
    <row r="16" spans="1:7" ht="30.75" customHeight="1" x14ac:dyDescent="0.25">
      <c r="B16" s="674"/>
      <c r="C16" s="1422" t="s">
        <v>779</v>
      </c>
      <c r="D16" s="1422"/>
      <c r="E16" s="1422"/>
      <c r="F16" s="1422"/>
      <c r="G16" s="1422"/>
    </row>
    <row r="17" spans="2:7" ht="18" customHeight="1" x14ac:dyDescent="0.25">
      <c r="B17" s="674">
        <v>1</v>
      </c>
      <c r="C17" s="1428" t="s">
        <v>960</v>
      </c>
      <c r="D17" s="1428"/>
      <c r="E17" s="1428"/>
      <c r="F17" s="1428"/>
      <c r="G17" s="1428"/>
    </row>
    <row r="18" spans="2:7" ht="18" customHeight="1" x14ac:dyDescent="0.25">
      <c r="B18" s="674">
        <v>2</v>
      </c>
      <c r="C18" s="1420" t="s">
        <v>713</v>
      </c>
      <c r="D18" s="1420"/>
      <c r="E18" s="1420"/>
      <c r="F18" s="1420"/>
      <c r="G18" s="1420"/>
    </row>
    <row r="19" spans="2:7" x14ac:dyDescent="0.25">
      <c r="C19" s="380" t="s">
        <v>714</v>
      </c>
    </row>
    <row r="20" spans="2:7" x14ac:dyDescent="0.25">
      <c r="C20" s="380"/>
    </row>
    <row r="21" spans="2:7" x14ac:dyDescent="0.25">
      <c r="C21" s="223" t="s">
        <v>948</v>
      </c>
    </row>
    <row r="22" spans="2:7" x14ac:dyDescent="0.25">
      <c r="C22" s="1076" t="s">
        <v>961</v>
      </c>
      <c r="D22" s="666" t="s">
        <v>724</v>
      </c>
    </row>
    <row r="23" spans="2:7" x14ac:dyDescent="0.25">
      <c r="C23" s="444"/>
      <c r="D23" s="217" t="s">
        <v>725</v>
      </c>
    </row>
    <row r="24" spans="2:7" x14ac:dyDescent="0.25">
      <c r="C24" s="1076" t="s">
        <v>595</v>
      </c>
      <c r="D24" s="217" t="s">
        <v>711</v>
      </c>
    </row>
    <row r="25" spans="2:7" x14ac:dyDescent="0.25">
      <c r="C25" s="444"/>
    </row>
    <row r="26" spans="2:7" x14ac:dyDescent="0.25">
      <c r="C26" s="1076" t="s">
        <v>961</v>
      </c>
      <c r="D26" s="217" t="s">
        <v>712</v>
      </c>
    </row>
  </sheetData>
  <sheetProtection algorithmName="SHA-512" hashValue="CrK5h7HVFtcK0eBIPYzdUvrJGEMKiKxJXsv8vHVcmmjhSYrCcfiHZDRoMUpZO1sp9z3drkts0/Y+5fXR5emrUw==" saltValue="PY3MMs75MKYUtySo4VsepA==" spinCount="100000" sheet="1" objects="1" scenarios="1" selectLockedCells="1"/>
  <mergeCells count="9">
    <mergeCell ref="C18:G18"/>
    <mergeCell ref="C8:G8"/>
    <mergeCell ref="C16:G16"/>
    <mergeCell ref="F13:G13"/>
    <mergeCell ref="C14:D14"/>
    <mergeCell ref="F14:G14"/>
    <mergeCell ref="C15:D15"/>
    <mergeCell ref="F15:G15"/>
    <mergeCell ref="C17:G17"/>
  </mergeCells>
  <conditionalFormatting sqref="D22">
    <cfRule type="cellIs" dxfId="59" priority="6" stopIfTrue="1" operator="equal">
      <formula>0</formula>
    </cfRule>
  </conditionalFormatting>
  <conditionalFormatting sqref="D10">
    <cfRule type="cellIs" dxfId="58" priority="5" stopIfTrue="1" operator="equal">
      <formula>0</formula>
    </cfRule>
  </conditionalFormatting>
  <pageMargins left="0.35" right="0.25" top="0.32" bottom="0.5" header="0.32" footer="0.3"/>
  <pageSetup scale="98" orientation="portrait" r:id="rId1"/>
  <headerFooter>
    <oddFooter>&amp;L&amp;7&amp;D  at &amp;T Mike 702.486.8879&amp;C&amp;7Page &amp;P of &amp;N&amp;R&amp;7&amp;F  &amp;A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99"/>
  </sheetPr>
  <dimension ref="A1:P180"/>
  <sheetViews>
    <sheetView topLeftCell="A52" zoomScale="70" zoomScaleNormal="70" zoomScaleSheetLayoutView="100" workbookViewId="0">
      <selection activeCell="F63" sqref="F63"/>
    </sheetView>
  </sheetViews>
  <sheetFormatPr defaultColWidth="7.7109375" defaultRowHeight="15" x14ac:dyDescent="0.25"/>
  <cols>
    <col min="1" max="1" width="1.42578125" style="217" customWidth="1"/>
    <col min="2" max="2" width="32.7109375" style="217" customWidth="1"/>
    <col min="3" max="3" width="16.85546875" style="217" bestFit="1" customWidth="1"/>
    <col min="4" max="4" width="8.85546875" style="217" customWidth="1"/>
    <col min="5" max="5" width="13.28515625" style="217" customWidth="1"/>
    <col min="6" max="8" width="15.28515625" style="217" customWidth="1"/>
    <col min="9" max="9" width="19.140625" style="217" bestFit="1" customWidth="1"/>
    <col min="10" max="10" width="19.5703125" style="217" bestFit="1" customWidth="1"/>
    <col min="11" max="11" width="15.7109375" style="217" bestFit="1" customWidth="1"/>
    <col min="12" max="12" width="2.5703125" style="217" customWidth="1"/>
    <col min="13" max="13" width="0.85546875" style="217" customWidth="1"/>
    <col min="14" max="14" width="9.28515625" style="217" bestFit="1" customWidth="1"/>
    <col min="15" max="15" width="10.5703125" style="217" bestFit="1" customWidth="1"/>
    <col min="16" max="16" width="11.85546875" style="217" bestFit="1" customWidth="1"/>
    <col min="17" max="16384" width="7.7109375" style="217"/>
  </cols>
  <sheetData>
    <row r="1" spans="1:12" ht="15.75" x14ac:dyDescent="0.25">
      <c r="A1" s="501" t="s">
        <v>453</v>
      </c>
      <c r="B1" s="215"/>
      <c r="C1" s="216"/>
      <c r="J1" s="151"/>
    </row>
    <row r="2" spans="1:12" ht="15.75" x14ac:dyDescent="0.25">
      <c r="A2" s="502" t="str">
        <f>SchoolName</f>
        <v xml:space="preserve">Alaka'i Heritage Academy </v>
      </c>
      <c r="B2" s="218"/>
      <c r="C2" s="219"/>
      <c r="F2" s="223"/>
    </row>
    <row r="3" spans="1:12" x14ac:dyDescent="0.25">
      <c r="A3" s="220" t="s">
        <v>415</v>
      </c>
      <c r="C3" s="221"/>
    </row>
    <row r="4" spans="1:12" x14ac:dyDescent="0.25">
      <c r="A4" s="222" t="s">
        <v>452</v>
      </c>
    </row>
    <row r="5" spans="1:12" x14ac:dyDescent="0.25">
      <c r="A5" s="200" t="str">
        <f ca="1">CELL("filename")</f>
        <v>C:\Users\Kyle.McOmber\Work Folders\Desktop\Alaka'i Appeal Submissions\Second Submission\[Copy of Attachment 16 - Financial Plan Workbook - AHA (002).xlsx]Market</v>
      </c>
    </row>
    <row r="7" spans="1:12" x14ac:dyDescent="0.25">
      <c r="B7" s="223"/>
      <c r="C7" s="201"/>
      <c r="D7" s="201"/>
      <c r="E7" s="201" t="str">
        <f>'Enrol Staff &amp; Exp'!G9</f>
        <v>SY 0/Incubation</v>
      </c>
      <c r="F7" s="201" t="str">
        <f>'Enrol Staff &amp; Exp'!H9</f>
        <v>SY 1</v>
      </c>
      <c r="G7" s="201" t="str">
        <f>'Enrol Staff &amp; Exp'!I9</f>
        <v>SY 2</v>
      </c>
      <c r="H7" s="201" t="str">
        <f>'Enrol Staff &amp; Exp'!J9</f>
        <v>SY 3</v>
      </c>
      <c r="I7" s="201" t="str">
        <f>'Enrol Staff &amp; Exp'!K9</f>
        <v>SY 4</v>
      </c>
      <c r="J7" s="201" t="str">
        <f>'Enrol Staff &amp; Exp'!L9</f>
        <v>SY 5</v>
      </c>
      <c r="K7" s="201" t="str">
        <f>'Enrol Staff &amp; Exp'!M9</f>
        <v>SY 6</v>
      </c>
      <c r="L7" s="201"/>
    </row>
    <row r="8" spans="1:12" ht="18.75" customHeight="1" x14ac:dyDescent="0.25">
      <c r="B8" s="223"/>
      <c r="C8" s="224" t="s">
        <v>564</v>
      </c>
      <c r="D8" s="225"/>
      <c r="E8" s="225">
        <f>'Enrol Staff &amp; Exp'!G10</f>
        <v>2019</v>
      </c>
      <c r="F8" s="225">
        <f>'Enrol Staff &amp; Exp'!H10</f>
        <v>2020</v>
      </c>
      <c r="G8" s="225">
        <f>'Enrol Staff &amp; Exp'!I10</f>
        <v>2021</v>
      </c>
      <c r="H8" s="225">
        <f>'Enrol Staff &amp; Exp'!J10</f>
        <v>2022</v>
      </c>
      <c r="I8" s="225">
        <f>'Enrol Staff &amp; Exp'!K10</f>
        <v>2023</v>
      </c>
      <c r="J8" s="225">
        <f>'Enrol Staff &amp; Exp'!L10</f>
        <v>2024</v>
      </c>
      <c r="K8" s="225">
        <f>'Enrol Staff &amp; Exp'!M10</f>
        <v>2025</v>
      </c>
      <c r="L8" s="225"/>
    </row>
    <row r="9" spans="1:12" ht="18.75" customHeight="1" x14ac:dyDescent="0.25">
      <c r="B9" s="223"/>
      <c r="C9" s="226"/>
      <c r="D9" s="227"/>
      <c r="E9" s="228">
        <f>'Enrol Staff &amp; Exp'!G11</f>
        <v>2020</v>
      </c>
      <c r="F9" s="228">
        <f>'Enrol Staff &amp; Exp'!H11</f>
        <v>2021</v>
      </c>
      <c r="G9" s="228">
        <f>'Enrol Staff &amp; Exp'!I11</f>
        <v>2022</v>
      </c>
      <c r="H9" s="228">
        <f>'Enrol Staff &amp; Exp'!J11</f>
        <v>2023</v>
      </c>
      <c r="I9" s="228">
        <f>'Enrol Staff &amp; Exp'!K11</f>
        <v>2024</v>
      </c>
      <c r="J9" s="228">
        <f>'Enrol Staff &amp; Exp'!L11</f>
        <v>2025</v>
      </c>
      <c r="K9" s="227">
        <f>'Enrol Staff &amp; Exp'!M11</f>
        <v>2026</v>
      </c>
      <c r="L9" s="509"/>
    </row>
    <row r="10" spans="1:12" s="221" customFormat="1" x14ac:dyDescent="0.25">
      <c r="B10" s="219"/>
      <c r="C10" s="1287"/>
      <c r="D10" s="230"/>
      <c r="E10" s="230"/>
      <c r="F10" s="230"/>
      <c r="G10" s="230"/>
      <c r="H10" s="230"/>
      <c r="I10" s="230"/>
      <c r="J10" s="230"/>
      <c r="K10" s="230"/>
      <c r="L10" s="230"/>
    </row>
    <row r="11" spans="1:12" x14ac:dyDescent="0.25">
      <c r="B11" s="505" t="s">
        <v>138</v>
      </c>
      <c r="C11" s="231">
        <f>MAX(F11:K11)</f>
        <v>960</v>
      </c>
      <c r="D11" s="231"/>
      <c r="E11" s="231">
        <f>'Enrol Staff &amp; Exp'!G31</f>
        <v>0</v>
      </c>
      <c r="F11" s="231">
        <f>'Enrol Staff &amp; Exp'!H31</f>
        <v>330</v>
      </c>
      <c r="G11" s="231">
        <f>'Enrol Staff &amp; Exp'!I31</f>
        <v>540</v>
      </c>
      <c r="H11" s="231">
        <f>'Enrol Staff &amp; Exp'!J31</f>
        <v>760</v>
      </c>
      <c r="I11" s="231">
        <f>'Enrol Staff &amp; Exp'!K31</f>
        <v>840</v>
      </c>
      <c r="J11" s="231">
        <f>'Enrol Staff &amp; Exp'!L31</f>
        <v>900</v>
      </c>
      <c r="K11" s="231">
        <f>'Enrol Staff &amp; Exp'!M31</f>
        <v>960</v>
      </c>
      <c r="L11" s="233"/>
    </row>
    <row r="12" spans="1:12" x14ac:dyDescent="0.25">
      <c r="B12" s="536" t="s">
        <v>208</v>
      </c>
      <c r="C12" s="252">
        <f t="shared" ref="C12:C26" si="0">MAX(F12:K12)</f>
        <v>74</v>
      </c>
      <c r="D12" s="231"/>
      <c r="E12" s="843">
        <f>'Enrol Staff &amp; Exp'!G103</f>
        <v>0</v>
      </c>
      <c r="F12" s="843">
        <f>'Enrol Staff &amp; Exp'!H103</f>
        <v>21</v>
      </c>
      <c r="G12" s="843">
        <f>'Enrol Staff &amp; Exp'!I103</f>
        <v>38</v>
      </c>
      <c r="H12" s="843">
        <f>'Enrol Staff &amp; Exp'!J103</f>
        <v>51</v>
      </c>
      <c r="I12" s="843">
        <f>'Enrol Staff &amp; Exp'!K103</f>
        <v>63</v>
      </c>
      <c r="J12" s="843">
        <f>'Enrol Staff &amp; Exp'!L103</f>
        <v>69</v>
      </c>
      <c r="K12" s="843">
        <f>'Enrol Staff &amp; Exp'!M103</f>
        <v>74</v>
      </c>
      <c r="L12" s="235"/>
    </row>
    <row r="13" spans="1:12" x14ac:dyDescent="0.25">
      <c r="B13" s="537" t="s">
        <v>372</v>
      </c>
      <c r="C13" s="506">
        <f t="shared" si="0"/>
        <v>1034</v>
      </c>
      <c r="D13" s="236"/>
      <c r="E13" s="236">
        <f t="shared" ref="E13:K13" si="1">SUM(E11:E12)</f>
        <v>0</v>
      </c>
      <c r="F13" s="236">
        <f t="shared" si="1"/>
        <v>351</v>
      </c>
      <c r="G13" s="236">
        <f t="shared" si="1"/>
        <v>578</v>
      </c>
      <c r="H13" s="236">
        <f t="shared" si="1"/>
        <v>811</v>
      </c>
      <c r="I13" s="236">
        <f t="shared" si="1"/>
        <v>903</v>
      </c>
      <c r="J13" s="236">
        <f t="shared" si="1"/>
        <v>969</v>
      </c>
      <c r="K13" s="236">
        <f t="shared" si="1"/>
        <v>1034</v>
      </c>
      <c r="L13" s="236"/>
    </row>
    <row r="14" spans="1:12" x14ac:dyDescent="0.25">
      <c r="B14" s="538" t="s">
        <v>565</v>
      </c>
      <c r="C14" s="256"/>
      <c r="D14" s="231"/>
      <c r="E14" s="231"/>
      <c r="F14" s="231"/>
      <c r="G14" s="503">
        <f>+G11/F11-1</f>
        <v>0.63636363636363646</v>
      </c>
      <c r="H14" s="503">
        <f>+H11/G11-1</f>
        <v>0.40740740740740744</v>
      </c>
      <c r="I14" s="503">
        <f>+I11/H11-1</f>
        <v>0.10526315789473695</v>
      </c>
      <c r="J14" s="503">
        <f>+J11/I11-1</f>
        <v>7.1428571428571397E-2</v>
      </c>
      <c r="K14" s="503">
        <f>+K11/J11-1</f>
        <v>6.6666666666666652E-2</v>
      </c>
      <c r="L14" s="231"/>
    </row>
    <row r="15" spans="1:12" x14ac:dyDescent="0.25">
      <c r="B15" s="499" t="s">
        <v>734</v>
      </c>
      <c r="C15" s="406">
        <f t="shared" si="0"/>
        <v>9</v>
      </c>
      <c r="D15" s="231"/>
      <c r="E15" s="231">
        <f>+'Enrol Staff &amp; Exp'!G140</f>
        <v>0</v>
      </c>
      <c r="F15" s="231">
        <f>+'Enrol Staff &amp; Exp'!H140</f>
        <v>2</v>
      </c>
      <c r="G15" s="231">
        <f>+'Enrol Staff &amp; Exp'!I140</f>
        <v>3</v>
      </c>
      <c r="H15" s="231">
        <f>+'Enrol Staff &amp; Exp'!J140</f>
        <v>4</v>
      </c>
      <c r="I15" s="231">
        <f>+'Enrol Staff &amp; Exp'!K140</f>
        <v>5</v>
      </c>
      <c r="J15" s="231">
        <f>+'Enrol Staff &amp; Exp'!L140</f>
        <v>7</v>
      </c>
      <c r="K15" s="231">
        <f>+'Enrol Staff &amp; Exp'!M140</f>
        <v>9</v>
      </c>
      <c r="L15" s="231"/>
    </row>
    <row r="16" spans="1:12" x14ac:dyDescent="0.25">
      <c r="B16" s="499" t="s">
        <v>733</v>
      </c>
      <c r="C16" s="406">
        <f>MAX(F16:K16)</f>
        <v>9</v>
      </c>
      <c r="D16" s="231"/>
      <c r="E16" s="231">
        <f>+'Enrol Staff &amp; Exp'!G152</f>
        <v>0</v>
      </c>
      <c r="F16" s="231">
        <f>+'Enrol Staff &amp; Exp'!H152</f>
        <v>2</v>
      </c>
      <c r="G16" s="231">
        <f>+'Enrol Staff &amp; Exp'!I152</f>
        <v>4</v>
      </c>
      <c r="H16" s="231">
        <f>+'Enrol Staff &amp; Exp'!J152</f>
        <v>7</v>
      </c>
      <c r="I16" s="231">
        <f>+'Enrol Staff &amp; Exp'!K152</f>
        <v>9</v>
      </c>
      <c r="J16" s="231">
        <f>+'Enrol Staff &amp; Exp'!L152</f>
        <v>9</v>
      </c>
      <c r="K16" s="231">
        <f>+'Enrol Staff &amp; Exp'!M152</f>
        <v>9</v>
      </c>
      <c r="L16" s="231"/>
    </row>
    <row r="17" spans="2:12" x14ac:dyDescent="0.25">
      <c r="B17" s="499" t="s">
        <v>386</v>
      </c>
      <c r="C17" s="256">
        <f t="shared" si="0"/>
        <v>43</v>
      </c>
      <c r="D17" s="231"/>
      <c r="E17" s="231">
        <f>+'Enrol Staff &amp; Exp'!G267</f>
        <v>0</v>
      </c>
      <c r="F17" s="231">
        <f>+'Enrol Staff &amp; Exp'!H267</f>
        <v>13</v>
      </c>
      <c r="G17" s="231">
        <f>+'Enrol Staff &amp; Exp'!I267</f>
        <v>25</v>
      </c>
      <c r="H17" s="231">
        <f>+'Enrol Staff &amp; Exp'!J267</f>
        <v>31</v>
      </c>
      <c r="I17" s="231">
        <f>+'Enrol Staff &amp; Exp'!K267</f>
        <v>37</v>
      </c>
      <c r="J17" s="231">
        <f>+'Enrol Staff &amp; Exp'!L267</f>
        <v>40</v>
      </c>
      <c r="K17" s="231">
        <f>+'Enrol Staff &amp; Exp'!M267</f>
        <v>43</v>
      </c>
      <c r="L17" s="231"/>
    </row>
    <row r="18" spans="2:12" x14ac:dyDescent="0.25">
      <c r="B18" s="539" t="s">
        <v>385</v>
      </c>
      <c r="C18" s="507">
        <f t="shared" si="0"/>
        <v>61</v>
      </c>
      <c r="D18" s="542"/>
      <c r="E18" s="236">
        <f>SUM(E15:E17)</f>
        <v>0</v>
      </c>
      <c r="F18" s="236">
        <f t="shared" ref="F18:K18" si="2">SUM(F15:F17)</f>
        <v>17</v>
      </c>
      <c r="G18" s="236">
        <f t="shared" si="2"/>
        <v>32</v>
      </c>
      <c r="H18" s="236">
        <f t="shared" si="2"/>
        <v>42</v>
      </c>
      <c r="I18" s="236">
        <f t="shared" si="2"/>
        <v>51</v>
      </c>
      <c r="J18" s="236">
        <f t="shared" si="2"/>
        <v>56</v>
      </c>
      <c r="K18" s="236">
        <f t="shared" si="2"/>
        <v>61</v>
      </c>
      <c r="L18" s="238"/>
    </row>
    <row r="19" spans="2:12" x14ac:dyDescent="0.25">
      <c r="B19" s="541" t="s">
        <v>580</v>
      </c>
      <c r="C19" s="506">
        <f t="shared" si="0"/>
        <v>19.411764705882351</v>
      </c>
      <c r="D19" s="236"/>
      <c r="E19" s="238"/>
      <c r="F19" s="238">
        <f t="shared" ref="F19:K19" si="3">+F11/F18</f>
        <v>19.411764705882351</v>
      </c>
      <c r="G19" s="238">
        <f t="shared" si="3"/>
        <v>16.875</v>
      </c>
      <c r="H19" s="238">
        <f t="shared" si="3"/>
        <v>18.095238095238095</v>
      </c>
      <c r="I19" s="238">
        <f t="shared" si="3"/>
        <v>16.470588235294116</v>
      </c>
      <c r="J19" s="238">
        <f t="shared" si="3"/>
        <v>16.071428571428573</v>
      </c>
      <c r="K19" s="238">
        <f t="shared" si="3"/>
        <v>15.737704918032787</v>
      </c>
      <c r="L19" s="238"/>
    </row>
    <row r="20" spans="2:12" x14ac:dyDescent="0.25">
      <c r="B20" s="424" t="s">
        <v>579</v>
      </c>
      <c r="C20" s="256"/>
      <c r="D20" s="231"/>
      <c r="E20" s="239"/>
      <c r="F20" s="239">
        <f>'Enrol Staff &amp; Exp'!H32</f>
        <v>0</v>
      </c>
      <c r="G20" s="239">
        <f>'Enrol Staff &amp; Exp'!I32</f>
        <v>0</v>
      </c>
      <c r="H20" s="239">
        <f>'Enrol Staff &amp; Exp'!J32</f>
        <v>0</v>
      </c>
      <c r="I20" s="239">
        <f>'Enrol Staff &amp; Exp'!K32</f>
        <v>0</v>
      </c>
      <c r="J20" s="239">
        <f>'Enrol Staff &amp; Exp'!L32</f>
        <v>0</v>
      </c>
      <c r="K20" s="239">
        <f>'Enrol Staff &amp; Exp'!M32</f>
        <v>0</v>
      </c>
      <c r="L20" s="239"/>
    </row>
    <row r="21" spans="2:12" x14ac:dyDescent="0.25">
      <c r="B21" s="499" t="s">
        <v>381</v>
      </c>
      <c r="C21" s="256">
        <f t="shared" si="0"/>
        <v>3</v>
      </c>
      <c r="D21" s="231"/>
      <c r="E21" s="231">
        <f>+'Enrol Staff &amp; Exp'!G120</f>
        <v>0</v>
      </c>
      <c r="F21" s="231">
        <f>+'Enrol Staff &amp; Exp'!H120</f>
        <v>1</v>
      </c>
      <c r="G21" s="231">
        <f>+'Enrol Staff &amp; Exp'!I120</f>
        <v>2</v>
      </c>
      <c r="H21" s="231">
        <f>+'Enrol Staff &amp; Exp'!J120</f>
        <v>2</v>
      </c>
      <c r="I21" s="231">
        <f>+'Enrol Staff &amp; Exp'!K120</f>
        <v>3</v>
      </c>
      <c r="J21" s="231">
        <f>+'Enrol Staff &amp; Exp'!L120</f>
        <v>3</v>
      </c>
      <c r="K21" s="231">
        <f>+'Enrol Staff &amp; Exp'!M120</f>
        <v>3</v>
      </c>
      <c r="L21" s="231"/>
    </row>
    <row r="22" spans="2:12" x14ac:dyDescent="0.25">
      <c r="B22" s="537" t="s">
        <v>382</v>
      </c>
      <c r="C22" s="506">
        <f t="shared" si="0"/>
        <v>380</v>
      </c>
      <c r="D22" s="236"/>
      <c r="E22" s="236">
        <f>IFERROR(E11/E21,0)</f>
        <v>0</v>
      </c>
      <c r="F22" s="236">
        <f t="shared" ref="F22:K22" si="4">+F11/F21</f>
        <v>330</v>
      </c>
      <c r="G22" s="236">
        <f t="shared" si="4"/>
        <v>270</v>
      </c>
      <c r="H22" s="236">
        <f t="shared" si="4"/>
        <v>380</v>
      </c>
      <c r="I22" s="236">
        <f t="shared" si="4"/>
        <v>280</v>
      </c>
      <c r="J22" s="236">
        <f t="shared" si="4"/>
        <v>300</v>
      </c>
      <c r="K22" s="236">
        <f t="shared" si="4"/>
        <v>320</v>
      </c>
      <c r="L22" s="238"/>
    </row>
    <row r="23" spans="2:12" x14ac:dyDescent="0.25">
      <c r="B23" s="499" t="s">
        <v>383</v>
      </c>
      <c r="C23" s="256">
        <f t="shared" si="0"/>
        <v>21</v>
      </c>
      <c r="D23" s="231"/>
      <c r="E23" s="231">
        <f>IFERROR(E18/E21,0)</f>
        <v>0</v>
      </c>
      <c r="F23" s="231">
        <f t="shared" ref="F23:K23" si="5">+F18/F21</f>
        <v>17</v>
      </c>
      <c r="G23" s="231">
        <f t="shared" si="5"/>
        <v>16</v>
      </c>
      <c r="H23" s="231">
        <f t="shared" si="5"/>
        <v>21</v>
      </c>
      <c r="I23" s="231">
        <f t="shared" si="5"/>
        <v>17</v>
      </c>
      <c r="J23" s="231">
        <f t="shared" si="5"/>
        <v>18.666666666666668</v>
      </c>
      <c r="K23" s="231">
        <f t="shared" si="5"/>
        <v>20.333333333333332</v>
      </c>
      <c r="L23" s="231"/>
    </row>
    <row r="24" spans="2:12" x14ac:dyDescent="0.25">
      <c r="B24" s="499" t="s">
        <v>384</v>
      </c>
      <c r="C24" s="256">
        <f t="shared" si="0"/>
        <v>2</v>
      </c>
      <c r="D24" s="231"/>
      <c r="E24" s="231">
        <f>+'Enrol Staff &amp; Exp'!G128</f>
        <v>0</v>
      </c>
      <c r="F24" s="231">
        <f>+'Enrol Staff &amp; Exp'!H128</f>
        <v>1</v>
      </c>
      <c r="G24" s="231">
        <f>+'Enrol Staff &amp; Exp'!I128</f>
        <v>1</v>
      </c>
      <c r="H24" s="231">
        <f>+'Enrol Staff &amp; Exp'!J128</f>
        <v>2</v>
      </c>
      <c r="I24" s="231">
        <f>+'Enrol Staff &amp; Exp'!K128</f>
        <v>2</v>
      </c>
      <c r="J24" s="231">
        <f>+'Enrol Staff &amp; Exp'!L128</f>
        <v>2</v>
      </c>
      <c r="K24" s="231">
        <f>+'Enrol Staff &amp; Exp'!M128</f>
        <v>2</v>
      </c>
      <c r="L24" s="231"/>
    </row>
    <row r="25" spans="2:12" x14ac:dyDescent="0.25">
      <c r="B25" s="537" t="s">
        <v>387</v>
      </c>
      <c r="C25" s="506">
        <f t="shared" si="0"/>
        <v>540</v>
      </c>
      <c r="D25" s="236"/>
      <c r="E25" s="236"/>
      <c r="F25" s="236">
        <f t="shared" ref="F25:K25" si="6">+F11/F24</f>
        <v>330</v>
      </c>
      <c r="G25" s="236">
        <f t="shared" si="6"/>
        <v>540</v>
      </c>
      <c r="H25" s="236">
        <f t="shared" si="6"/>
        <v>380</v>
      </c>
      <c r="I25" s="236">
        <f t="shared" si="6"/>
        <v>420</v>
      </c>
      <c r="J25" s="236">
        <f t="shared" si="6"/>
        <v>450</v>
      </c>
      <c r="K25" s="236">
        <f t="shared" si="6"/>
        <v>480</v>
      </c>
      <c r="L25" s="238"/>
    </row>
    <row r="26" spans="2:12" x14ac:dyDescent="0.25">
      <c r="B26" s="499" t="s">
        <v>388</v>
      </c>
      <c r="C26" s="256">
        <f t="shared" si="0"/>
        <v>32</v>
      </c>
      <c r="D26" s="231"/>
      <c r="E26" s="239"/>
      <c r="F26" s="231">
        <f t="shared" ref="F26:K26" si="7">+F18/F24</f>
        <v>17</v>
      </c>
      <c r="G26" s="231">
        <f t="shared" si="7"/>
        <v>32</v>
      </c>
      <c r="H26" s="231">
        <f t="shared" si="7"/>
        <v>21</v>
      </c>
      <c r="I26" s="231">
        <f t="shared" si="7"/>
        <v>25.5</v>
      </c>
      <c r="J26" s="231">
        <f t="shared" si="7"/>
        <v>28</v>
      </c>
      <c r="K26" s="231">
        <f t="shared" si="7"/>
        <v>30.5</v>
      </c>
      <c r="L26" s="239"/>
    </row>
    <row r="27" spans="2:12" x14ac:dyDescent="0.25">
      <c r="B27" s="499" t="s">
        <v>749</v>
      </c>
      <c r="C27" s="769">
        <f>AVERAGE(F27:K27)</f>
        <v>91321.215123999995</v>
      </c>
      <c r="D27" s="425"/>
      <c r="E27" s="425"/>
      <c r="F27" s="425">
        <f>+'Enrol Staff &amp; Exp'!H278/F21</f>
        <v>100000</v>
      </c>
      <c r="G27" s="425">
        <f>+'Enrol Staff &amp; Exp'!I278/G21</f>
        <v>87550</v>
      </c>
      <c r="H27" s="425">
        <f>+'Enrol Staff &amp; Exp'!J278/H21</f>
        <v>90176.5</v>
      </c>
      <c r="I27" s="425">
        <f>+'Enrol Staff &amp; Exp'!K278/I21</f>
        <v>87418.159999999989</v>
      </c>
      <c r="J27" s="425">
        <f>+'Enrol Staff &amp; Exp'!L278/J21</f>
        <v>90040.704800000007</v>
      </c>
      <c r="K27" s="425">
        <f>+'Enrol Staff &amp; Exp'!M278/K21</f>
        <v>92741.925943999973</v>
      </c>
      <c r="L27" s="231"/>
    </row>
    <row r="28" spans="2:12" x14ac:dyDescent="0.25">
      <c r="B28" s="499" t="s">
        <v>748</v>
      </c>
      <c r="C28" s="769">
        <f>AVERAGE(F28:K28)</f>
        <v>46663.736680458336</v>
      </c>
      <c r="D28" s="231"/>
      <c r="E28" s="231"/>
      <c r="F28" s="231">
        <f>+'Enrol Staff &amp; Exp'!H283/F24</f>
        <v>45000</v>
      </c>
      <c r="G28" s="231">
        <f>+'Enrol Staff &amp; Exp'!I283/G24</f>
        <v>46350</v>
      </c>
      <c r="H28" s="231">
        <f>+'Enrol Staff &amp; Exp'!J283/H24</f>
        <v>45088.25</v>
      </c>
      <c r="I28" s="231">
        <f>+'Enrol Staff &amp; Exp'!K283/I24</f>
        <v>46440.897500000006</v>
      </c>
      <c r="J28" s="231">
        <f>+'Enrol Staff &amp; Exp'!L283/J24</f>
        <v>47834.124424999995</v>
      </c>
      <c r="K28" s="231">
        <f>+'Enrol Staff &amp; Exp'!M283/K24</f>
        <v>49269.148157749994</v>
      </c>
      <c r="L28" s="231"/>
    </row>
    <row r="29" spans="2:12" x14ac:dyDescent="0.25">
      <c r="B29" s="499" t="s">
        <v>747</v>
      </c>
      <c r="C29" s="955">
        <f>AVERAGE(F29:K29)</f>
        <v>42804.302776391582</v>
      </c>
      <c r="D29" s="231"/>
      <c r="E29" s="231"/>
      <c r="F29" s="231">
        <f>+'Enrol Staff &amp; Exp'!H297/F15</f>
        <v>42000</v>
      </c>
      <c r="G29" s="231">
        <f>+'Enrol Staff &amp; Exp'!I297/G15</f>
        <v>43476.299999999996</v>
      </c>
      <c r="H29" s="231">
        <f>+'Enrol Staff &amp; Exp'!J297/H15</f>
        <v>45069.684249999998</v>
      </c>
      <c r="I29" s="231">
        <f>+'Enrol Staff &amp; Exp'!K297/I15</f>
        <v>46753.417422000006</v>
      </c>
      <c r="J29" s="231">
        <f>+'Enrol Staff &amp; Exp'!L297/J15</f>
        <v>41116.444699028572</v>
      </c>
      <c r="K29" s="231">
        <f>+'Enrol Staff &amp; Exp'!M297/K15</f>
        <v>38409.970287320946</v>
      </c>
      <c r="L29" s="231"/>
    </row>
    <row r="30" spans="2:12" x14ac:dyDescent="0.25">
      <c r="B30" s="499" t="s">
        <v>746</v>
      </c>
      <c r="C30" s="955">
        <f>AVERAGE(F30:K30)</f>
        <v>28172.295460127523</v>
      </c>
      <c r="D30" s="231"/>
      <c r="E30" s="231"/>
      <c r="F30" s="231">
        <f>+'Enrol Staff &amp; Exp'!H309/F16</f>
        <v>37500</v>
      </c>
      <c r="G30" s="231">
        <f>+'Enrol Staff &amp; Exp'!I309/G16</f>
        <v>28767.9</v>
      </c>
      <c r="H30" s="231">
        <f>+'Enrol Staff &amp; Exp'!J309/H16</f>
        <v>25443.413142857145</v>
      </c>
      <c r="I30" s="231">
        <f>+'Enrol Staff &amp; Exp'!K309/I16</f>
        <v>25016.163453333327</v>
      </c>
      <c r="J30" s="231">
        <f>+'Enrol Staff &amp; Exp'!L309/J16</f>
        <v>25766.648356933332</v>
      </c>
      <c r="K30" s="231">
        <f>+'Enrol Staff &amp; Exp'!M309/K16</f>
        <v>26539.647807641326</v>
      </c>
      <c r="L30" s="231"/>
    </row>
    <row r="31" spans="2:12" x14ac:dyDescent="0.25">
      <c r="B31" s="499" t="s">
        <v>391</v>
      </c>
      <c r="C31" s="769">
        <f>AVERAGE(F31:K31)</f>
        <v>45923.846697422654</v>
      </c>
      <c r="D31" s="231"/>
      <c r="E31" s="231"/>
      <c r="F31" s="231">
        <f>IFERROR('Enrol Staff &amp; Exp'!H418/F17,0)</f>
        <v>42000</v>
      </c>
      <c r="G31" s="231">
        <f>+'Enrol Staff &amp; Exp'!I418/G17</f>
        <v>43571.472000000009</v>
      </c>
      <c r="H31" s="231">
        <f>+'Enrol Staff &amp; Exp'!J418/H17</f>
        <v>45083.458838709666</v>
      </c>
      <c r="I31" s="231">
        <f>+'Enrol Staff &amp; Exp'!K418/I17</f>
        <v>46702.561316756721</v>
      </c>
      <c r="J31" s="231">
        <f>+'Enrol Staff &amp; Exp'!L418/J17</f>
        <v>48269.133580065019</v>
      </c>
      <c r="K31" s="231">
        <f>+'Enrol Staff &amp; Exp'!M418/K17</f>
        <v>49916.454449004494</v>
      </c>
      <c r="L31" s="231"/>
    </row>
    <row r="32" spans="2:12" x14ac:dyDescent="0.25">
      <c r="B32" s="499" t="s">
        <v>395</v>
      </c>
      <c r="C32" s="769">
        <f>SUM(F32:K32)</f>
        <v>359.31603584056575</v>
      </c>
      <c r="D32" s="231"/>
      <c r="E32" s="231"/>
      <c r="F32" s="231">
        <f t="shared" ref="F32:K32" si="8">+F45/F18</f>
        <v>67.941176470588232</v>
      </c>
      <c r="G32" s="231">
        <f t="shared" si="8"/>
        <v>59.0625</v>
      </c>
      <c r="H32" s="231">
        <f t="shared" si="8"/>
        <v>63.333333333333336</v>
      </c>
      <c r="I32" s="231">
        <f t="shared" si="8"/>
        <v>57.647058823529413</v>
      </c>
      <c r="J32" s="231">
        <f t="shared" si="8"/>
        <v>56.25</v>
      </c>
      <c r="K32" s="231">
        <f t="shared" si="8"/>
        <v>55.081967213114751</v>
      </c>
      <c r="L32" s="231"/>
    </row>
    <row r="33" spans="2:12" x14ac:dyDescent="0.25">
      <c r="B33" s="499"/>
      <c r="C33" s="237"/>
      <c r="D33" s="231"/>
      <c r="E33" s="231"/>
      <c r="F33" s="231"/>
      <c r="G33" s="231"/>
      <c r="H33" s="231"/>
      <c r="I33" s="231"/>
      <c r="J33" s="231"/>
      <c r="K33" s="231"/>
      <c r="L33" s="231"/>
    </row>
    <row r="34" spans="2:12" x14ac:dyDescent="0.25">
      <c r="B34" s="499" t="s">
        <v>750</v>
      </c>
      <c r="C34" s="240">
        <f>AVERAGE(F34:K34)</f>
        <v>9181.1997743902612</v>
      </c>
      <c r="D34" s="234"/>
      <c r="E34" s="241"/>
      <c r="F34" s="241">
        <f>IFERROR(F59/F11,0)</f>
        <v>8763.713087384258</v>
      </c>
      <c r="G34" s="241">
        <f>IFERROR(G59/G11,0)</f>
        <v>8978.2854800057867</v>
      </c>
      <c r="H34" s="241">
        <f t="shared" ref="H34:K34" si="9">+H59/H11</f>
        <v>9199.2950444059588</v>
      </c>
      <c r="I34" s="241">
        <f t="shared" si="9"/>
        <v>9426.9348957381389</v>
      </c>
      <c r="J34" s="241">
        <f t="shared" si="9"/>
        <v>9661.4039426102827</v>
      </c>
      <c r="K34" s="241">
        <f t="shared" si="9"/>
        <v>9057.56619619714</v>
      </c>
      <c r="L34" s="241"/>
    </row>
    <row r="35" spans="2:12" x14ac:dyDescent="0.25">
      <c r="B35" s="536" t="s">
        <v>751</v>
      </c>
      <c r="C35" s="550">
        <f>AVERAGE(F35:K35)</f>
        <v>7892.9416575015384</v>
      </c>
      <c r="D35" s="234"/>
      <c r="E35" s="242"/>
      <c r="F35" s="242">
        <f>IFERROR(F75/F11,0)</f>
        <v>7715.854745454546</v>
      </c>
      <c r="G35" s="242">
        <f t="shared" ref="G35:K35" si="10">+G75/G11</f>
        <v>7831.532616787038</v>
      </c>
      <c r="H35" s="242">
        <f t="shared" si="10"/>
        <v>7423.7667602253277</v>
      </c>
      <c r="I35" s="242">
        <f t="shared" si="10"/>
        <v>8199.5946812074471</v>
      </c>
      <c r="J35" s="242">
        <f t="shared" si="10"/>
        <v>8354.5296213341262</v>
      </c>
      <c r="K35" s="242">
        <f t="shared" si="10"/>
        <v>7832.3715200007427</v>
      </c>
      <c r="L35" s="242"/>
    </row>
    <row r="36" spans="2:12" x14ac:dyDescent="0.25">
      <c r="B36" s="540" t="s">
        <v>378</v>
      </c>
      <c r="C36" s="508">
        <f>SUM(F36:K36)</f>
        <v>7729.5487013323373</v>
      </c>
      <c r="D36" s="543"/>
      <c r="E36" s="243"/>
      <c r="F36" s="639">
        <f t="shared" ref="F36:K36" si="11">+F34-F35</f>
        <v>1047.858341929712</v>
      </c>
      <c r="G36" s="639">
        <f t="shared" si="11"/>
        <v>1146.7528632187486</v>
      </c>
      <c r="H36" s="639">
        <f t="shared" si="11"/>
        <v>1775.5282841806311</v>
      </c>
      <c r="I36" s="639">
        <f t="shared" si="11"/>
        <v>1227.3402145306918</v>
      </c>
      <c r="J36" s="639">
        <f t="shared" si="11"/>
        <v>1306.8743212761565</v>
      </c>
      <c r="K36" s="243">
        <f t="shared" si="11"/>
        <v>1225.1946761963973</v>
      </c>
      <c r="L36" s="243"/>
    </row>
    <row r="37" spans="2:12" x14ac:dyDescent="0.25">
      <c r="B37" s="536" t="s">
        <v>394</v>
      </c>
      <c r="C37" s="242">
        <f>MAX(F37:K37)</f>
        <v>50000</v>
      </c>
      <c r="D37" s="231"/>
      <c r="E37" s="242"/>
      <c r="F37" s="242">
        <f>Facilities!H73</f>
        <v>50000</v>
      </c>
      <c r="G37" s="242">
        <f>Facilities!I73</f>
        <v>50000</v>
      </c>
      <c r="H37" s="242">
        <f>Facilities!J73</f>
        <v>50000</v>
      </c>
      <c r="I37" s="242">
        <f>Facilities!K73</f>
        <v>50000</v>
      </c>
      <c r="J37" s="242">
        <f>Facilities!L73</f>
        <v>50000</v>
      </c>
      <c r="K37" s="242">
        <f>Facilities!M73</f>
        <v>50000</v>
      </c>
      <c r="L37" s="242"/>
    </row>
    <row r="38" spans="2:12" x14ac:dyDescent="0.25">
      <c r="B38" s="536" t="s">
        <v>373</v>
      </c>
      <c r="C38" s="252">
        <f>MIN(F38:K38)</f>
        <v>52.083333333333336</v>
      </c>
      <c r="D38" s="231"/>
      <c r="E38" s="242"/>
      <c r="F38" s="242">
        <f>IFERROR(F37/F11,0)</f>
        <v>151.5151515151515</v>
      </c>
      <c r="G38" s="242">
        <f t="shared" ref="G38:K38" si="12">+G37/G11</f>
        <v>92.592592592592595</v>
      </c>
      <c r="H38" s="242">
        <f t="shared" si="12"/>
        <v>65.78947368421052</v>
      </c>
      <c r="I38" s="242">
        <f t="shared" si="12"/>
        <v>59.523809523809526</v>
      </c>
      <c r="J38" s="242">
        <f t="shared" si="12"/>
        <v>55.555555555555557</v>
      </c>
      <c r="K38" s="242">
        <f t="shared" si="12"/>
        <v>52.083333333333336</v>
      </c>
      <c r="L38" s="245"/>
    </row>
    <row r="39" spans="2:12" x14ac:dyDescent="0.25">
      <c r="B39" s="536" t="s">
        <v>374</v>
      </c>
      <c r="C39" s="252">
        <f>MIN(F39:K39)</f>
        <v>48.355899419729205</v>
      </c>
      <c r="D39" s="231"/>
      <c r="E39" s="242"/>
      <c r="F39" s="242">
        <f t="shared" ref="F39:K39" si="13">+F37/F13</f>
        <v>142.45014245014244</v>
      </c>
      <c r="G39" s="242">
        <f t="shared" si="13"/>
        <v>86.505190311418687</v>
      </c>
      <c r="H39" s="242">
        <f t="shared" si="13"/>
        <v>61.652281134401974</v>
      </c>
      <c r="I39" s="242">
        <f t="shared" si="13"/>
        <v>55.370985603543744</v>
      </c>
      <c r="J39" s="242">
        <f t="shared" si="13"/>
        <v>51.59958720330237</v>
      </c>
      <c r="K39" s="242">
        <f t="shared" si="13"/>
        <v>48.355899419729205</v>
      </c>
      <c r="L39" s="245"/>
    </row>
    <row r="40" spans="2:12" x14ac:dyDescent="0.25">
      <c r="B40" s="223"/>
      <c r="C40" s="246"/>
      <c r="D40" s="246"/>
      <c r="E40" s="246"/>
      <c r="F40" s="246"/>
      <c r="G40" s="246"/>
      <c r="H40" s="246"/>
      <c r="I40" s="246"/>
      <c r="J40" s="246"/>
      <c r="K40" s="246"/>
      <c r="L40" s="246"/>
    </row>
    <row r="41" spans="2:12" ht="18.75" x14ac:dyDescent="0.3">
      <c r="B41" s="694" t="s">
        <v>124</v>
      </c>
      <c r="C41" s="248" t="s">
        <v>440</v>
      </c>
      <c r="D41" s="249"/>
      <c r="E41" s="249"/>
      <c r="F41" s="249"/>
      <c r="G41" s="249"/>
      <c r="H41" s="249"/>
      <c r="I41" s="249"/>
      <c r="J41" s="249"/>
      <c r="K41" s="249"/>
      <c r="L41" s="246"/>
    </row>
    <row r="42" spans="2:12" x14ac:dyDescent="0.25">
      <c r="B42" s="217" t="s">
        <v>313</v>
      </c>
      <c r="C42" s="250">
        <f t="shared" ref="C42:C58" si="14">SUM(F42:K42)</f>
        <v>34304318.330137514</v>
      </c>
      <c r="D42" s="251">
        <f t="shared" ref="D42:D59" si="15">+C42/$C$59</f>
        <v>0.83971276908431813</v>
      </c>
      <c r="E42" s="250">
        <f>'Enrol Staff &amp; Exp'!G59</f>
        <v>0</v>
      </c>
      <c r="F42" s="250">
        <f>'Enrol Staff &amp; Exp'!H59</f>
        <v>2390173.4874296761</v>
      </c>
      <c r="G42" s="250">
        <f>'Enrol Staff &amp; Exp'!I59</f>
        <v>4028528.7688132906</v>
      </c>
      <c r="H42" s="250">
        <f>'Enrol Staff &amp; Exp'!J59</f>
        <v>5839874.6670871181</v>
      </c>
      <c r="I42" s="250">
        <f>'Enrol Staff &amp; Exp'!K59</f>
        <v>6648236.2657418093</v>
      </c>
      <c r="J42" s="250">
        <f>'Enrol Staff &amp; Exp'!L59</f>
        <v>7336803.5932650669</v>
      </c>
      <c r="K42" s="250">
        <f>'Enrol Staff &amp; Exp'!M59</f>
        <v>8060701.547800553</v>
      </c>
      <c r="L42" s="250"/>
    </row>
    <row r="43" spans="2:12" x14ac:dyDescent="0.25">
      <c r="B43" s="217" t="s">
        <v>346</v>
      </c>
      <c r="C43" s="252">
        <f t="shared" si="14"/>
        <v>-428803.97912671894</v>
      </c>
      <c r="D43" s="975">
        <f t="shared" si="15"/>
        <v>-1.0496409613553977E-2</v>
      </c>
      <c r="E43" s="252">
        <f>'Enrol Staff &amp; Exp'!G60</f>
        <v>0</v>
      </c>
      <c r="F43" s="252">
        <f>'Enrol Staff &amp; Exp'!H60</f>
        <v>-29877.168592870952</v>
      </c>
      <c r="G43" s="252">
        <f>'Enrol Staff &amp; Exp'!I60</f>
        <v>-50356.609610166139</v>
      </c>
      <c r="H43" s="252">
        <f>'Enrol Staff &amp; Exp'!J60</f>
        <v>-72998.433338588991</v>
      </c>
      <c r="I43" s="252">
        <f>'Enrol Staff &amp; Exp'!K60</f>
        <v>-83102.953321772613</v>
      </c>
      <c r="J43" s="252">
        <f>'Enrol Staff &amp; Exp'!L60</f>
        <v>-91710.044915813342</v>
      </c>
      <c r="K43" s="252">
        <f>'Enrol Staff &amp; Exp'!M60</f>
        <v>-100758.76934750692</v>
      </c>
      <c r="L43" s="252"/>
    </row>
    <row r="44" spans="2:12" x14ac:dyDescent="0.25">
      <c r="B44" s="217" t="s">
        <v>125</v>
      </c>
      <c r="C44" s="252">
        <f t="shared" si="14"/>
        <v>2455110</v>
      </c>
      <c r="D44" s="251">
        <f t="shared" si="15"/>
        <v>6.0097017426969997E-2</v>
      </c>
      <c r="E44" s="252">
        <f>'Enrol Staff &amp; Exp'!G61</f>
        <v>0</v>
      </c>
      <c r="F44" s="252">
        <f>'Enrol Staff &amp; Exp'!H61</f>
        <v>187110</v>
      </c>
      <c r="G44" s="252">
        <f>'Enrol Staff &amp; Exp'!I61</f>
        <v>306180</v>
      </c>
      <c r="H44" s="252">
        <f>'Enrol Staff &amp; Exp'!J61</f>
        <v>430920</v>
      </c>
      <c r="I44" s="252">
        <f>'Enrol Staff &amp; Exp'!K61</f>
        <v>476280.00000000006</v>
      </c>
      <c r="J44" s="252">
        <f>'Enrol Staff &amp; Exp'!L61</f>
        <v>510300</v>
      </c>
      <c r="K44" s="252">
        <f>'Enrol Staff &amp; Exp'!M61</f>
        <v>544320</v>
      </c>
      <c r="L44" s="252"/>
    </row>
    <row r="45" spans="2:12" x14ac:dyDescent="0.25">
      <c r="B45" s="217" t="s">
        <v>354</v>
      </c>
      <c r="C45" s="252">
        <f t="shared" si="14"/>
        <v>15155</v>
      </c>
      <c r="D45" s="251">
        <f t="shared" si="15"/>
        <v>3.7096924337635799E-4</v>
      </c>
      <c r="E45" s="252">
        <f>'Enrol Staff &amp; Exp'!G62</f>
        <v>0</v>
      </c>
      <c r="F45" s="252">
        <f>'Enrol Staff &amp; Exp'!H62</f>
        <v>1155</v>
      </c>
      <c r="G45" s="252">
        <f>'Enrol Staff &amp; Exp'!I62</f>
        <v>1890</v>
      </c>
      <c r="H45" s="252">
        <f>'Enrol Staff &amp; Exp'!J62</f>
        <v>2660</v>
      </c>
      <c r="I45" s="252">
        <f>'Enrol Staff &amp; Exp'!K62</f>
        <v>2940</v>
      </c>
      <c r="J45" s="252">
        <f>'Enrol Staff &amp; Exp'!L62</f>
        <v>3150</v>
      </c>
      <c r="K45" s="252">
        <f>'Enrol Staff &amp; Exp'!M62</f>
        <v>3360</v>
      </c>
      <c r="L45" s="252"/>
    </row>
    <row r="46" spans="2:12" x14ac:dyDescent="0.25">
      <c r="B46" s="217" t="s">
        <v>353</v>
      </c>
      <c r="C46" s="252">
        <f t="shared" si="14"/>
        <v>0</v>
      </c>
      <c r="D46" s="251">
        <f t="shared" si="15"/>
        <v>0</v>
      </c>
      <c r="E46" s="252">
        <f>'Enrol Staff &amp; Exp'!G63</f>
        <v>0</v>
      </c>
      <c r="F46" s="252">
        <f>'Enrol Staff &amp; Exp'!H63</f>
        <v>0</v>
      </c>
      <c r="G46" s="252">
        <f>'Enrol Staff &amp; Exp'!I63</f>
        <v>0</v>
      </c>
      <c r="H46" s="252">
        <f>'Enrol Staff &amp; Exp'!J63</f>
        <v>0</v>
      </c>
      <c r="I46" s="252">
        <f>'Enrol Staff &amp; Exp'!K63</f>
        <v>0</v>
      </c>
      <c r="J46" s="252">
        <f>'Enrol Staff &amp; Exp'!L63</f>
        <v>0</v>
      </c>
      <c r="K46" s="252">
        <f>'Enrol Staff &amp; Exp'!M63</f>
        <v>0</v>
      </c>
      <c r="L46" s="252"/>
    </row>
    <row r="47" spans="2:12" x14ac:dyDescent="0.25">
      <c r="B47" s="217" t="s">
        <v>238</v>
      </c>
      <c r="C47" s="252">
        <f t="shared" si="14"/>
        <v>0</v>
      </c>
      <c r="D47" s="251">
        <f t="shared" si="15"/>
        <v>0</v>
      </c>
      <c r="E47" s="252">
        <f>'Enrol Staff &amp; Exp'!G64</f>
        <v>0</v>
      </c>
      <c r="F47" s="252">
        <f>'Enrol Staff &amp; Exp'!H64</f>
        <v>0</v>
      </c>
      <c r="G47" s="252">
        <f>'Enrol Staff &amp; Exp'!I64</f>
        <v>0</v>
      </c>
      <c r="H47" s="252">
        <f>'Enrol Staff &amp; Exp'!J64</f>
        <v>0</v>
      </c>
      <c r="I47" s="252">
        <f>'Enrol Staff &amp; Exp'!K64</f>
        <v>0</v>
      </c>
      <c r="J47" s="252">
        <f>'Enrol Staff &amp; Exp'!L64</f>
        <v>0</v>
      </c>
      <c r="K47" s="252">
        <f>'Enrol Staff &amp; Exp'!M64</f>
        <v>0</v>
      </c>
      <c r="L47" s="252"/>
    </row>
    <row r="48" spans="2:12" x14ac:dyDescent="0.25">
      <c r="B48" s="217" t="s">
        <v>6</v>
      </c>
      <c r="C48" s="252">
        <f t="shared" si="14"/>
        <v>1893942</v>
      </c>
      <c r="D48" s="251">
        <f t="shared" si="15"/>
        <v>4.6360556300805426E-2</v>
      </c>
      <c r="E48" s="252">
        <f>'Enrol Staff &amp; Exp'!G65</f>
        <v>0</v>
      </c>
      <c r="F48" s="252">
        <f>'Enrol Staff &amp; Exp'!H65</f>
        <v>144342</v>
      </c>
      <c r="G48" s="252">
        <f>'Enrol Staff &amp; Exp'!I65</f>
        <v>236196</v>
      </c>
      <c r="H48" s="252">
        <f>'Enrol Staff &amp; Exp'!J65</f>
        <v>332424</v>
      </c>
      <c r="I48" s="252">
        <f>'Enrol Staff &amp; Exp'!K65</f>
        <v>367416.00000000006</v>
      </c>
      <c r="J48" s="252">
        <f>'Enrol Staff &amp; Exp'!L65</f>
        <v>393660</v>
      </c>
      <c r="K48" s="252">
        <f>'Enrol Staff &amp; Exp'!M65</f>
        <v>419904</v>
      </c>
      <c r="L48" s="252"/>
    </row>
    <row r="49" spans="2:12" x14ac:dyDescent="0.25">
      <c r="B49" s="217" t="s">
        <v>228</v>
      </c>
      <c r="C49" s="252">
        <f t="shared" si="14"/>
        <v>642572</v>
      </c>
      <c r="D49" s="251">
        <f t="shared" si="15"/>
        <v>1.5729095919157578E-2</v>
      </c>
      <c r="E49" s="252">
        <f>'Enrol Staff &amp; Exp'!G66</f>
        <v>0</v>
      </c>
      <c r="F49" s="252">
        <f>'Enrol Staff &amp; Exp'!H66</f>
        <v>48972</v>
      </c>
      <c r="G49" s="252">
        <f>'Enrol Staff &amp; Exp'!I66</f>
        <v>80136.000000000015</v>
      </c>
      <c r="H49" s="252">
        <f>'Enrol Staff &amp; Exp'!J66</f>
        <v>112784</v>
      </c>
      <c r="I49" s="252">
        <f>'Enrol Staff &amp; Exp'!K66</f>
        <v>124656.00000000001</v>
      </c>
      <c r="J49" s="252">
        <f>'Enrol Staff &amp; Exp'!L66</f>
        <v>133560.00000000003</v>
      </c>
      <c r="K49" s="252">
        <f>'Enrol Staff &amp; Exp'!M66</f>
        <v>142464</v>
      </c>
      <c r="L49" s="252"/>
    </row>
    <row r="50" spans="2:12" x14ac:dyDescent="0.25">
      <c r="B50" s="217" t="s">
        <v>309</v>
      </c>
      <c r="C50" s="252">
        <f>SUM(F50:K50)</f>
        <v>1970150</v>
      </c>
      <c r="D50" s="251">
        <f t="shared" si="15"/>
        <v>4.8226001638926541E-2</v>
      </c>
      <c r="E50" s="252">
        <f>'Enrol Staff &amp; Exp'!G67</f>
        <v>0</v>
      </c>
      <c r="F50" s="252">
        <f>'Enrol Staff &amp; Exp'!H67</f>
        <v>150150</v>
      </c>
      <c r="G50" s="252">
        <f>'Enrol Staff &amp; Exp'!I67</f>
        <v>245700</v>
      </c>
      <c r="H50" s="252">
        <f>'Enrol Staff &amp; Exp'!J67</f>
        <v>345800</v>
      </c>
      <c r="I50" s="252">
        <f>'Enrol Staff &amp; Exp'!K67</f>
        <v>382200</v>
      </c>
      <c r="J50" s="252">
        <f>'Enrol Staff &amp; Exp'!L67</f>
        <v>409500</v>
      </c>
      <c r="K50" s="252">
        <f>'Enrol Staff &amp; Exp'!M67</f>
        <v>436800.00000000006</v>
      </c>
      <c r="L50" s="252"/>
    </row>
    <row r="51" spans="2:12" x14ac:dyDescent="0.25">
      <c r="B51" s="221" t="s">
        <v>128</v>
      </c>
      <c r="C51" s="252">
        <f t="shared" si="14"/>
        <v>0</v>
      </c>
      <c r="D51" s="251">
        <f t="shared" si="15"/>
        <v>0</v>
      </c>
      <c r="E51" s="252">
        <f>'Enrol Staff &amp; Exp'!G1464</f>
        <v>0</v>
      </c>
      <c r="F51" s="252">
        <f>'Enrol Staff &amp; Exp'!H1464</f>
        <v>0</v>
      </c>
      <c r="G51" s="252">
        <f>'Enrol Staff &amp; Exp'!I1464</f>
        <v>0</v>
      </c>
      <c r="H51" s="252">
        <f>'Enrol Staff &amp; Exp'!J1464</f>
        <v>0</v>
      </c>
      <c r="I51" s="252">
        <f>'Enrol Staff &amp; Exp'!K1464</f>
        <v>0</v>
      </c>
      <c r="J51" s="252">
        <f>'Enrol Staff &amp; Exp'!L1464</f>
        <v>0</v>
      </c>
      <c r="K51" s="252">
        <f>'Enrol Staff &amp; Exp'!M1464</f>
        <v>0</v>
      </c>
      <c r="L51" s="252"/>
    </row>
    <row r="52" spans="2:12" x14ac:dyDescent="0.25">
      <c r="B52" s="217" t="s">
        <v>311</v>
      </c>
      <c r="C52" s="252">
        <f t="shared" si="14"/>
        <v>0</v>
      </c>
      <c r="D52" s="251">
        <f t="shared" si="15"/>
        <v>0</v>
      </c>
      <c r="E52" s="252">
        <f>'Enrol Staff &amp; Exp'!G68</f>
        <v>0</v>
      </c>
      <c r="F52" s="252">
        <f>'Enrol Staff &amp; Exp'!H68</f>
        <v>0</v>
      </c>
      <c r="G52" s="252">
        <f>'Enrol Staff &amp; Exp'!I68</f>
        <v>0</v>
      </c>
      <c r="H52" s="252">
        <f>'Enrol Staff &amp; Exp'!J68</f>
        <v>0</v>
      </c>
      <c r="I52" s="252">
        <f>'Enrol Staff &amp; Exp'!K68</f>
        <v>0</v>
      </c>
      <c r="J52" s="252">
        <f>'Enrol Staff &amp; Exp'!L68</f>
        <v>0</v>
      </c>
      <c r="K52" s="252">
        <f>'Enrol Staff &amp; Exp'!M68</f>
        <v>0</v>
      </c>
      <c r="L52" s="252"/>
    </row>
    <row r="53" spans="2:12" x14ac:dyDescent="0.25">
      <c r="B53" s="217" t="s">
        <v>312</v>
      </c>
      <c r="C53" s="252">
        <f t="shared" si="14"/>
        <v>0</v>
      </c>
      <c r="D53" s="251">
        <f t="shared" si="15"/>
        <v>0</v>
      </c>
      <c r="E53" s="252">
        <f>'Enrol Staff &amp; Exp'!G69</f>
        <v>0</v>
      </c>
      <c r="F53" s="252">
        <f>'Enrol Staff &amp; Exp'!H69</f>
        <v>0</v>
      </c>
      <c r="G53" s="252">
        <f>'Enrol Staff &amp; Exp'!I69</f>
        <v>0</v>
      </c>
      <c r="H53" s="252">
        <f>'Enrol Staff &amp; Exp'!J69</f>
        <v>0</v>
      </c>
      <c r="I53" s="252">
        <f>'Enrol Staff &amp; Exp'!K69</f>
        <v>0</v>
      </c>
      <c r="J53" s="252">
        <f>'Enrol Staff &amp; Exp'!L69</f>
        <v>0</v>
      </c>
      <c r="K53" s="252">
        <f>'Enrol Staff &amp; Exp'!M69</f>
        <v>0</v>
      </c>
      <c r="L53" s="252"/>
    </row>
    <row r="54" spans="2:12" x14ac:dyDescent="0.25">
      <c r="B54" s="217" t="s">
        <v>13</v>
      </c>
      <c r="C54" s="252">
        <f t="shared" si="14"/>
        <v>0</v>
      </c>
      <c r="D54" s="251">
        <f t="shared" si="15"/>
        <v>0</v>
      </c>
      <c r="E54" s="252">
        <f>'Enrol Staff &amp; Exp'!G71</f>
        <v>0</v>
      </c>
      <c r="F54" s="252">
        <f>'Enrol Staff &amp; Exp'!H71</f>
        <v>0</v>
      </c>
      <c r="G54" s="252">
        <f>'Enrol Staff &amp; Exp'!I71</f>
        <v>0</v>
      </c>
      <c r="H54" s="252">
        <f>'Enrol Staff &amp; Exp'!J71</f>
        <v>0</v>
      </c>
      <c r="I54" s="252">
        <f>'Enrol Staff &amp; Exp'!K71</f>
        <v>0</v>
      </c>
      <c r="J54" s="252">
        <f>'Enrol Staff &amp; Exp'!L71</f>
        <v>0</v>
      </c>
      <c r="K54" s="252">
        <f>'Enrol Staff &amp; Exp'!M71</f>
        <v>0</v>
      </c>
      <c r="L54" s="252"/>
    </row>
    <row r="55" spans="2:12" x14ac:dyDescent="0.25">
      <c r="B55" s="217" t="s">
        <v>11</v>
      </c>
      <c r="C55" s="252">
        <f t="shared" si="14"/>
        <v>0</v>
      </c>
      <c r="D55" s="251">
        <f t="shared" si="15"/>
        <v>0</v>
      </c>
      <c r="E55" s="252">
        <f>'Enrol Staff &amp; Exp'!G72</f>
        <v>0</v>
      </c>
      <c r="F55" s="252">
        <f>'Enrol Staff &amp; Exp'!H72</f>
        <v>0</v>
      </c>
      <c r="G55" s="252">
        <f>'Enrol Staff &amp; Exp'!I72</f>
        <v>0</v>
      </c>
      <c r="H55" s="252">
        <f>'Enrol Staff &amp; Exp'!J72</f>
        <v>0</v>
      </c>
      <c r="I55" s="252">
        <f>'Enrol Staff &amp; Exp'!K72</f>
        <v>0</v>
      </c>
      <c r="J55" s="252">
        <f>'Enrol Staff &amp; Exp'!L72</f>
        <v>0</v>
      </c>
      <c r="K55" s="252">
        <f>'Enrol Staff &amp; Exp'!M72</f>
        <v>0</v>
      </c>
      <c r="L55" s="252"/>
    </row>
    <row r="56" spans="2:12" x14ac:dyDescent="0.25">
      <c r="B56" s="217" t="s">
        <v>74</v>
      </c>
      <c r="C56" s="252">
        <f t="shared" si="14"/>
        <v>0</v>
      </c>
      <c r="D56" s="251">
        <f t="shared" si="15"/>
        <v>0</v>
      </c>
      <c r="E56" s="252">
        <f>'Enrol Staff &amp; Exp'!G70</f>
        <v>0</v>
      </c>
      <c r="F56" s="252">
        <f>'Enrol Staff &amp; Exp'!H70</f>
        <v>0</v>
      </c>
      <c r="G56" s="252">
        <f>'Enrol Staff &amp; Exp'!I70</f>
        <v>0</v>
      </c>
      <c r="H56" s="252">
        <f>'Enrol Staff &amp; Exp'!J70</f>
        <v>0</v>
      </c>
      <c r="I56" s="252">
        <f>'Enrol Staff &amp; Exp'!K70</f>
        <v>0</v>
      </c>
      <c r="J56" s="252">
        <f>'Enrol Staff &amp; Exp'!L70</f>
        <v>0</v>
      </c>
      <c r="K56" s="252">
        <f>'Enrol Staff &amp; Exp'!M70</f>
        <v>0</v>
      </c>
      <c r="L56" s="252"/>
    </row>
    <row r="57" spans="2:12" x14ac:dyDescent="0.25">
      <c r="B57" s="217" t="s">
        <v>75</v>
      </c>
      <c r="C57" s="252">
        <f t="shared" si="14"/>
        <v>0</v>
      </c>
      <c r="D57" s="251">
        <f t="shared" si="15"/>
        <v>0</v>
      </c>
      <c r="E57" s="252">
        <f>'Enrol Staff &amp; Exp'!G73</f>
        <v>0</v>
      </c>
      <c r="F57" s="252">
        <f>'Enrol Staff &amp; Exp'!H73</f>
        <v>0</v>
      </c>
      <c r="G57" s="252">
        <f>'Enrol Staff &amp; Exp'!I73</f>
        <v>0</v>
      </c>
      <c r="H57" s="252">
        <f>'Enrol Staff &amp; Exp'!J73</f>
        <v>0</v>
      </c>
      <c r="I57" s="252">
        <f>'Enrol Staff &amp; Exp'!K73</f>
        <v>0</v>
      </c>
      <c r="J57" s="252">
        <f>'Enrol Staff &amp; Exp'!L73</f>
        <v>0</v>
      </c>
      <c r="K57" s="252">
        <f>'Enrol Staff &amp; Exp'!M73</f>
        <v>0</v>
      </c>
      <c r="L57" s="252"/>
    </row>
    <row r="58" spans="2:12" x14ac:dyDescent="0.25">
      <c r="B58" s="217" t="s">
        <v>141</v>
      </c>
      <c r="C58" s="252">
        <f t="shared" si="14"/>
        <v>0</v>
      </c>
      <c r="D58" s="251">
        <f t="shared" si="15"/>
        <v>0</v>
      </c>
      <c r="E58" s="252">
        <f>'Enrol Staff &amp; Exp'!G74</f>
        <v>52500</v>
      </c>
      <c r="F58" s="252">
        <f>'Enrol Staff &amp; Exp'!H74</f>
        <v>0</v>
      </c>
      <c r="G58" s="252">
        <f>'Enrol Staff &amp; Exp'!I74</f>
        <v>0</v>
      </c>
      <c r="H58" s="252">
        <f>'Enrol Staff &amp; Exp'!J74</f>
        <v>0</v>
      </c>
      <c r="I58" s="252">
        <f>'Enrol Staff &amp; Exp'!K74</f>
        <v>0</v>
      </c>
      <c r="J58" s="252">
        <f>'Enrol Staff &amp; Exp'!L74</f>
        <v>0</v>
      </c>
      <c r="K58" s="252">
        <f>'Enrol Staff &amp; Exp'!M74</f>
        <v>0</v>
      </c>
      <c r="L58" s="252"/>
    </row>
    <row r="59" spans="2:12" x14ac:dyDescent="0.25">
      <c r="B59" s="500" t="s">
        <v>64</v>
      </c>
      <c r="C59" s="202">
        <f>C42+C43+C50+C44+C45+C46+C47+C48+C49+C51+C52+C53+C54+C55+C56+C57+C58</f>
        <v>40852443.351010792</v>
      </c>
      <c r="D59" s="203">
        <f t="shared" si="15"/>
        <v>1</v>
      </c>
      <c r="E59" s="976">
        <f t="shared" ref="E59:J59" si="16">E42+E43+E50+E44+E45+E46+E47+E48+E49+E51+E52+E53+E54+E55+E56+E57+E58</f>
        <v>52500</v>
      </c>
      <c r="F59" s="976">
        <f t="shared" si="16"/>
        <v>2892025.3188368049</v>
      </c>
      <c r="G59" s="976">
        <f t="shared" si="16"/>
        <v>4848274.1592031252</v>
      </c>
      <c r="H59" s="976">
        <f t="shared" si="16"/>
        <v>6991464.2337485291</v>
      </c>
      <c r="I59" s="976">
        <f t="shared" si="16"/>
        <v>7918625.3124200366</v>
      </c>
      <c r="J59" s="976">
        <f t="shared" si="16"/>
        <v>8695263.5483492538</v>
      </c>
      <c r="K59" s="976">
        <f>+J59</f>
        <v>8695263.5483492538</v>
      </c>
      <c r="L59" s="202"/>
    </row>
    <row r="60" spans="2:12" x14ac:dyDescent="0.25">
      <c r="C60" s="253"/>
      <c r="D60" s="253"/>
      <c r="E60" s="253"/>
      <c r="F60" s="253"/>
      <c r="G60" s="253"/>
      <c r="H60" s="253"/>
      <c r="I60" s="253"/>
      <c r="J60" s="253"/>
      <c r="K60" s="253"/>
      <c r="L60" s="253"/>
    </row>
    <row r="61" spans="2:12" x14ac:dyDescent="0.25">
      <c r="B61" s="690" t="s">
        <v>126</v>
      </c>
      <c r="C61" s="691" t="s">
        <v>440</v>
      </c>
      <c r="D61" s="692"/>
      <c r="E61" s="693" t="str">
        <f>E7</f>
        <v>SY 0/Incubation</v>
      </c>
      <c r="F61" s="693" t="str">
        <f t="shared" ref="F61:K61" si="17">F7</f>
        <v>SY 1</v>
      </c>
      <c r="G61" s="693" t="str">
        <f t="shared" si="17"/>
        <v>SY 2</v>
      </c>
      <c r="H61" s="693" t="str">
        <f t="shared" si="17"/>
        <v>SY 3</v>
      </c>
      <c r="I61" s="693" t="str">
        <f t="shared" si="17"/>
        <v>SY 4</v>
      </c>
      <c r="J61" s="693" t="str">
        <f t="shared" si="17"/>
        <v>SY 5</v>
      </c>
      <c r="K61" s="693" t="str">
        <f t="shared" si="17"/>
        <v>SY 6</v>
      </c>
      <c r="L61" s="253"/>
    </row>
    <row r="62" spans="2:12" x14ac:dyDescent="0.25">
      <c r="B62" s="217" t="s">
        <v>93</v>
      </c>
      <c r="C62" s="255">
        <f t="shared" ref="C62:C67" si="18">SUM(E62:K62)</f>
        <v>20792591.309721611</v>
      </c>
      <c r="D62" s="251">
        <f t="shared" ref="D62:D77" si="19">+C62/$C$59</f>
        <v>0.50896812048837103</v>
      </c>
      <c r="E62" s="550">
        <f>'Enrol Staff &amp; Exp'!G1588</f>
        <v>0</v>
      </c>
      <c r="F62" s="550">
        <f>'Enrol Staff &amp; Exp'!H1588</f>
        <v>1306853.0660000001</v>
      </c>
      <c r="G62" s="550">
        <f>'Enrol Staff &amp; Exp'!I1588</f>
        <v>2388695.6130650002</v>
      </c>
      <c r="H62" s="550">
        <f>'Enrol Staff &amp; Exp'!J1588</f>
        <v>3212374.7377712494</v>
      </c>
      <c r="I62" s="550">
        <f>'Enrol Staff &amp; Exp'!K1588</f>
        <v>4120165.0322142565</v>
      </c>
      <c r="J62" s="550">
        <f>'Enrol Staff &amp; Exp'!L1588</f>
        <v>4647568.4842007132</v>
      </c>
      <c r="K62" s="550">
        <f>'Enrol Staff &amp; Exp'!M1588</f>
        <v>5116934.3764703898</v>
      </c>
      <c r="L62" s="255"/>
    </row>
    <row r="63" spans="2:12" x14ac:dyDescent="0.25">
      <c r="B63" s="217" t="s">
        <v>587</v>
      </c>
      <c r="C63" s="242">
        <f t="shared" si="18"/>
        <v>2001000</v>
      </c>
      <c r="D63" s="586">
        <f t="shared" si="19"/>
        <v>4.8981158429303354E-2</v>
      </c>
      <c r="E63" s="242">
        <f>'EMO-CMO'!E30</f>
        <v>0</v>
      </c>
      <c r="F63" s="242">
        <f>'EMO-CMO'!F30</f>
        <v>148500</v>
      </c>
      <c r="G63" s="242">
        <f>'EMO-CMO'!G30</f>
        <v>255500</v>
      </c>
      <c r="H63" s="242">
        <f>'EMO-CMO'!H30</f>
        <v>362000</v>
      </c>
      <c r="I63" s="242">
        <f>'EMO-CMO'!I30</f>
        <v>398000</v>
      </c>
      <c r="J63" s="242">
        <f>'EMO-CMO'!J30</f>
        <v>405000</v>
      </c>
      <c r="K63" s="242">
        <f>'EMO-CMO'!K30</f>
        <v>432000</v>
      </c>
      <c r="L63" s="255"/>
    </row>
    <row r="64" spans="2:12" x14ac:dyDescent="0.25">
      <c r="B64" s="217" t="s">
        <v>72</v>
      </c>
      <c r="C64" s="242">
        <f t="shared" si="18"/>
        <v>4594417.8499999996</v>
      </c>
      <c r="D64" s="587">
        <f>+C64/$C$59</f>
        <v>0.11246372243941492</v>
      </c>
      <c r="E64" s="242">
        <f>'Enrol Staff &amp; Exp'!G1437</f>
        <v>0</v>
      </c>
      <c r="F64" s="242">
        <f>'Enrol Staff &amp; Exp'!H1437</f>
        <v>382599</v>
      </c>
      <c r="G64" s="242">
        <f>'Enrol Staff &amp; Exp'!I1437</f>
        <v>587492</v>
      </c>
      <c r="H64" s="242">
        <f>'Enrol Staff &amp; Exp'!J1437</f>
        <v>794248</v>
      </c>
      <c r="I64" s="242">
        <f>'Enrol Staff &amp; Exp'!K1437</f>
        <v>883054.5</v>
      </c>
      <c r="J64" s="242">
        <f>'Enrol Staff &amp; Exp'!L1437</f>
        <v>944108.17500000005</v>
      </c>
      <c r="K64" s="242">
        <f>'Enrol Staff &amp; Exp'!M1437</f>
        <v>1002916.175</v>
      </c>
      <c r="L64" s="252"/>
    </row>
    <row r="65" spans="2:16" x14ac:dyDescent="0.25">
      <c r="B65" s="217" t="s">
        <v>546</v>
      </c>
      <c r="C65" s="406">
        <f t="shared" si="18"/>
        <v>1094320</v>
      </c>
      <c r="D65" s="586">
        <f>+C65/$C$59</f>
        <v>2.6787137077638804E-2</v>
      </c>
      <c r="E65" s="406">
        <f>'FFE&amp;T'!G55</f>
        <v>0</v>
      </c>
      <c r="F65" s="406">
        <f>'FFE&amp;T'!H55</f>
        <v>92320</v>
      </c>
      <c r="G65" s="406">
        <f>'FFE&amp;T'!I55</f>
        <v>157160</v>
      </c>
      <c r="H65" s="406">
        <f>'FFE&amp;T'!J55</f>
        <v>209040</v>
      </c>
      <c r="I65" s="406">
        <f>'FFE&amp;T'!K55</f>
        <v>252360</v>
      </c>
      <c r="J65" s="406">
        <f>'FFE&amp;T'!L55</f>
        <v>215600</v>
      </c>
      <c r="K65" s="406">
        <f>'FFE&amp;T'!M55</f>
        <v>167840</v>
      </c>
      <c r="L65" s="256"/>
    </row>
    <row r="66" spans="2:16" x14ac:dyDescent="0.25">
      <c r="B66" s="217" t="s">
        <v>92</v>
      </c>
      <c r="C66" s="406">
        <f t="shared" si="18"/>
        <v>6260940</v>
      </c>
      <c r="D66" s="586">
        <f>+C66/$C$59</f>
        <v>0.15325741831902176</v>
      </c>
      <c r="E66" s="406">
        <f>Facilities!G68</f>
        <v>0</v>
      </c>
      <c r="F66" s="406">
        <f>Facilities!H68</f>
        <v>585960</v>
      </c>
      <c r="G66" s="406">
        <f>Facilities!I68</f>
        <v>810180</v>
      </c>
      <c r="H66" s="406">
        <f>Facilities!J68</f>
        <v>1034400</v>
      </c>
      <c r="I66" s="406">
        <f>Facilities!K68</f>
        <v>1204080</v>
      </c>
      <c r="J66" s="406">
        <f>Facilities!L68</f>
        <v>1276800</v>
      </c>
      <c r="K66" s="406">
        <f>Facilities!M68</f>
        <v>1349520</v>
      </c>
      <c r="L66" s="256"/>
    </row>
    <row r="67" spans="2:16" x14ac:dyDescent="0.25">
      <c r="B67" s="217" t="s">
        <v>538</v>
      </c>
      <c r="C67" s="242">
        <f t="shared" si="18"/>
        <v>26250</v>
      </c>
      <c r="D67" s="586">
        <f t="shared" si="19"/>
        <v>6.4255642617152078E-4</v>
      </c>
      <c r="E67" s="242">
        <f>Marketing!H44</f>
        <v>26250</v>
      </c>
      <c r="F67" s="242">
        <f>Marketing!I44</f>
        <v>0</v>
      </c>
      <c r="G67" s="242">
        <f>Marketing!J44</f>
        <v>0</v>
      </c>
      <c r="H67" s="242">
        <f>Marketing!K44</f>
        <v>0</v>
      </c>
      <c r="I67" s="242">
        <f>Marketing!L44</f>
        <v>0</v>
      </c>
      <c r="J67" s="242">
        <f>Marketing!M44</f>
        <v>0</v>
      </c>
      <c r="K67" s="242">
        <f>Marketing!N44</f>
        <v>0</v>
      </c>
      <c r="L67" s="255"/>
    </row>
    <row r="68" spans="2:16" x14ac:dyDescent="0.25">
      <c r="B68" s="217" t="s">
        <v>128</v>
      </c>
      <c r="C68" s="406">
        <f>SUM(E68:K68)</f>
        <v>0</v>
      </c>
      <c r="D68" s="586">
        <f t="shared" si="19"/>
        <v>0</v>
      </c>
      <c r="E68" s="406">
        <f>'Enrol Staff &amp; Exp'!G1464</f>
        <v>0</v>
      </c>
      <c r="F68" s="406">
        <f>'Enrol Staff &amp; Exp'!H1464</f>
        <v>0</v>
      </c>
      <c r="G68" s="406">
        <f>'Enrol Staff &amp; Exp'!I1464</f>
        <v>0</v>
      </c>
      <c r="H68" s="406">
        <f>'Enrol Staff &amp; Exp'!J1464</f>
        <v>0</v>
      </c>
      <c r="I68" s="406">
        <f>'Enrol Staff &amp; Exp'!K1464</f>
        <v>0</v>
      </c>
      <c r="J68" s="406">
        <f>'Enrol Staff &amp; Exp'!L1464</f>
        <v>0</v>
      </c>
      <c r="K68" s="406">
        <f>+J68</f>
        <v>0</v>
      </c>
      <c r="L68" s="256"/>
    </row>
    <row r="69" spans="2:16" x14ac:dyDescent="0.25">
      <c r="B69" s="217" t="s">
        <v>73</v>
      </c>
      <c r="C69" s="406">
        <f>SUM(E69:K69)</f>
        <v>0</v>
      </c>
      <c r="D69" s="586">
        <f t="shared" si="19"/>
        <v>0</v>
      </c>
      <c r="E69" s="406">
        <f>'Enrol Staff &amp; Exp'!G1581</f>
        <v>0</v>
      </c>
      <c r="F69" s="406">
        <f>'Enrol Staff &amp; Exp'!H1581</f>
        <v>0</v>
      </c>
      <c r="G69" s="406">
        <f>'Enrol Staff &amp; Exp'!I1581</f>
        <v>0</v>
      </c>
      <c r="H69" s="406">
        <f>'Enrol Staff &amp; Exp'!J1581</f>
        <v>0</v>
      </c>
      <c r="I69" s="406">
        <f>'Enrol Staff &amp; Exp'!K1581</f>
        <v>0</v>
      </c>
      <c r="J69" s="406">
        <f>'Enrol Staff &amp; Exp'!L1581</f>
        <v>0</v>
      </c>
      <c r="K69" s="406">
        <f>+J69</f>
        <v>0</v>
      </c>
      <c r="L69" s="256"/>
    </row>
    <row r="70" spans="2:16" x14ac:dyDescent="0.25">
      <c r="B70" s="217" t="s">
        <v>540</v>
      </c>
      <c r="C70" s="406">
        <f>SUM(E70:K70)</f>
        <v>180000</v>
      </c>
      <c r="D70" s="586">
        <f t="shared" si="19"/>
        <v>4.406101208033285E-3</v>
      </c>
      <c r="E70" s="406">
        <f>Ins!K59</f>
        <v>0</v>
      </c>
      <c r="F70" s="406">
        <f>Ins!L59</f>
        <v>30000</v>
      </c>
      <c r="G70" s="406">
        <f>Ins!M59</f>
        <v>30000</v>
      </c>
      <c r="H70" s="406">
        <f>Ins!N59</f>
        <v>30000</v>
      </c>
      <c r="I70" s="406">
        <f>Ins!O59</f>
        <v>30000</v>
      </c>
      <c r="J70" s="406">
        <f>Ins!P59</f>
        <v>30000</v>
      </c>
      <c r="K70" s="406">
        <f>Ins!Q59</f>
        <v>30000</v>
      </c>
      <c r="L70" s="256"/>
    </row>
    <row r="71" spans="2:16" hidden="1" x14ac:dyDescent="0.25">
      <c r="B71" s="217" t="s">
        <v>494</v>
      </c>
      <c r="C71" s="853"/>
      <c r="D71" s="973"/>
      <c r="E71" s="853"/>
      <c r="F71" s="853"/>
      <c r="G71" s="853"/>
      <c r="H71" s="853"/>
      <c r="I71" s="853"/>
      <c r="J71" s="853"/>
      <c r="K71" s="853"/>
      <c r="L71" s="256"/>
    </row>
    <row r="72" spans="2:16" hidden="1" x14ac:dyDescent="0.25">
      <c r="B72" s="217" t="s">
        <v>493</v>
      </c>
      <c r="C72" s="853"/>
      <c r="D72" s="973"/>
      <c r="E72" s="853"/>
      <c r="F72" s="853"/>
      <c r="G72" s="853"/>
      <c r="H72" s="853"/>
      <c r="I72" s="853"/>
      <c r="J72" s="853"/>
      <c r="K72" s="853"/>
      <c r="L72" s="256"/>
    </row>
    <row r="73" spans="2:16" x14ac:dyDescent="0.25">
      <c r="B73" s="217" t="s">
        <v>768</v>
      </c>
      <c r="C73" s="406">
        <f>SUM(E73:K73)</f>
        <v>26250</v>
      </c>
      <c r="D73" s="586">
        <f>+C73/$C$59</f>
        <v>6.4255642617152078E-4</v>
      </c>
      <c r="E73" s="406">
        <f>+Incubation!E43</f>
        <v>26250</v>
      </c>
      <c r="F73" s="406"/>
      <c r="G73" s="406"/>
      <c r="H73" s="406"/>
      <c r="I73" s="406"/>
      <c r="J73" s="406"/>
      <c r="K73" s="406"/>
      <c r="L73" s="256"/>
    </row>
    <row r="74" spans="2:16" x14ac:dyDescent="0.25">
      <c r="B74" s="217" t="s">
        <v>767</v>
      </c>
      <c r="C74" s="256"/>
      <c r="D74" s="257"/>
      <c r="E74" s="256"/>
      <c r="F74" s="256"/>
      <c r="G74" s="256"/>
      <c r="H74" s="256"/>
      <c r="I74" s="256"/>
      <c r="J74" s="256"/>
      <c r="K74" s="256"/>
      <c r="L74" s="256"/>
      <c r="M74" s="256"/>
    </row>
    <row r="75" spans="2:16" x14ac:dyDescent="0.25">
      <c r="B75" s="223" t="s">
        <v>63</v>
      </c>
      <c r="C75" s="205">
        <f>SUM(C62:C74)</f>
        <v>34975769.159721613</v>
      </c>
      <c r="D75" s="203">
        <f t="shared" si="19"/>
        <v>0.85614877081412621</v>
      </c>
      <c r="E75" s="205">
        <f t="shared" ref="E75:J75" si="20">SUM(E62:E74)</f>
        <v>52500</v>
      </c>
      <c r="F75" s="205">
        <f t="shared" si="20"/>
        <v>2546232.0660000001</v>
      </c>
      <c r="G75" s="205">
        <f t="shared" si="20"/>
        <v>4229027.6130650006</v>
      </c>
      <c r="H75" s="205">
        <f t="shared" si="20"/>
        <v>5642062.7377712494</v>
      </c>
      <c r="I75" s="205">
        <f t="shared" si="20"/>
        <v>6887659.532214256</v>
      </c>
      <c r="J75" s="205">
        <f t="shared" si="20"/>
        <v>7519076.659200713</v>
      </c>
      <c r="K75" s="205">
        <f>+J75</f>
        <v>7519076.659200713</v>
      </c>
      <c r="L75" s="205"/>
    </row>
    <row r="76" spans="2:16" ht="15.75" thickBot="1" x14ac:dyDescent="0.3">
      <c r="B76" s="223"/>
      <c r="C76" s="206"/>
      <c r="D76" s="207"/>
      <c r="E76" s="206"/>
      <c r="F76" s="206"/>
      <c r="G76" s="206"/>
      <c r="H76" s="206"/>
      <c r="I76" s="206"/>
      <c r="J76" s="206"/>
      <c r="K76" s="206"/>
      <c r="L76" s="206"/>
    </row>
    <row r="77" spans="2:16" ht="15.75" thickBot="1" x14ac:dyDescent="0.3">
      <c r="B77" s="258" t="s">
        <v>65</v>
      </c>
      <c r="C77" s="498">
        <f>C59-C75</f>
        <v>5876674.191289179</v>
      </c>
      <c r="D77" s="209">
        <f t="shared" si="19"/>
        <v>0.14385122918587379</v>
      </c>
      <c r="E77" s="498">
        <f t="shared" ref="E77:J77" si="21">E59-E75</f>
        <v>0</v>
      </c>
      <c r="F77" s="498">
        <f t="shared" si="21"/>
        <v>345793.25283680484</v>
      </c>
      <c r="G77" s="498">
        <f t="shared" si="21"/>
        <v>619246.54613812454</v>
      </c>
      <c r="H77" s="498">
        <f t="shared" si="21"/>
        <v>1349401.4959772797</v>
      </c>
      <c r="I77" s="498">
        <f t="shared" si="21"/>
        <v>1030965.7802057806</v>
      </c>
      <c r="J77" s="498">
        <f t="shared" si="21"/>
        <v>1176186.8891485408</v>
      </c>
      <c r="K77" s="498">
        <f>+J77</f>
        <v>1176186.8891485408</v>
      </c>
      <c r="L77" s="210"/>
      <c r="N77" s="259"/>
      <c r="P77" s="260"/>
    </row>
    <row r="78" spans="2:16" ht="15.75" thickBot="1" x14ac:dyDescent="0.3">
      <c r="B78" s="261" t="s">
        <v>209</v>
      </c>
      <c r="C78" s="211"/>
      <c r="D78" s="211"/>
      <c r="E78" s="513"/>
      <c r="F78" s="513">
        <f>F77/F11</f>
        <v>1047.8583419297115</v>
      </c>
      <c r="G78" s="513">
        <f>G77/G11</f>
        <v>1146.7528632187491</v>
      </c>
      <c r="H78" s="513">
        <f>H77/H11</f>
        <v>1775.5282841806313</v>
      </c>
      <c r="I78" s="513">
        <f>I77/I11</f>
        <v>1227.3402145306911</v>
      </c>
      <c r="J78" s="513">
        <f>J77/J11</f>
        <v>1306.8743212761565</v>
      </c>
      <c r="K78" s="513">
        <f>+J78</f>
        <v>1306.8743212761565</v>
      </c>
      <c r="L78" s="212"/>
    </row>
    <row r="79" spans="2:16" ht="15.75" thickBot="1" x14ac:dyDescent="0.3">
      <c r="B79" s="497" t="s">
        <v>563</v>
      </c>
      <c r="C79" s="208"/>
      <c r="D79" s="209"/>
      <c r="E79" s="498">
        <f t="shared" ref="E79:K79" si="22">+E77+D79</f>
        <v>0</v>
      </c>
      <c r="F79" s="498">
        <f t="shared" si="22"/>
        <v>345793.25283680484</v>
      </c>
      <c r="G79" s="498">
        <f t="shared" si="22"/>
        <v>965039.79897492938</v>
      </c>
      <c r="H79" s="498">
        <f t="shared" si="22"/>
        <v>2314441.2949522091</v>
      </c>
      <c r="I79" s="498">
        <f t="shared" si="22"/>
        <v>3345407.0751579897</v>
      </c>
      <c r="J79" s="498">
        <f t="shared" si="22"/>
        <v>4521593.9643065305</v>
      </c>
      <c r="K79" s="498">
        <f t="shared" si="22"/>
        <v>5697780.8534550713</v>
      </c>
      <c r="L79" s="212"/>
      <c r="O79" s="549"/>
    </row>
    <row r="80" spans="2:16" x14ac:dyDescent="0.25">
      <c r="B80" s="261"/>
      <c r="C80" s="211"/>
      <c r="D80" s="211"/>
      <c r="E80" s="212"/>
      <c r="F80" s="212"/>
      <c r="G80" s="212"/>
      <c r="H80" s="212"/>
      <c r="I80" s="212"/>
      <c r="J80" s="212"/>
      <c r="K80" s="212"/>
      <c r="L80" s="212"/>
    </row>
    <row r="81" spans="2:14" x14ac:dyDescent="0.25">
      <c r="B81" s="261" t="s">
        <v>634</v>
      </c>
      <c r="C81" s="211"/>
      <c r="D81" s="211"/>
      <c r="E81" s="513">
        <f t="shared" ref="E81:K81" si="23">+E77-(SUM(E57:E58))-E50-E54</f>
        <v>-52500</v>
      </c>
      <c r="F81" s="513">
        <f t="shared" si="23"/>
        <v>195643.25283680484</v>
      </c>
      <c r="G81" s="513">
        <f t="shared" si="23"/>
        <v>373546.54613812454</v>
      </c>
      <c r="H81" s="513">
        <f t="shared" si="23"/>
        <v>1003601.4959772797</v>
      </c>
      <c r="I81" s="513">
        <f t="shared" si="23"/>
        <v>648765.78020578064</v>
      </c>
      <c r="J81" s="513">
        <f t="shared" si="23"/>
        <v>766686.88914854079</v>
      </c>
      <c r="K81" s="513">
        <f t="shared" si="23"/>
        <v>739386.88914854079</v>
      </c>
      <c r="L81" s="212"/>
    </row>
    <row r="82" spans="2:14" x14ac:dyDescent="0.25">
      <c r="B82" s="261" t="s">
        <v>635</v>
      </c>
      <c r="C82" s="211"/>
      <c r="D82" s="211"/>
      <c r="E82" s="212"/>
      <c r="F82" s="513">
        <f t="shared" ref="F82:K82" si="24">+F81+E82</f>
        <v>195643.25283680484</v>
      </c>
      <c r="G82" s="513">
        <f t="shared" si="24"/>
        <v>569189.79897492938</v>
      </c>
      <c r="H82" s="513">
        <f t="shared" si="24"/>
        <v>1572791.2949522091</v>
      </c>
      <c r="I82" s="513">
        <f t="shared" si="24"/>
        <v>2221557.0751579897</v>
      </c>
      <c r="J82" s="513">
        <f t="shared" si="24"/>
        <v>2988243.9643065305</v>
      </c>
      <c r="K82" s="513">
        <f t="shared" si="24"/>
        <v>3727630.8534550713</v>
      </c>
      <c r="L82" s="212"/>
    </row>
    <row r="83" spans="2:14" x14ac:dyDescent="0.25">
      <c r="B83" s="261"/>
      <c r="C83" s="211"/>
      <c r="D83" s="211"/>
      <c r="E83" s="212"/>
      <c r="F83" s="212"/>
      <c r="G83" s="212"/>
      <c r="H83" s="212"/>
      <c r="I83" s="212"/>
      <c r="J83" s="212"/>
      <c r="K83" s="212"/>
      <c r="L83" s="212"/>
    </row>
    <row r="84" spans="2:14" x14ac:dyDescent="0.25">
      <c r="B84" s="261" t="s">
        <v>769</v>
      </c>
      <c r="C84" s="211"/>
      <c r="D84" s="211"/>
      <c r="E84" s="513">
        <f>+Incubation!E50</f>
        <v>0</v>
      </c>
      <c r="F84" s="212"/>
      <c r="G84" s="212"/>
      <c r="H84" s="212"/>
      <c r="I84" s="212"/>
      <c r="J84" s="212"/>
      <c r="K84" s="212"/>
      <c r="L84" s="212"/>
    </row>
    <row r="85" spans="2:14" x14ac:dyDescent="0.25">
      <c r="B85" s="261" t="s">
        <v>952</v>
      </c>
      <c r="C85" s="211"/>
      <c r="D85" s="211"/>
      <c r="E85" s="842">
        <f>+E84+E77</f>
        <v>0</v>
      </c>
      <c r="F85" s="513">
        <f t="shared" ref="F85:K85" si="25">+E85+F77</f>
        <v>345793.25283680484</v>
      </c>
      <c r="G85" s="513">
        <f t="shared" si="25"/>
        <v>965039.79897492938</v>
      </c>
      <c r="H85" s="513">
        <f t="shared" si="25"/>
        <v>2314441.2949522091</v>
      </c>
      <c r="I85" s="513">
        <f t="shared" si="25"/>
        <v>3345407.0751579897</v>
      </c>
      <c r="J85" s="513">
        <f t="shared" si="25"/>
        <v>4521593.9643065305</v>
      </c>
      <c r="K85" s="513">
        <f t="shared" si="25"/>
        <v>5697780.8534550713</v>
      </c>
      <c r="L85" s="212"/>
    </row>
    <row r="86" spans="2:14" x14ac:dyDescent="0.25">
      <c r="B86" s="261"/>
      <c r="C86" s="211"/>
      <c r="D86" s="211"/>
      <c r="E86" s="212"/>
      <c r="F86" s="212"/>
      <c r="G86" s="212"/>
      <c r="H86" s="212"/>
      <c r="I86" s="212"/>
      <c r="J86" s="212"/>
      <c r="K86" s="212"/>
      <c r="L86" s="212"/>
    </row>
    <row r="87" spans="2:14" x14ac:dyDescent="0.25">
      <c r="B87" s="261"/>
      <c r="C87" s="211"/>
      <c r="D87" s="211"/>
      <c r="E87" s="212"/>
      <c r="F87" s="212"/>
      <c r="G87" s="212"/>
      <c r="H87" s="212"/>
      <c r="I87" s="212"/>
      <c r="J87" s="212"/>
      <c r="K87" s="212"/>
      <c r="L87" s="212"/>
    </row>
    <row r="88" spans="2:14" x14ac:dyDescent="0.25">
      <c r="B88" s="517" t="s">
        <v>392</v>
      </c>
      <c r="C88" s="517"/>
      <c r="D88" s="517"/>
      <c r="E88" s="548"/>
      <c r="F88" s="548">
        <f t="shared" ref="F88:K88" si="26">+F77/F34</f>
        <v>39.45739087859792</v>
      </c>
      <c r="G88" s="548">
        <f t="shared" si="26"/>
        <v>68.971581213045297</v>
      </c>
      <c r="H88" s="548">
        <f t="shared" si="26"/>
        <v>146.6853155011963</v>
      </c>
      <c r="I88" s="548">
        <f t="shared" si="26"/>
        <v>109.36383793971825</v>
      </c>
      <c r="J88" s="548">
        <f t="shared" si="26"/>
        <v>121.74078385866174</v>
      </c>
      <c r="K88" s="548">
        <f t="shared" si="26"/>
        <v>129.85683611590585</v>
      </c>
      <c r="L88" s="589"/>
      <c r="M88" s="221"/>
      <c r="N88" s="221"/>
    </row>
    <row r="89" spans="2:14" x14ac:dyDescent="0.25">
      <c r="B89" s="217" t="s">
        <v>393</v>
      </c>
      <c r="E89" s="590"/>
      <c r="F89" s="590">
        <f t="shared" ref="F89:K89" si="27">+F88/F11</f>
        <v>0.11956785114726642</v>
      </c>
      <c r="G89" s="590">
        <f t="shared" si="27"/>
        <v>0.12772515039452834</v>
      </c>
      <c r="H89" s="590">
        <f t="shared" si="27"/>
        <v>0.19300699408052144</v>
      </c>
      <c r="I89" s="590">
        <f t="shared" si="27"/>
        <v>0.13019504516633126</v>
      </c>
      <c r="J89" s="590">
        <f t="shared" si="27"/>
        <v>0.13526753762073526</v>
      </c>
      <c r="K89" s="590">
        <f t="shared" si="27"/>
        <v>0.13526753762073526</v>
      </c>
      <c r="L89" s="590"/>
      <c r="M89" s="221"/>
      <c r="N89" s="221"/>
    </row>
    <row r="90" spans="2:14" x14ac:dyDescent="0.25">
      <c r="B90" s="517" t="s">
        <v>581</v>
      </c>
      <c r="C90" s="844"/>
      <c r="D90" s="844"/>
      <c r="E90" s="845"/>
      <c r="F90" s="845">
        <f>F77</f>
        <v>345793.25283680484</v>
      </c>
      <c r="G90" s="845">
        <f>+F90+G77</f>
        <v>965039.79897492938</v>
      </c>
      <c r="H90" s="845">
        <f>G90+H77</f>
        <v>2314441.2949522091</v>
      </c>
      <c r="I90" s="845">
        <f>H90+I77</f>
        <v>3345407.0751579897</v>
      </c>
      <c r="J90" s="845">
        <f>I90+J77</f>
        <v>4521593.9643065305</v>
      </c>
      <c r="K90" s="845">
        <f>J90+K77</f>
        <v>5697780.8534550713</v>
      </c>
      <c r="L90" s="591"/>
      <c r="M90" s="221"/>
      <c r="N90" s="221"/>
    </row>
    <row r="91" spans="2:14" x14ac:dyDescent="0.25">
      <c r="B91" s="221"/>
      <c r="C91" s="221"/>
      <c r="D91" s="221"/>
    </row>
    <row r="92" spans="2:14" ht="18.75" x14ac:dyDescent="0.3">
      <c r="B92" s="263" t="s">
        <v>380</v>
      </c>
      <c r="C92" s="264"/>
      <c r="D92" s="264"/>
      <c r="E92" s="264"/>
      <c r="F92" s="264"/>
      <c r="G92" s="264"/>
      <c r="H92" s="264"/>
      <c r="I92" s="264"/>
      <c r="J92" s="264"/>
      <c r="K92" s="264"/>
      <c r="L92" s="264"/>
    </row>
    <row r="93" spans="2:14" x14ac:dyDescent="0.25">
      <c r="B93" s="511" t="s">
        <v>124</v>
      </c>
      <c r="C93" s="512"/>
      <c r="D93" s="512"/>
      <c r="E93" s="512"/>
      <c r="F93" s="512"/>
      <c r="G93" s="512"/>
      <c r="H93" s="512"/>
      <c r="I93" s="512"/>
      <c r="J93" s="512"/>
      <c r="K93" s="512"/>
      <c r="L93" s="512"/>
    </row>
    <row r="94" spans="2:14" x14ac:dyDescent="0.25">
      <c r="B94" s="217" t="s">
        <v>313</v>
      </c>
      <c r="C94" s="251">
        <f>C42/C$59</f>
        <v>0.83971276908431813</v>
      </c>
      <c r="D94" s="251">
        <f t="shared" ref="D94:D110" si="28">+C94/$C$59</f>
        <v>2.0554774701463273E-8</v>
      </c>
      <c r="E94" s="251"/>
      <c r="F94" s="251">
        <f t="shared" ref="F94:K95" si="29">F42/F$59</f>
        <v>0.82647045717809364</v>
      </c>
      <c r="G94" s="251">
        <f t="shared" si="29"/>
        <v>0.83092016592465756</v>
      </c>
      <c r="H94" s="251">
        <f t="shared" si="29"/>
        <v>0.83528635373652238</v>
      </c>
      <c r="I94" s="251">
        <f t="shared" si="29"/>
        <v>0.83956949640164502</v>
      </c>
      <c r="J94" s="251">
        <f t="shared" si="29"/>
        <v>0.84377012294905274</v>
      </c>
      <c r="K94" s="251">
        <f t="shared" si="29"/>
        <v>0.9270221084133593</v>
      </c>
      <c r="L94" s="251"/>
    </row>
    <row r="95" spans="2:14" x14ac:dyDescent="0.25">
      <c r="B95" s="217" t="s">
        <v>346</v>
      </c>
      <c r="C95" s="251">
        <f>C43/C$59</f>
        <v>-1.0496409613553977E-2</v>
      </c>
      <c r="D95" s="251">
        <f t="shared" si="28"/>
        <v>-2.5693468376829089E-10</v>
      </c>
      <c r="E95" s="251"/>
      <c r="F95" s="251">
        <f t="shared" si="29"/>
        <v>-1.0330880714726169E-2</v>
      </c>
      <c r="G95" s="251">
        <f t="shared" si="29"/>
        <v>-1.0386502074058222E-2</v>
      </c>
      <c r="H95" s="251">
        <f t="shared" si="29"/>
        <v>-1.0441079421706531E-2</v>
      </c>
      <c r="I95" s="251">
        <f t="shared" si="29"/>
        <v>-1.0494618705020563E-2</v>
      </c>
      <c r="J95" s="251">
        <f t="shared" si="29"/>
        <v>-1.054712653686316E-2</v>
      </c>
      <c r="K95" s="251">
        <f t="shared" si="29"/>
        <v>-1.1587776355166992E-2</v>
      </c>
      <c r="L95" s="251"/>
    </row>
    <row r="96" spans="2:14" x14ac:dyDescent="0.25">
      <c r="B96" s="217" t="s">
        <v>309</v>
      </c>
      <c r="C96" s="251">
        <f>C50/C$59</f>
        <v>4.8226001638926541E-2</v>
      </c>
      <c r="D96" s="251">
        <f t="shared" si="28"/>
        <v>1.1804924671104968E-9</v>
      </c>
      <c r="E96" s="251"/>
      <c r="F96" s="251">
        <f t="shared" ref="F96:K96" si="30">F50/F$59</f>
        <v>5.1918632600488956E-2</v>
      </c>
      <c r="G96" s="251">
        <f t="shared" si="30"/>
        <v>5.0677827187970717E-2</v>
      </c>
      <c r="H96" s="251">
        <f t="shared" si="30"/>
        <v>4.9460311665586051E-2</v>
      </c>
      <c r="I96" s="251">
        <f t="shared" si="30"/>
        <v>4.82659533594215E-2</v>
      </c>
      <c r="J96" s="251">
        <f t="shared" si="30"/>
        <v>4.7094604749242042E-2</v>
      </c>
      <c r="K96" s="251">
        <f t="shared" si="30"/>
        <v>5.0234245065858191E-2</v>
      </c>
      <c r="L96" s="251"/>
    </row>
    <row r="97" spans="2:12" x14ac:dyDescent="0.25">
      <c r="B97" s="217" t="s">
        <v>125</v>
      </c>
      <c r="C97" s="251">
        <f t="shared" ref="C97:C102" si="31">C44/C$59</f>
        <v>6.0097017426969997E-2</v>
      </c>
      <c r="D97" s="251">
        <f t="shared" si="28"/>
        <v>1.4710752282453883E-9</v>
      </c>
      <c r="E97" s="251"/>
      <c r="F97" s="251">
        <f t="shared" ref="F97:K102" si="32">F44/F$59</f>
        <v>6.4698603702147778E-2</v>
      </c>
      <c r="G97" s="251">
        <f t="shared" si="32"/>
        <v>6.3152369265009667E-2</v>
      </c>
      <c r="H97" s="251">
        <f t="shared" si="32"/>
        <v>6.1635157614037997E-2</v>
      </c>
      <c r="I97" s="251">
        <f t="shared" si="32"/>
        <v>6.0146803417125264E-2</v>
      </c>
      <c r="J97" s="251">
        <f t="shared" si="32"/>
        <v>5.8687122841363161E-2</v>
      </c>
      <c r="K97" s="251">
        <f t="shared" si="32"/>
        <v>6.2599597697454046E-2</v>
      </c>
      <c r="L97" s="251"/>
    </row>
    <row r="98" spans="2:12" x14ac:dyDescent="0.25">
      <c r="B98" s="217" t="s">
        <v>354</v>
      </c>
      <c r="C98" s="251">
        <f t="shared" si="31"/>
        <v>3.7096924337635799E-4</v>
      </c>
      <c r="D98" s="251">
        <f t="shared" si="28"/>
        <v>9.0807112854653602E-12</v>
      </c>
      <c r="E98" s="251"/>
      <c r="F98" s="251">
        <f t="shared" si="32"/>
        <v>3.9937409692683811E-4</v>
      </c>
      <c r="G98" s="251">
        <f t="shared" si="32"/>
        <v>3.8982943990746707E-4</v>
      </c>
      <c r="H98" s="251">
        <f t="shared" si="32"/>
        <v>3.8046393588912346E-4</v>
      </c>
      <c r="I98" s="251">
        <f t="shared" si="32"/>
        <v>3.7127656430324229E-4</v>
      </c>
      <c r="J98" s="251">
        <f t="shared" si="32"/>
        <v>3.6226619037878498E-4</v>
      </c>
      <c r="K98" s="251">
        <f t="shared" si="32"/>
        <v>3.8641726973737063E-4</v>
      </c>
      <c r="L98" s="251"/>
    </row>
    <row r="99" spans="2:12" x14ac:dyDescent="0.25">
      <c r="B99" s="217" t="s">
        <v>353</v>
      </c>
      <c r="C99" s="251">
        <f t="shared" si="31"/>
        <v>0</v>
      </c>
      <c r="D99" s="251">
        <f t="shared" si="28"/>
        <v>0</v>
      </c>
      <c r="E99" s="251"/>
      <c r="F99" s="251">
        <f t="shared" si="32"/>
        <v>0</v>
      </c>
      <c r="G99" s="251">
        <f t="shared" si="32"/>
        <v>0</v>
      </c>
      <c r="H99" s="251">
        <f t="shared" si="32"/>
        <v>0</v>
      </c>
      <c r="I99" s="251">
        <f t="shared" si="32"/>
        <v>0</v>
      </c>
      <c r="J99" s="251">
        <f t="shared" si="32"/>
        <v>0</v>
      </c>
      <c r="K99" s="251">
        <f t="shared" si="32"/>
        <v>0</v>
      </c>
      <c r="L99" s="251"/>
    </row>
    <row r="100" spans="2:12" x14ac:dyDescent="0.25">
      <c r="B100" s="217" t="s">
        <v>238</v>
      </c>
      <c r="C100" s="251">
        <f t="shared" si="31"/>
        <v>0</v>
      </c>
      <c r="D100" s="251">
        <f t="shared" si="28"/>
        <v>0</v>
      </c>
      <c r="E100" s="251"/>
      <c r="F100" s="251">
        <f t="shared" si="32"/>
        <v>0</v>
      </c>
      <c r="G100" s="251">
        <f t="shared" si="32"/>
        <v>0</v>
      </c>
      <c r="H100" s="251">
        <f t="shared" si="32"/>
        <v>0</v>
      </c>
      <c r="I100" s="251">
        <f t="shared" si="32"/>
        <v>0</v>
      </c>
      <c r="J100" s="251">
        <f t="shared" si="32"/>
        <v>0</v>
      </c>
      <c r="K100" s="251">
        <f t="shared" si="32"/>
        <v>0</v>
      </c>
      <c r="L100" s="251"/>
    </row>
    <row r="101" spans="2:12" x14ac:dyDescent="0.25">
      <c r="B101" s="217" t="s">
        <v>6</v>
      </c>
      <c r="C101" s="251">
        <f t="shared" si="31"/>
        <v>4.6360556300805426E-2</v>
      </c>
      <c r="D101" s="251">
        <f t="shared" si="28"/>
        <v>1.1348294617892996E-9</v>
      </c>
      <c r="E101" s="251"/>
      <c r="F101" s="251">
        <f t="shared" si="32"/>
        <v>4.9910351427371137E-2</v>
      </c>
      <c r="G101" s="251">
        <f t="shared" si="32"/>
        <v>4.8717542004436024E-2</v>
      </c>
      <c r="H101" s="251">
        <f t="shared" si="32"/>
        <v>4.7547121587972169E-2</v>
      </c>
      <c r="I101" s="251">
        <f t="shared" si="32"/>
        <v>4.6398962636068061E-2</v>
      </c>
      <c r="J101" s="251">
        <f t="shared" si="32"/>
        <v>4.5272923334765867E-2</v>
      </c>
      <c r="K101" s="251">
        <f t="shared" si="32"/>
        <v>4.8291118223750262E-2</v>
      </c>
      <c r="L101" s="251"/>
    </row>
    <row r="102" spans="2:12" x14ac:dyDescent="0.25">
      <c r="B102" s="217" t="s">
        <v>228</v>
      </c>
      <c r="C102" s="251">
        <f t="shared" si="31"/>
        <v>1.5729095919157578E-2</v>
      </c>
      <c r="D102" s="251">
        <f t="shared" si="28"/>
        <v>3.8502215850373123E-10</v>
      </c>
      <c r="E102" s="251"/>
      <c r="F102" s="251">
        <f t="shared" si="32"/>
        <v>1.6933461709697936E-2</v>
      </c>
      <c r="G102" s="251">
        <f t="shared" si="32"/>
        <v>1.6528768252076605E-2</v>
      </c>
      <c r="H102" s="251">
        <f t="shared" si="32"/>
        <v>1.6131670881698833E-2</v>
      </c>
      <c r="I102" s="251">
        <f t="shared" si="32"/>
        <v>1.5742126326457474E-2</v>
      </c>
      <c r="J102" s="251">
        <f t="shared" si="32"/>
        <v>1.5360086472060485E-2</v>
      </c>
      <c r="K102" s="251">
        <f t="shared" si="32"/>
        <v>1.6384092236864514E-2</v>
      </c>
      <c r="L102" s="251"/>
    </row>
    <row r="103" spans="2:12" x14ac:dyDescent="0.25">
      <c r="B103" s="217" t="s">
        <v>128</v>
      </c>
      <c r="C103" s="251">
        <f t="shared" ref="C103:C111" si="33">C51/C$59</f>
        <v>0</v>
      </c>
      <c r="D103" s="251">
        <f t="shared" si="28"/>
        <v>0</v>
      </c>
      <c r="E103" s="251"/>
      <c r="F103" s="251">
        <f t="shared" ref="F103:K111" si="34">F51/F$59</f>
        <v>0</v>
      </c>
      <c r="G103" s="251">
        <f t="shared" si="34"/>
        <v>0</v>
      </c>
      <c r="H103" s="251">
        <f t="shared" si="34"/>
        <v>0</v>
      </c>
      <c r="I103" s="251">
        <f t="shared" si="34"/>
        <v>0</v>
      </c>
      <c r="J103" s="251">
        <f t="shared" si="34"/>
        <v>0</v>
      </c>
      <c r="K103" s="251">
        <f t="shared" si="34"/>
        <v>0</v>
      </c>
      <c r="L103" s="251"/>
    </row>
    <row r="104" spans="2:12" x14ac:dyDescent="0.25">
      <c r="B104" s="217" t="s">
        <v>311</v>
      </c>
      <c r="C104" s="251">
        <f t="shared" si="33"/>
        <v>0</v>
      </c>
      <c r="D104" s="251">
        <f t="shared" si="28"/>
        <v>0</v>
      </c>
      <c r="E104" s="251"/>
      <c r="F104" s="251">
        <f t="shared" si="34"/>
        <v>0</v>
      </c>
      <c r="G104" s="251">
        <f t="shared" si="34"/>
        <v>0</v>
      </c>
      <c r="H104" s="251">
        <f t="shared" si="34"/>
        <v>0</v>
      </c>
      <c r="I104" s="251">
        <f t="shared" si="34"/>
        <v>0</v>
      </c>
      <c r="J104" s="251">
        <f t="shared" si="34"/>
        <v>0</v>
      </c>
      <c r="K104" s="251">
        <f t="shared" si="34"/>
        <v>0</v>
      </c>
      <c r="L104" s="251"/>
    </row>
    <row r="105" spans="2:12" x14ac:dyDescent="0.25">
      <c r="B105" s="217" t="s">
        <v>312</v>
      </c>
      <c r="C105" s="251">
        <f t="shared" si="33"/>
        <v>0</v>
      </c>
      <c r="D105" s="251">
        <f t="shared" si="28"/>
        <v>0</v>
      </c>
      <c r="E105" s="251"/>
      <c r="F105" s="251">
        <f t="shared" si="34"/>
        <v>0</v>
      </c>
      <c r="G105" s="251">
        <f t="shared" si="34"/>
        <v>0</v>
      </c>
      <c r="H105" s="251">
        <f t="shared" si="34"/>
        <v>0</v>
      </c>
      <c r="I105" s="251">
        <f t="shared" si="34"/>
        <v>0</v>
      </c>
      <c r="J105" s="251">
        <f t="shared" si="34"/>
        <v>0</v>
      </c>
      <c r="K105" s="251">
        <f t="shared" si="34"/>
        <v>0</v>
      </c>
      <c r="L105" s="251"/>
    </row>
    <row r="106" spans="2:12" x14ac:dyDescent="0.25">
      <c r="B106" s="217" t="s">
        <v>13</v>
      </c>
      <c r="C106" s="251">
        <f t="shared" si="33"/>
        <v>0</v>
      </c>
      <c r="D106" s="251">
        <f t="shared" si="28"/>
        <v>0</v>
      </c>
      <c r="E106" s="251"/>
      <c r="F106" s="251">
        <f t="shared" si="34"/>
        <v>0</v>
      </c>
      <c r="G106" s="251">
        <f t="shared" si="34"/>
        <v>0</v>
      </c>
      <c r="H106" s="251">
        <f t="shared" si="34"/>
        <v>0</v>
      </c>
      <c r="I106" s="251">
        <f t="shared" si="34"/>
        <v>0</v>
      </c>
      <c r="J106" s="251">
        <f t="shared" si="34"/>
        <v>0</v>
      </c>
      <c r="K106" s="251">
        <f t="shared" si="34"/>
        <v>0</v>
      </c>
      <c r="L106" s="251"/>
    </row>
    <row r="107" spans="2:12" x14ac:dyDescent="0.25">
      <c r="B107" s="217" t="s">
        <v>11</v>
      </c>
      <c r="C107" s="251">
        <f t="shared" si="33"/>
        <v>0</v>
      </c>
      <c r="D107" s="251">
        <f t="shared" si="28"/>
        <v>0</v>
      </c>
      <c r="E107" s="251"/>
      <c r="F107" s="251">
        <f t="shared" si="34"/>
        <v>0</v>
      </c>
      <c r="G107" s="251">
        <f t="shared" si="34"/>
        <v>0</v>
      </c>
      <c r="H107" s="251">
        <f t="shared" si="34"/>
        <v>0</v>
      </c>
      <c r="I107" s="251">
        <f t="shared" si="34"/>
        <v>0</v>
      </c>
      <c r="J107" s="251">
        <f t="shared" si="34"/>
        <v>0</v>
      </c>
      <c r="K107" s="251">
        <f t="shared" si="34"/>
        <v>0</v>
      </c>
      <c r="L107" s="251"/>
    </row>
    <row r="108" spans="2:12" x14ac:dyDescent="0.25">
      <c r="B108" s="217" t="s">
        <v>74</v>
      </c>
      <c r="C108" s="251">
        <f t="shared" si="33"/>
        <v>0</v>
      </c>
      <c r="D108" s="251">
        <f t="shared" si="28"/>
        <v>0</v>
      </c>
      <c r="E108" s="251"/>
      <c r="F108" s="251">
        <f t="shared" si="34"/>
        <v>0</v>
      </c>
      <c r="G108" s="251">
        <f t="shared" si="34"/>
        <v>0</v>
      </c>
      <c r="H108" s="251">
        <f t="shared" si="34"/>
        <v>0</v>
      </c>
      <c r="I108" s="251">
        <f t="shared" si="34"/>
        <v>0</v>
      </c>
      <c r="J108" s="251">
        <f t="shared" si="34"/>
        <v>0</v>
      </c>
      <c r="K108" s="251">
        <f t="shared" si="34"/>
        <v>0</v>
      </c>
      <c r="L108" s="251"/>
    </row>
    <row r="109" spans="2:12" x14ac:dyDescent="0.25">
      <c r="B109" s="217" t="s">
        <v>75</v>
      </c>
      <c r="C109" s="251">
        <f t="shared" si="33"/>
        <v>0</v>
      </c>
      <c r="D109" s="251">
        <f t="shared" si="28"/>
        <v>0</v>
      </c>
      <c r="E109" s="251"/>
      <c r="F109" s="251">
        <f t="shared" si="34"/>
        <v>0</v>
      </c>
      <c r="G109" s="251">
        <f t="shared" si="34"/>
        <v>0</v>
      </c>
      <c r="H109" s="251">
        <f t="shared" si="34"/>
        <v>0</v>
      </c>
      <c r="I109" s="251">
        <f t="shared" si="34"/>
        <v>0</v>
      </c>
      <c r="J109" s="251">
        <f t="shared" si="34"/>
        <v>0</v>
      </c>
      <c r="K109" s="251">
        <f t="shared" si="34"/>
        <v>0</v>
      </c>
      <c r="L109" s="251"/>
    </row>
    <row r="110" spans="2:12" x14ac:dyDescent="0.25">
      <c r="B110" s="217" t="s">
        <v>141</v>
      </c>
      <c r="C110" s="251">
        <f t="shared" si="33"/>
        <v>0</v>
      </c>
      <c r="D110" s="251">
        <f t="shared" si="28"/>
        <v>0</v>
      </c>
      <c r="E110" s="251"/>
      <c r="F110" s="251">
        <f t="shared" si="34"/>
        <v>0</v>
      </c>
      <c r="G110" s="251">
        <f t="shared" si="34"/>
        <v>0</v>
      </c>
      <c r="H110" s="251">
        <f t="shared" si="34"/>
        <v>0</v>
      </c>
      <c r="I110" s="251">
        <f t="shared" si="34"/>
        <v>0</v>
      </c>
      <c r="J110" s="251">
        <f t="shared" si="34"/>
        <v>0</v>
      </c>
      <c r="K110" s="251">
        <f t="shared" si="34"/>
        <v>0</v>
      </c>
      <c r="L110" s="251"/>
    </row>
    <row r="111" spans="2:12" x14ac:dyDescent="0.25">
      <c r="B111" s="510" t="s">
        <v>64</v>
      </c>
      <c r="C111" s="203">
        <f t="shared" si="33"/>
        <v>1</v>
      </c>
      <c r="D111" s="203">
        <f>+C111/$C$59</f>
        <v>2.4478340044629364E-8</v>
      </c>
      <c r="E111" s="203"/>
      <c r="F111" s="203">
        <f t="shared" si="34"/>
        <v>1</v>
      </c>
      <c r="G111" s="203">
        <f t="shared" si="34"/>
        <v>1</v>
      </c>
      <c r="H111" s="203">
        <f t="shared" si="34"/>
        <v>1</v>
      </c>
      <c r="I111" s="203">
        <f t="shared" si="34"/>
        <v>1</v>
      </c>
      <c r="J111" s="203">
        <f t="shared" si="34"/>
        <v>1</v>
      </c>
      <c r="K111" s="203">
        <f t="shared" si="34"/>
        <v>1</v>
      </c>
      <c r="L111" s="203"/>
    </row>
    <row r="112" spans="2:12" x14ac:dyDescent="0.25">
      <c r="C112" s="253"/>
      <c r="D112" s="253"/>
      <c r="E112" s="253"/>
      <c r="F112" s="253"/>
      <c r="G112" s="253"/>
      <c r="H112" s="253"/>
      <c r="I112" s="253"/>
      <c r="J112" s="253"/>
      <c r="K112" s="253"/>
      <c r="L112" s="253"/>
    </row>
    <row r="113" spans="2:12" x14ac:dyDescent="0.25">
      <c r="B113" s="204" t="s">
        <v>126</v>
      </c>
      <c r="C113" s="254"/>
      <c r="D113" s="254"/>
      <c r="E113" s="254"/>
      <c r="F113" s="254"/>
      <c r="G113" s="254"/>
      <c r="H113" s="254"/>
      <c r="I113" s="254"/>
      <c r="J113" s="254"/>
      <c r="K113" s="254"/>
      <c r="L113" s="253"/>
    </row>
    <row r="114" spans="2:12" x14ac:dyDescent="0.25">
      <c r="B114" s="217" t="s">
        <v>93</v>
      </c>
      <c r="C114" s="251">
        <f>C62/C$59</f>
        <v>0.50896812048837103</v>
      </c>
      <c r="D114" s="251"/>
      <c r="E114" s="251"/>
      <c r="F114" s="251">
        <f t="shared" ref="F114:K115" si="35">F62/F$59</f>
        <v>0.45188161303014684</v>
      </c>
      <c r="G114" s="251">
        <f t="shared" si="35"/>
        <v>0.49268987986801727</v>
      </c>
      <c r="H114" s="251">
        <f t="shared" si="35"/>
        <v>0.45947095348993999</v>
      </c>
      <c r="I114" s="251">
        <f t="shared" si="35"/>
        <v>0.52031316922546489</v>
      </c>
      <c r="J114" s="251">
        <f t="shared" si="35"/>
        <v>0.53449426326853855</v>
      </c>
      <c r="K114" s="251">
        <f t="shared" si="35"/>
        <v>0.58847375332767349</v>
      </c>
      <c r="L114" s="251"/>
    </row>
    <row r="115" spans="2:12" x14ac:dyDescent="0.25">
      <c r="B115" s="217" t="s">
        <v>491</v>
      </c>
      <c r="C115" s="251">
        <f>C63/C$59</f>
        <v>4.8981158429303354E-2</v>
      </c>
      <c r="D115" s="257"/>
      <c r="E115" s="251"/>
      <c r="F115" s="251">
        <f t="shared" si="35"/>
        <v>5.1348098176307755E-2</v>
      </c>
      <c r="G115" s="251">
        <f t="shared" si="35"/>
        <v>5.2699165024527955E-2</v>
      </c>
      <c r="H115" s="251">
        <f t="shared" si="35"/>
        <v>5.1777422854083717E-2</v>
      </c>
      <c r="I115" s="251">
        <f t="shared" si="35"/>
        <v>5.0261249181187226E-2</v>
      </c>
      <c r="J115" s="251">
        <f t="shared" si="35"/>
        <v>4.6577081620129496E-2</v>
      </c>
      <c r="K115" s="251">
        <f t="shared" si="35"/>
        <v>4.9682220394804792E-2</v>
      </c>
      <c r="L115" s="257"/>
    </row>
    <row r="116" spans="2:12" x14ac:dyDescent="0.25">
      <c r="B116" s="217" t="s">
        <v>538</v>
      </c>
      <c r="C116" s="251">
        <f>C67/C$59</f>
        <v>6.4255642617152078E-4</v>
      </c>
      <c r="D116" s="257"/>
      <c r="E116" s="251"/>
      <c r="F116" s="251">
        <f t="shared" ref="F116:K116" si="36">F67/F$59</f>
        <v>0</v>
      </c>
      <c r="G116" s="251">
        <f t="shared" si="36"/>
        <v>0</v>
      </c>
      <c r="H116" s="251">
        <f t="shared" si="36"/>
        <v>0</v>
      </c>
      <c r="I116" s="251">
        <f t="shared" si="36"/>
        <v>0</v>
      </c>
      <c r="J116" s="251">
        <f t="shared" si="36"/>
        <v>0</v>
      </c>
      <c r="K116" s="251">
        <f t="shared" si="36"/>
        <v>0</v>
      </c>
      <c r="L116" s="257"/>
    </row>
    <row r="117" spans="2:12" x14ac:dyDescent="0.25">
      <c r="B117" s="217" t="s">
        <v>72</v>
      </c>
      <c r="C117" s="251">
        <f>C64/C$59</f>
        <v>0.11246372243941492</v>
      </c>
      <c r="D117" s="257"/>
      <c r="E117" s="251"/>
      <c r="F117" s="251">
        <f t="shared" ref="F117:K117" si="37">F64/F$59</f>
        <v>0.13229448494381935</v>
      </c>
      <c r="G117" s="251">
        <f t="shared" si="37"/>
        <v>0.12117549064027387</v>
      </c>
      <c r="H117" s="251">
        <f t="shared" si="37"/>
        <v>0.11360252637295659</v>
      </c>
      <c r="I117" s="251">
        <f t="shared" si="37"/>
        <v>0.11151613634439371</v>
      </c>
      <c r="J117" s="251">
        <f t="shared" si="37"/>
        <v>0.10857729265483088</v>
      </c>
      <c r="K117" s="251">
        <f t="shared" si="37"/>
        <v>0.11534051491635328</v>
      </c>
      <c r="L117" s="257"/>
    </row>
    <row r="118" spans="2:12" x14ac:dyDescent="0.25">
      <c r="B118" s="217" t="s">
        <v>128</v>
      </c>
      <c r="C118" s="251">
        <f>C68/C$59</f>
        <v>0</v>
      </c>
      <c r="D118" s="257"/>
      <c r="E118" s="251"/>
      <c r="F118" s="251">
        <f t="shared" ref="F118:K119" si="38">F68/F$59</f>
        <v>0</v>
      </c>
      <c r="G118" s="251">
        <f t="shared" si="38"/>
        <v>0</v>
      </c>
      <c r="H118" s="251">
        <f t="shared" si="38"/>
        <v>0</v>
      </c>
      <c r="I118" s="251">
        <f t="shared" si="38"/>
        <v>0</v>
      </c>
      <c r="J118" s="251">
        <f t="shared" si="38"/>
        <v>0</v>
      </c>
      <c r="K118" s="251">
        <f t="shared" si="38"/>
        <v>0</v>
      </c>
      <c r="L118" s="257"/>
    </row>
    <row r="119" spans="2:12" x14ac:dyDescent="0.25">
      <c r="B119" s="217" t="s">
        <v>73</v>
      </c>
      <c r="C119" s="251">
        <f>C69/C$59</f>
        <v>0</v>
      </c>
      <c r="D119" s="257"/>
      <c r="E119" s="251"/>
      <c r="F119" s="251">
        <f t="shared" si="38"/>
        <v>0</v>
      </c>
      <c r="G119" s="251">
        <f t="shared" si="38"/>
        <v>0</v>
      </c>
      <c r="H119" s="251">
        <f t="shared" si="38"/>
        <v>0</v>
      </c>
      <c r="I119" s="251">
        <f t="shared" si="38"/>
        <v>0</v>
      </c>
      <c r="J119" s="251">
        <f t="shared" si="38"/>
        <v>0</v>
      </c>
      <c r="K119" s="251">
        <f t="shared" si="38"/>
        <v>0</v>
      </c>
      <c r="L119" s="257"/>
    </row>
    <row r="120" spans="2:12" x14ac:dyDescent="0.25">
      <c r="B120" s="217" t="s">
        <v>92</v>
      </c>
      <c r="C120" s="251">
        <f>C66/C$59</f>
        <v>0.15325741831902176</v>
      </c>
      <c r="D120" s="257"/>
      <c r="E120" s="251"/>
      <c r="F120" s="251">
        <f t="shared" ref="F120:K120" si="39">F66/F$59</f>
        <v>0.20261233405649356</v>
      </c>
      <c r="G120" s="251">
        <f t="shared" si="39"/>
        <v>0.16710688657366754</v>
      </c>
      <c r="H120" s="251">
        <f t="shared" si="39"/>
        <v>0.14795184033222153</v>
      </c>
      <c r="I120" s="251">
        <f t="shared" si="39"/>
        <v>0.15205669576402994</v>
      </c>
      <c r="J120" s="251">
        <f t="shared" si="39"/>
        <v>0.14683856250020083</v>
      </c>
      <c r="K120" s="251">
        <f t="shared" si="39"/>
        <v>0.15520173626665965</v>
      </c>
      <c r="L120" s="257"/>
    </row>
    <row r="121" spans="2:12" x14ac:dyDescent="0.25">
      <c r="B121" s="217" t="s">
        <v>546</v>
      </c>
      <c r="C121" s="251">
        <f>C65/C$59</f>
        <v>2.6787137077638804E-2</v>
      </c>
      <c r="D121" s="257"/>
      <c r="E121" s="251"/>
      <c r="F121" s="251">
        <f t="shared" ref="F121:K121" si="40">F65/F$59</f>
        <v>3.1922265479035233E-2</v>
      </c>
      <c r="G121" s="251">
        <f t="shared" si="40"/>
        <v>3.2415658611564827E-2</v>
      </c>
      <c r="H121" s="251">
        <f t="shared" si="40"/>
        <v>2.9899316224910665E-2</v>
      </c>
      <c r="I121" s="251">
        <f t="shared" si="40"/>
        <v>3.1869167948151776E-2</v>
      </c>
      <c r="J121" s="251">
        <f t="shared" si="40"/>
        <v>2.4795108141481281E-2</v>
      </c>
      <c r="K121" s="251">
        <f t="shared" si="40"/>
        <v>1.9302462664500086E-2</v>
      </c>
      <c r="L121" s="257"/>
    </row>
    <row r="122" spans="2:12" x14ac:dyDescent="0.25">
      <c r="B122" s="217" t="s">
        <v>540</v>
      </c>
      <c r="C122" s="251">
        <f>C70/C$59</f>
        <v>4.406101208033285E-3</v>
      </c>
      <c r="D122" s="257"/>
      <c r="E122" s="251"/>
      <c r="F122" s="251">
        <f t="shared" ref="F122:K124" si="41">F70/F$59</f>
        <v>1.037335316693086E-2</v>
      </c>
      <c r="G122" s="251">
        <f t="shared" si="41"/>
        <v>6.187768887420112E-3</v>
      </c>
      <c r="H122" s="251">
        <f t="shared" si="41"/>
        <v>4.2909466453660543E-3</v>
      </c>
      <c r="I122" s="251">
        <f t="shared" si="41"/>
        <v>3.7885363704412483E-3</v>
      </c>
      <c r="J122" s="251">
        <f t="shared" si="41"/>
        <v>3.4501541940836662E-3</v>
      </c>
      <c r="K122" s="251">
        <f t="shared" si="41"/>
        <v>3.4501541940836662E-3</v>
      </c>
      <c r="L122" s="257"/>
    </row>
    <row r="123" spans="2:12" x14ac:dyDescent="0.25">
      <c r="B123" s="217" t="s">
        <v>494</v>
      </c>
      <c r="C123" s="251">
        <f>C71/C$59</f>
        <v>0</v>
      </c>
      <c r="D123" s="257"/>
      <c r="E123" s="251"/>
      <c r="F123" s="251">
        <f t="shared" si="41"/>
        <v>0</v>
      </c>
      <c r="G123" s="251">
        <f t="shared" si="41"/>
        <v>0</v>
      </c>
      <c r="H123" s="251">
        <f t="shared" si="41"/>
        <v>0</v>
      </c>
      <c r="I123" s="251">
        <f t="shared" si="41"/>
        <v>0</v>
      </c>
      <c r="J123" s="251">
        <f t="shared" si="41"/>
        <v>0</v>
      </c>
      <c r="K123" s="251">
        <f t="shared" si="41"/>
        <v>0</v>
      </c>
      <c r="L123" s="257"/>
    </row>
    <row r="124" spans="2:12" x14ac:dyDescent="0.25">
      <c r="B124" s="217" t="s">
        <v>493</v>
      </c>
      <c r="C124" s="251">
        <f>C72/C$59</f>
        <v>0</v>
      </c>
      <c r="D124" s="257"/>
      <c r="E124" s="251"/>
      <c r="F124" s="251">
        <f t="shared" si="41"/>
        <v>0</v>
      </c>
      <c r="G124" s="251">
        <f t="shared" si="41"/>
        <v>0</v>
      </c>
      <c r="H124" s="251">
        <f t="shared" si="41"/>
        <v>0</v>
      </c>
      <c r="I124" s="251">
        <f t="shared" si="41"/>
        <v>0</v>
      </c>
      <c r="J124" s="251">
        <f t="shared" si="41"/>
        <v>0</v>
      </c>
      <c r="K124" s="251">
        <f t="shared" si="41"/>
        <v>0</v>
      </c>
      <c r="L124" s="257"/>
    </row>
    <row r="125" spans="2:12" ht="15.75" thickBot="1" x14ac:dyDescent="0.3">
      <c r="B125" s="217" t="s">
        <v>546</v>
      </c>
      <c r="C125" s="251">
        <f>C74/C$59</f>
        <v>0</v>
      </c>
      <c r="D125" s="251"/>
      <c r="E125" s="251"/>
      <c r="F125" s="251">
        <f t="shared" ref="F125:K125" si="42">F74/F$59</f>
        <v>0</v>
      </c>
      <c r="G125" s="251">
        <f t="shared" si="42"/>
        <v>0</v>
      </c>
      <c r="H125" s="251">
        <f t="shared" si="42"/>
        <v>0</v>
      </c>
      <c r="I125" s="251">
        <f t="shared" si="42"/>
        <v>0</v>
      </c>
      <c r="J125" s="251">
        <f t="shared" si="42"/>
        <v>0</v>
      </c>
      <c r="K125" s="251">
        <f t="shared" si="42"/>
        <v>0</v>
      </c>
      <c r="L125" s="203"/>
    </row>
    <row r="126" spans="2:12" ht="15.75" thickBot="1" x14ac:dyDescent="0.3">
      <c r="B126" s="258" t="s">
        <v>65</v>
      </c>
      <c r="C126" s="213">
        <f>C77/C$59</f>
        <v>0.14385122918587379</v>
      </c>
      <c r="D126" s="213"/>
      <c r="E126" s="213"/>
      <c r="F126" s="213">
        <f t="shared" ref="F126:K126" si="43">F77/F$59</f>
        <v>0.11956785114726644</v>
      </c>
      <c r="G126" s="213">
        <f t="shared" si="43"/>
        <v>0.12772515039452834</v>
      </c>
      <c r="H126" s="213">
        <f t="shared" si="43"/>
        <v>0.19300699408052144</v>
      </c>
      <c r="I126" s="213">
        <f t="shared" si="43"/>
        <v>0.13019504516633126</v>
      </c>
      <c r="J126" s="213">
        <f t="shared" si="43"/>
        <v>0.13526753762073526</v>
      </c>
      <c r="K126" s="213">
        <f t="shared" si="43"/>
        <v>0.13526753762073526</v>
      </c>
      <c r="L126" s="213"/>
    </row>
    <row r="127" spans="2:12" x14ac:dyDescent="0.25">
      <c r="B127" s="261" t="s">
        <v>209</v>
      </c>
      <c r="C127" s="211"/>
      <c r="D127" s="211"/>
      <c r="E127" s="211"/>
      <c r="F127" s="211">
        <f t="shared" ref="F127:K127" si="44">+F78</f>
        <v>1047.8583419297115</v>
      </c>
      <c r="G127" s="211">
        <f t="shared" si="44"/>
        <v>1146.7528632187491</v>
      </c>
      <c r="H127" s="211">
        <f t="shared" si="44"/>
        <v>1775.5282841806313</v>
      </c>
      <c r="I127" s="211">
        <f t="shared" si="44"/>
        <v>1227.3402145306911</v>
      </c>
      <c r="J127" s="211">
        <f t="shared" si="44"/>
        <v>1306.8743212761565</v>
      </c>
      <c r="K127" s="211">
        <f t="shared" si="44"/>
        <v>1306.8743212761565</v>
      </c>
      <c r="L127" s="211"/>
    </row>
    <row r="129" spans="1:12" x14ac:dyDescent="0.25">
      <c r="B129" s="217" t="s">
        <v>4</v>
      </c>
      <c r="C129" s="262">
        <f>+C90</f>
        <v>0</v>
      </c>
      <c r="D129" s="262"/>
      <c r="E129" s="262">
        <f t="shared" ref="E129:K129" si="45">+E90</f>
        <v>0</v>
      </c>
      <c r="F129" s="262">
        <f t="shared" si="45"/>
        <v>345793.25283680484</v>
      </c>
      <c r="G129" s="262">
        <f t="shared" si="45"/>
        <v>965039.79897492938</v>
      </c>
      <c r="H129" s="262">
        <f t="shared" si="45"/>
        <v>2314441.2949522091</v>
      </c>
      <c r="I129" s="262">
        <f t="shared" si="45"/>
        <v>3345407.0751579897</v>
      </c>
      <c r="J129" s="262">
        <f t="shared" si="45"/>
        <v>4521593.9643065305</v>
      </c>
      <c r="K129" s="262">
        <f t="shared" si="45"/>
        <v>5697780.8534550713</v>
      </c>
      <c r="L129" s="262"/>
    </row>
    <row r="131" spans="1:12" ht="18.75" x14ac:dyDescent="0.3">
      <c r="A131" s="266"/>
      <c r="B131" s="267" t="s">
        <v>379</v>
      </c>
      <c r="C131" s="268"/>
      <c r="D131" s="268"/>
      <c r="E131" s="268"/>
      <c r="F131" s="268"/>
      <c r="G131" s="268"/>
      <c r="H131" s="268"/>
      <c r="I131" s="268"/>
      <c r="J131" s="268"/>
      <c r="K131" s="268"/>
      <c r="L131" s="268"/>
    </row>
    <row r="132" spans="1:12" x14ac:dyDescent="0.25">
      <c r="B132" s="247" t="s">
        <v>124</v>
      </c>
      <c r="C132" s="249"/>
      <c r="D132" s="249"/>
      <c r="E132" s="249"/>
      <c r="F132" s="249"/>
      <c r="G132" s="249"/>
      <c r="H132" s="249"/>
      <c r="I132" s="249"/>
      <c r="J132" s="249"/>
      <c r="K132" s="249"/>
      <c r="L132" s="249"/>
    </row>
    <row r="133" spans="1:12" x14ac:dyDescent="0.25">
      <c r="B133" s="217" t="s">
        <v>313</v>
      </c>
      <c r="C133" s="250">
        <f>SUM(F133:K133)</f>
        <v>46850.369125096724</v>
      </c>
      <c r="D133" s="251"/>
      <c r="E133" s="240"/>
      <c r="F133" s="240">
        <f t="shared" ref="F133:K134" si="46">F42/F$11</f>
        <v>7242.9499619081098</v>
      </c>
      <c r="G133" s="240">
        <f t="shared" si="46"/>
        <v>7460.238460765353</v>
      </c>
      <c r="H133" s="240">
        <f t="shared" si="46"/>
        <v>7684.0456145883136</v>
      </c>
      <c r="I133" s="240">
        <f t="shared" si="46"/>
        <v>7914.5669830259631</v>
      </c>
      <c r="J133" s="240">
        <f t="shared" si="46"/>
        <v>8152.0039925167412</v>
      </c>
      <c r="K133" s="240">
        <f t="shared" si="46"/>
        <v>8396.5641122922425</v>
      </c>
      <c r="L133" s="240"/>
    </row>
    <row r="134" spans="1:12" x14ac:dyDescent="0.25">
      <c r="B134" s="217" t="s">
        <v>346</v>
      </c>
      <c r="C134" s="252">
        <f t="shared" ref="C134:C149" si="47">SUM(F134:K134)</f>
        <v>-585.62961406370903</v>
      </c>
      <c r="D134" s="251"/>
      <c r="E134" s="252"/>
      <c r="F134" s="252">
        <f t="shared" si="46"/>
        <v>-90.536874523851367</v>
      </c>
      <c r="G134" s="252">
        <f t="shared" si="46"/>
        <v>-93.252980759566924</v>
      </c>
      <c r="H134" s="252">
        <f t="shared" si="46"/>
        <v>-96.050570182353937</v>
      </c>
      <c r="I134" s="252">
        <f t="shared" si="46"/>
        <v>-98.932087287824544</v>
      </c>
      <c r="J134" s="252">
        <f t="shared" si="46"/>
        <v>-101.90004990645927</v>
      </c>
      <c r="K134" s="252">
        <f t="shared" si="46"/>
        <v>-104.95705140365304</v>
      </c>
      <c r="L134" s="252"/>
    </row>
    <row r="135" spans="1:12" x14ac:dyDescent="0.25">
      <c r="B135" s="217" t="s">
        <v>309</v>
      </c>
      <c r="C135" s="252">
        <f t="shared" si="47"/>
        <v>2730</v>
      </c>
      <c r="D135" s="251"/>
      <c r="E135" s="252"/>
      <c r="F135" s="252">
        <f t="shared" ref="F135:K135" si="48">F50/F$11</f>
        <v>455</v>
      </c>
      <c r="G135" s="252">
        <f t="shared" si="48"/>
        <v>455</v>
      </c>
      <c r="H135" s="252">
        <f t="shared" si="48"/>
        <v>455</v>
      </c>
      <c r="I135" s="252">
        <f t="shared" si="48"/>
        <v>455</v>
      </c>
      <c r="J135" s="252">
        <f t="shared" si="48"/>
        <v>455</v>
      </c>
      <c r="K135" s="252">
        <f t="shared" si="48"/>
        <v>455.00000000000006</v>
      </c>
      <c r="L135" s="252"/>
    </row>
    <row r="136" spans="1:12" x14ac:dyDescent="0.25">
      <c r="B136" s="217" t="s">
        <v>125</v>
      </c>
      <c r="C136" s="252">
        <f t="shared" si="47"/>
        <v>3402</v>
      </c>
      <c r="D136" s="251"/>
      <c r="E136" s="252"/>
      <c r="F136" s="252">
        <f t="shared" ref="F136:K141" si="49">F44/F$11</f>
        <v>567</v>
      </c>
      <c r="G136" s="252">
        <f t="shared" si="49"/>
        <v>567</v>
      </c>
      <c r="H136" s="252">
        <f t="shared" si="49"/>
        <v>567</v>
      </c>
      <c r="I136" s="252">
        <f t="shared" si="49"/>
        <v>567.00000000000011</v>
      </c>
      <c r="J136" s="252">
        <f t="shared" si="49"/>
        <v>567</v>
      </c>
      <c r="K136" s="252">
        <f t="shared" si="49"/>
        <v>567</v>
      </c>
      <c r="L136" s="252"/>
    </row>
    <row r="137" spans="1:12" x14ac:dyDescent="0.25">
      <c r="B137" s="217" t="s">
        <v>354</v>
      </c>
      <c r="C137" s="252">
        <f t="shared" si="47"/>
        <v>21</v>
      </c>
      <c r="D137" s="251"/>
      <c r="E137" s="252"/>
      <c r="F137" s="252">
        <f t="shared" si="49"/>
        <v>3.5</v>
      </c>
      <c r="G137" s="252">
        <f t="shared" si="49"/>
        <v>3.5</v>
      </c>
      <c r="H137" s="252">
        <f t="shared" si="49"/>
        <v>3.5</v>
      </c>
      <c r="I137" s="252">
        <f t="shared" si="49"/>
        <v>3.5</v>
      </c>
      <c r="J137" s="252">
        <f t="shared" si="49"/>
        <v>3.5</v>
      </c>
      <c r="K137" s="252">
        <f t="shared" si="49"/>
        <v>3.5</v>
      </c>
      <c r="L137" s="252"/>
    </row>
    <row r="138" spans="1:12" x14ac:dyDescent="0.25">
      <c r="B138" s="217" t="s">
        <v>353</v>
      </c>
      <c r="C138" s="252">
        <f t="shared" si="47"/>
        <v>0</v>
      </c>
      <c r="D138" s="251"/>
      <c r="E138" s="252"/>
      <c r="F138" s="252">
        <f t="shared" si="49"/>
        <v>0</v>
      </c>
      <c r="G138" s="252">
        <f t="shared" si="49"/>
        <v>0</v>
      </c>
      <c r="H138" s="252">
        <f t="shared" si="49"/>
        <v>0</v>
      </c>
      <c r="I138" s="252">
        <f t="shared" si="49"/>
        <v>0</v>
      </c>
      <c r="J138" s="252">
        <f t="shared" si="49"/>
        <v>0</v>
      </c>
      <c r="K138" s="252">
        <f t="shared" si="49"/>
        <v>0</v>
      </c>
      <c r="L138" s="252"/>
    </row>
    <row r="139" spans="1:12" x14ac:dyDescent="0.25">
      <c r="B139" s="217" t="s">
        <v>238</v>
      </c>
      <c r="C139" s="252">
        <f t="shared" si="47"/>
        <v>0</v>
      </c>
      <c r="D139" s="251"/>
      <c r="E139" s="252"/>
      <c r="F139" s="252">
        <f t="shared" si="49"/>
        <v>0</v>
      </c>
      <c r="G139" s="252">
        <f t="shared" si="49"/>
        <v>0</v>
      </c>
      <c r="H139" s="252">
        <f t="shared" si="49"/>
        <v>0</v>
      </c>
      <c r="I139" s="252">
        <f t="shared" si="49"/>
        <v>0</v>
      </c>
      <c r="J139" s="252">
        <f t="shared" si="49"/>
        <v>0</v>
      </c>
      <c r="K139" s="252">
        <f t="shared" si="49"/>
        <v>0</v>
      </c>
      <c r="L139" s="252"/>
    </row>
    <row r="140" spans="1:12" x14ac:dyDescent="0.25">
      <c r="B140" s="217" t="s">
        <v>6</v>
      </c>
      <c r="C140" s="252">
        <f t="shared" si="47"/>
        <v>2624.4</v>
      </c>
      <c r="D140" s="251"/>
      <c r="E140" s="252"/>
      <c r="F140" s="252">
        <f t="shared" si="49"/>
        <v>437.4</v>
      </c>
      <c r="G140" s="252">
        <f t="shared" si="49"/>
        <v>437.4</v>
      </c>
      <c r="H140" s="252">
        <f t="shared" si="49"/>
        <v>437.4</v>
      </c>
      <c r="I140" s="252">
        <f t="shared" si="49"/>
        <v>437.40000000000009</v>
      </c>
      <c r="J140" s="252">
        <f t="shared" si="49"/>
        <v>437.4</v>
      </c>
      <c r="K140" s="252">
        <f t="shared" si="49"/>
        <v>437.4</v>
      </c>
      <c r="L140" s="252"/>
    </row>
    <row r="141" spans="1:12" x14ac:dyDescent="0.25">
      <c r="B141" s="217" t="s">
        <v>228</v>
      </c>
      <c r="C141" s="252">
        <f t="shared" si="47"/>
        <v>890.4</v>
      </c>
      <c r="D141" s="251"/>
      <c r="E141" s="252"/>
      <c r="F141" s="252">
        <f t="shared" si="49"/>
        <v>148.4</v>
      </c>
      <c r="G141" s="252">
        <f t="shared" si="49"/>
        <v>148.40000000000003</v>
      </c>
      <c r="H141" s="252">
        <f t="shared" si="49"/>
        <v>148.4</v>
      </c>
      <c r="I141" s="252">
        <f t="shared" si="49"/>
        <v>148.4</v>
      </c>
      <c r="J141" s="252">
        <f t="shared" si="49"/>
        <v>148.40000000000003</v>
      </c>
      <c r="K141" s="252">
        <f t="shared" si="49"/>
        <v>148.4</v>
      </c>
      <c r="L141" s="252"/>
    </row>
    <row r="142" spans="1:12" x14ac:dyDescent="0.25">
      <c r="B142" s="217" t="s">
        <v>128</v>
      </c>
      <c r="C142" s="252">
        <f t="shared" si="47"/>
        <v>0</v>
      </c>
      <c r="D142" s="251"/>
      <c r="E142" s="252"/>
      <c r="F142" s="252">
        <f t="shared" ref="F142:K149" si="50">F51/F$11</f>
        <v>0</v>
      </c>
      <c r="G142" s="252">
        <f t="shared" si="50"/>
        <v>0</v>
      </c>
      <c r="H142" s="252">
        <f t="shared" si="50"/>
        <v>0</v>
      </c>
      <c r="I142" s="252">
        <f t="shared" si="50"/>
        <v>0</v>
      </c>
      <c r="J142" s="252">
        <f t="shared" si="50"/>
        <v>0</v>
      </c>
      <c r="K142" s="252">
        <f t="shared" si="50"/>
        <v>0</v>
      </c>
      <c r="L142" s="252"/>
    </row>
    <row r="143" spans="1:12" x14ac:dyDescent="0.25">
      <c r="B143" s="217" t="s">
        <v>311</v>
      </c>
      <c r="C143" s="252">
        <f t="shared" si="47"/>
        <v>0</v>
      </c>
      <c r="D143" s="251"/>
      <c r="E143" s="252"/>
      <c r="F143" s="252">
        <f t="shared" si="50"/>
        <v>0</v>
      </c>
      <c r="G143" s="252">
        <f t="shared" si="50"/>
        <v>0</v>
      </c>
      <c r="H143" s="252">
        <f t="shared" si="50"/>
        <v>0</v>
      </c>
      <c r="I143" s="252">
        <f t="shared" si="50"/>
        <v>0</v>
      </c>
      <c r="J143" s="252">
        <f t="shared" si="50"/>
        <v>0</v>
      </c>
      <c r="K143" s="252">
        <f t="shared" si="50"/>
        <v>0</v>
      </c>
      <c r="L143" s="252"/>
    </row>
    <row r="144" spans="1:12" x14ac:dyDescent="0.25">
      <c r="B144" s="217" t="s">
        <v>312</v>
      </c>
      <c r="C144" s="252">
        <f t="shared" si="47"/>
        <v>0</v>
      </c>
      <c r="D144" s="251"/>
      <c r="E144" s="252"/>
      <c r="F144" s="252">
        <f t="shared" si="50"/>
        <v>0</v>
      </c>
      <c r="G144" s="252">
        <f t="shared" si="50"/>
        <v>0</v>
      </c>
      <c r="H144" s="252">
        <f t="shared" si="50"/>
        <v>0</v>
      </c>
      <c r="I144" s="252">
        <f t="shared" si="50"/>
        <v>0</v>
      </c>
      <c r="J144" s="252">
        <f t="shared" si="50"/>
        <v>0</v>
      </c>
      <c r="K144" s="252">
        <f t="shared" si="50"/>
        <v>0</v>
      </c>
      <c r="L144" s="252"/>
    </row>
    <row r="145" spans="2:12" x14ac:dyDescent="0.25">
      <c r="B145" s="217" t="s">
        <v>13</v>
      </c>
      <c r="C145" s="252">
        <f t="shared" si="47"/>
        <v>0</v>
      </c>
      <c r="D145" s="251"/>
      <c r="E145" s="242"/>
      <c r="F145" s="242">
        <f t="shared" si="50"/>
        <v>0</v>
      </c>
      <c r="G145" s="242">
        <f t="shared" si="50"/>
        <v>0</v>
      </c>
      <c r="H145" s="242">
        <f t="shared" si="50"/>
        <v>0</v>
      </c>
      <c r="I145" s="242">
        <f t="shared" si="50"/>
        <v>0</v>
      </c>
      <c r="J145" s="242">
        <f t="shared" si="50"/>
        <v>0</v>
      </c>
      <c r="K145" s="242">
        <f t="shared" si="50"/>
        <v>0</v>
      </c>
      <c r="L145" s="242"/>
    </row>
    <row r="146" spans="2:12" x14ac:dyDescent="0.25">
      <c r="B146" s="217" t="s">
        <v>11</v>
      </c>
      <c r="C146" s="252">
        <f t="shared" si="47"/>
        <v>0</v>
      </c>
      <c r="D146" s="251"/>
      <c r="E146" s="252"/>
      <c r="F146" s="252">
        <f t="shared" si="50"/>
        <v>0</v>
      </c>
      <c r="G146" s="252">
        <f t="shared" si="50"/>
        <v>0</v>
      </c>
      <c r="H146" s="252">
        <f t="shared" si="50"/>
        <v>0</v>
      </c>
      <c r="I146" s="252">
        <f t="shared" si="50"/>
        <v>0</v>
      </c>
      <c r="J146" s="252">
        <f t="shared" si="50"/>
        <v>0</v>
      </c>
      <c r="K146" s="252">
        <f t="shared" si="50"/>
        <v>0</v>
      </c>
      <c r="L146" s="252"/>
    </row>
    <row r="147" spans="2:12" x14ac:dyDescent="0.25">
      <c r="B147" s="217" t="s">
        <v>74</v>
      </c>
      <c r="C147" s="252">
        <f t="shared" si="47"/>
        <v>0</v>
      </c>
      <c r="D147" s="251"/>
      <c r="E147" s="252"/>
      <c r="F147" s="252">
        <f t="shared" si="50"/>
        <v>0</v>
      </c>
      <c r="G147" s="252">
        <f t="shared" si="50"/>
        <v>0</v>
      </c>
      <c r="H147" s="252">
        <f t="shared" si="50"/>
        <v>0</v>
      </c>
      <c r="I147" s="252">
        <f t="shared" si="50"/>
        <v>0</v>
      </c>
      <c r="J147" s="252">
        <f t="shared" si="50"/>
        <v>0</v>
      </c>
      <c r="K147" s="252">
        <f t="shared" si="50"/>
        <v>0</v>
      </c>
      <c r="L147" s="252"/>
    </row>
    <row r="148" spans="2:12" x14ac:dyDescent="0.25">
      <c r="B148" s="217" t="s">
        <v>75</v>
      </c>
      <c r="C148" s="252">
        <f t="shared" si="47"/>
        <v>0</v>
      </c>
      <c r="D148" s="251"/>
      <c r="E148" s="252"/>
      <c r="F148" s="252">
        <f t="shared" si="50"/>
        <v>0</v>
      </c>
      <c r="G148" s="252">
        <f t="shared" si="50"/>
        <v>0</v>
      </c>
      <c r="H148" s="252">
        <f t="shared" si="50"/>
        <v>0</v>
      </c>
      <c r="I148" s="252">
        <f t="shared" si="50"/>
        <v>0</v>
      </c>
      <c r="J148" s="252">
        <f t="shared" si="50"/>
        <v>0</v>
      </c>
      <c r="K148" s="252">
        <f t="shared" si="50"/>
        <v>0</v>
      </c>
      <c r="L148" s="252"/>
    </row>
    <row r="149" spans="2:12" x14ac:dyDescent="0.25">
      <c r="B149" s="217" t="s">
        <v>141</v>
      </c>
      <c r="C149" s="252">
        <f t="shared" si="47"/>
        <v>0</v>
      </c>
      <c r="D149" s="251"/>
      <c r="E149" s="252"/>
      <c r="F149" s="252">
        <f t="shared" si="50"/>
        <v>0</v>
      </c>
      <c r="G149" s="252">
        <f t="shared" si="50"/>
        <v>0</v>
      </c>
      <c r="H149" s="252">
        <f t="shared" si="50"/>
        <v>0</v>
      </c>
      <c r="I149" s="252">
        <f t="shared" si="50"/>
        <v>0</v>
      </c>
      <c r="J149" s="252">
        <f t="shared" si="50"/>
        <v>0</v>
      </c>
      <c r="K149" s="252">
        <f t="shared" si="50"/>
        <v>0</v>
      </c>
      <c r="L149" s="252"/>
    </row>
    <row r="150" spans="2:12" x14ac:dyDescent="0.25">
      <c r="B150" s="223" t="s">
        <v>64</v>
      </c>
      <c r="C150" s="202">
        <f>C133+C134+C135+C136+C137+C138+C139+C140+C141+C142+C143+C144+C145+C146+C147+C148+C149</f>
        <v>55932.539511033021</v>
      </c>
      <c r="D150" s="203"/>
      <c r="E150" s="202"/>
      <c r="F150" s="202">
        <f>F133+F134+F135+F136+F137+F138+F139+F140+F141+F142+F143+F144+F145+F146+F147+F148+F149</f>
        <v>8763.713087384258</v>
      </c>
      <c r="G150" s="202">
        <f>G133+G134+G135+G136+G137+G138+G139+G140+G141+G142+G143+G144+G145+G146+G147+G148+G149</f>
        <v>8978.2854800057867</v>
      </c>
      <c r="H150" s="202">
        <f>H133+H134+H135+H136+H137+H138+H139+H140+H141+H142+H143+H144+H145+H146+H147+H148+H149</f>
        <v>9199.2950444059588</v>
      </c>
      <c r="I150" s="202">
        <f>I133+I134+I135+I136+I137+I138+I139+I140+I141+I142+I143+I144+I145+I146+I147+I148+I149</f>
        <v>9426.9348957381371</v>
      </c>
      <c r="J150" s="202">
        <f>J133+J134+J135+J136+J137+J138+J139+J140+J141+J142+J143+J144+J145+J146+J147+J148+J149</f>
        <v>9661.4039426102809</v>
      </c>
      <c r="K150" s="202">
        <f>+J150</f>
        <v>9661.4039426102809</v>
      </c>
      <c r="L150" s="202"/>
    </row>
    <row r="151" spans="2:12" x14ac:dyDescent="0.25">
      <c r="C151" s="253"/>
      <c r="D151" s="253"/>
    </row>
    <row r="152" spans="2:12" x14ac:dyDescent="0.25">
      <c r="B152" s="204" t="s">
        <v>126</v>
      </c>
      <c r="C152" s="254"/>
      <c r="D152" s="254"/>
      <c r="E152" s="254"/>
      <c r="F152" s="254"/>
      <c r="G152" s="254"/>
      <c r="H152" s="254"/>
      <c r="I152" s="254"/>
      <c r="J152" s="254"/>
      <c r="K152" s="254"/>
      <c r="L152" s="254"/>
    </row>
    <row r="153" spans="2:12" x14ac:dyDescent="0.25">
      <c r="B153" s="217" t="s">
        <v>93</v>
      </c>
      <c r="C153" s="255">
        <f t="shared" ref="C153:C164" si="51">SUM(F153:K153)</f>
        <v>28009.543395732777</v>
      </c>
      <c r="D153" s="251"/>
      <c r="E153" s="252"/>
      <c r="F153" s="252">
        <f t="shared" ref="F153:K154" si="52">F62/F$11</f>
        <v>3960.1608060606063</v>
      </c>
      <c r="G153" s="252">
        <f t="shared" si="52"/>
        <v>4423.5103945648152</v>
      </c>
      <c r="H153" s="252">
        <f t="shared" si="52"/>
        <v>4226.8088654884859</v>
      </c>
      <c r="I153" s="252">
        <f t="shared" si="52"/>
        <v>4904.9583716836387</v>
      </c>
      <c r="J153" s="252">
        <f t="shared" si="52"/>
        <v>5163.9649824452372</v>
      </c>
      <c r="K153" s="252">
        <f t="shared" si="52"/>
        <v>5330.1399754899894</v>
      </c>
      <c r="L153" s="252"/>
    </row>
    <row r="154" spans="2:12" x14ac:dyDescent="0.25">
      <c r="B154" s="217" t="s">
        <v>491</v>
      </c>
      <c r="C154" s="252">
        <f t="shared" si="51"/>
        <v>2773.2734614313563</v>
      </c>
      <c r="D154" s="257"/>
      <c r="E154" s="252"/>
      <c r="F154" s="252">
        <f t="shared" si="52"/>
        <v>450</v>
      </c>
      <c r="G154" s="252">
        <f t="shared" si="52"/>
        <v>473.14814814814815</v>
      </c>
      <c r="H154" s="252">
        <f t="shared" si="52"/>
        <v>476.31578947368422</v>
      </c>
      <c r="I154" s="252">
        <f t="shared" si="52"/>
        <v>473.8095238095238</v>
      </c>
      <c r="J154" s="252">
        <f t="shared" si="52"/>
        <v>450</v>
      </c>
      <c r="K154" s="252">
        <f t="shared" si="52"/>
        <v>450</v>
      </c>
      <c r="L154" s="252"/>
    </row>
    <row r="155" spans="2:12" x14ac:dyDescent="0.25">
      <c r="B155" s="217" t="s">
        <v>538</v>
      </c>
      <c r="C155" s="252">
        <f t="shared" si="51"/>
        <v>0</v>
      </c>
      <c r="D155" s="257"/>
      <c r="E155" s="252"/>
      <c r="F155" s="252">
        <f t="shared" ref="F155:K155" si="53">F67/F$11</f>
        <v>0</v>
      </c>
      <c r="G155" s="252">
        <f t="shared" si="53"/>
        <v>0</v>
      </c>
      <c r="H155" s="252">
        <f t="shared" si="53"/>
        <v>0</v>
      </c>
      <c r="I155" s="252">
        <f t="shared" si="53"/>
        <v>0</v>
      </c>
      <c r="J155" s="252">
        <f t="shared" si="53"/>
        <v>0</v>
      </c>
      <c r="K155" s="252">
        <f t="shared" si="53"/>
        <v>0</v>
      </c>
      <c r="L155" s="252"/>
    </row>
    <row r="156" spans="2:12" x14ac:dyDescent="0.25">
      <c r="B156" s="217" t="s">
        <v>72</v>
      </c>
      <c r="C156" s="252">
        <f t="shared" si="51"/>
        <v>6437.3710045683183</v>
      </c>
      <c r="D156" s="257"/>
      <c r="E156" s="252"/>
      <c r="F156" s="252">
        <f t="shared" ref="F156:K156" si="54">F64/F$11</f>
        <v>1159.3909090909092</v>
      </c>
      <c r="G156" s="252">
        <f t="shared" si="54"/>
        <v>1087.9481481481482</v>
      </c>
      <c r="H156" s="252">
        <f t="shared" si="54"/>
        <v>1045.0631578947368</v>
      </c>
      <c r="I156" s="252">
        <f t="shared" si="54"/>
        <v>1051.2553571428571</v>
      </c>
      <c r="J156" s="252">
        <f t="shared" si="54"/>
        <v>1049.0090833333334</v>
      </c>
      <c r="K156" s="252">
        <f t="shared" si="54"/>
        <v>1044.7043489583334</v>
      </c>
      <c r="L156" s="252"/>
    </row>
    <row r="157" spans="2:12" x14ac:dyDescent="0.25">
      <c r="B157" s="217" t="s">
        <v>128</v>
      </c>
      <c r="C157" s="252">
        <f t="shared" si="51"/>
        <v>0</v>
      </c>
      <c r="D157" s="257"/>
      <c r="E157" s="252"/>
      <c r="F157" s="252">
        <f t="shared" ref="F157:K158" si="55">F68/F$11</f>
        <v>0</v>
      </c>
      <c r="G157" s="252">
        <f t="shared" si="55"/>
        <v>0</v>
      </c>
      <c r="H157" s="252">
        <f t="shared" si="55"/>
        <v>0</v>
      </c>
      <c r="I157" s="252">
        <f t="shared" si="55"/>
        <v>0</v>
      </c>
      <c r="J157" s="252">
        <f t="shared" si="55"/>
        <v>0</v>
      </c>
      <c r="K157" s="252">
        <f t="shared" si="55"/>
        <v>0</v>
      </c>
      <c r="L157" s="252"/>
    </row>
    <row r="158" spans="2:12" x14ac:dyDescent="0.25">
      <c r="B158" s="217" t="s">
        <v>73</v>
      </c>
      <c r="C158" s="252">
        <f t="shared" si="51"/>
        <v>0</v>
      </c>
      <c r="D158" s="257"/>
      <c r="E158" s="252"/>
      <c r="F158" s="252">
        <f t="shared" si="55"/>
        <v>0</v>
      </c>
      <c r="G158" s="252">
        <f t="shared" si="55"/>
        <v>0</v>
      </c>
      <c r="H158" s="252">
        <f t="shared" si="55"/>
        <v>0</v>
      </c>
      <c r="I158" s="252">
        <f t="shared" si="55"/>
        <v>0</v>
      </c>
      <c r="J158" s="252">
        <f t="shared" si="55"/>
        <v>0</v>
      </c>
      <c r="K158" s="252">
        <f t="shared" si="55"/>
        <v>0</v>
      </c>
      <c r="L158" s="252"/>
    </row>
    <row r="159" spans="2:12" x14ac:dyDescent="0.25">
      <c r="B159" s="217" t="s">
        <v>92</v>
      </c>
      <c r="C159" s="252">
        <f t="shared" si="51"/>
        <v>8894.867566643883</v>
      </c>
      <c r="D159" s="257"/>
      <c r="E159" s="252"/>
      <c r="F159" s="252">
        <f t="shared" ref="F159:K159" si="56">F66/F$11</f>
        <v>1775.6363636363637</v>
      </c>
      <c r="G159" s="252">
        <f t="shared" si="56"/>
        <v>1500.3333333333333</v>
      </c>
      <c r="H159" s="252">
        <f t="shared" si="56"/>
        <v>1361.0526315789473</v>
      </c>
      <c r="I159" s="252">
        <f t="shared" si="56"/>
        <v>1433.4285714285713</v>
      </c>
      <c r="J159" s="252">
        <f t="shared" si="56"/>
        <v>1418.6666666666667</v>
      </c>
      <c r="K159" s="252">
        <f t="shared" si="56"/>
        <v>1405.75</v>
      </c>
      <c r="L159" s="252"/>
    </row>
    <row r="160" spans="2:12" x14ac:dyDescent="0.25">
      <c r="B160" s="217" t="s">
        <v>546</v>
      </c>
      <c r="C160" s="252">
        <f t="shared" si="51"/>
        <v>1560.6647046910205</v>
      </c>
      <c r="D160" s="257"/>
      <c r="E160" s="252"/>
      <c r="F160" s="252">
        <f t="shared" ref="F160:K160" si="57">F65/F$11</f>
        <v>279.75757575757575</v>
      </c>
      <c r="G160" s="252">
        <f t="shared" si="57"/>
        <v>291.03703703703701</v>
      </c>
      <c r="H160" s="252">
        <f t="shared" si="57"/>
        <v>275.05263157894734</v>
      </c>
      <c r="I160" s="252">
        <f t="shared" si="57"/>
        <v>300.42857142857144</v>
      </c>
      <c r="J160" s="252">
        <f t="shared" si="57"/>
        <v>239.55555555555554</v>
      </c>
      <c r="K160" s="252">
        <f t="shared" si="57"/>
        <v>174.83333333333334</v>
      </c>
      <c r="L160" s="252"/>
    </row>
    <row r="161" spans="2:12" x14ac:dyDescent="0.25">
      <c r="B161" s="217" t="s">
        <v>540</v>
      </c>
      <c r="C161" s="252">
        <f t="shared" si="51"/>
        <v>286.23594972279182</v>
      </c>
      <c r="D161" s="257"/>
      <c r="E161" s="252"/>
      <c r="F161" s="252">
        <f t="shared" ref="F161:K163" si="58">F70/F$11</f>
        <v>90.909090909090907</v>
      </c>
      <c r="G161" s="252">
        <f t="shared" si="58"/>
        <v>55.555555555555557</v>
      </c>
      <c r="H161" s="252">
        <f t="shared" si="58"/>
        <v>39.473684210526315</v>
      </c>
      <c r="I161" s="252">
        <f t="shared" si="58"/>
        <v>35.714285714285715</v>
      </c>
      <c r="J161" s="252">
        <f t="shared" si="58"/>
        <v>33.333333333333336</v>
      </c>
      <c r="K161" s="252">
        <f t="shared" si="58"/>
        <v>31.25</v>
      </c>
      <c r="L161" s="252"/>
    </row>
    <row r="162" spans="2:12" x14ac:dyDescent="0.25">
      <c r="B162" s="217" t="s">
        <v>494</v>
      </c>
      <c r="C162" s="252">
        <f t="shared" si="51"/>
        <v>0</v>
      </c>
      <c r="D162" s="257"/>
      <c r="E162" s="252"/>
      <c r="F162" s="252">
        <f t="shared" si="58"/>
        <v>0</v>
      </c>
      <c r="G162" s="252">
        <f t="shared" si="58"/>
        <v>0</v>
      </c>
      <c r="H162" s="252">
        <f t="shared" si="58"/>
        <v>0</v>
      </c>
      <c r="I162" s="252">
        <f t="shared" si="58"/>
        <v>0</v>
      </c>
      <c r="J162" s="252">
        <f t="shared" si="58"/>
        <v>0</v>
      </c>
      <c r="K162" s="252">
        <f t="shared" si="58"/>
        <v>0</v>
      </c>
      <c r="L162" s="252"/>
    </row>
    <row r="163" spans="2:12" x14ac:dyDescent="0.25">
      <c r="B163" s="217" t="s">
        <v>493</v>
      </c>
      <c r="C163" s="252">
        <f t="shared" si="51"/>
        <v>0</v>
      </c>
      <c r="D163" s="257"/>
      <c r="E163" s="252"/>
      <c r="F163" s="252">
        <f t="shared" si="58"/>
        <v>0</v>
      </c>
      <c r="G163" s="252">
        <f t="shared" si="58"/>
        <v>0</v>
      </c>
      <c r="H163" s="252">
        <f t="shared" si="58"/>
        <v>0</v>
      </c>
      <c r="I163" s="252">
        <f t="shared" si="58"/>
        <v>0</v>
      </c>
      <c r="J163" s="252">
        <f t="shared" si="58"/>
        <v>0</v>
      </c>
      <c r="K163" s="252">
        <f t="shared" si="58"/>
        <v>0</v>
      </c>
      <c r="L163" s="252"/>
    </row>
    <row r="164" spans="2:12" x14ac:dyDescent="0.25">
      <c r="B164" s="217" t="s">
        <v>546</v>
      </c>
      <c r="C164" s="252">
        <f t="shared" si="51"/>
        <v>0</v>
      </c>
      <c r="D164" s="257"/>
      <c r="E164" s="252"/>
      <c r="F164" s="252">
        <f t="shared" ref="F164:K164" si="59">F74/F$11</f>
        <v>0</v>
      </c>
      <c r="G164" s="252">
        <f t="shared" si="59"/>
        <v>0</v>
      </c>
      <c r="H164" s="252">
        <f t="shared" si="59"/>
        <v>0</v>
      </c>
      <c r="I164" s="252">
        <f t="shared" si="59"/>
        <v>0</v>
      </c>
      <c r="J164" s="252">
        <f t="shared" si="59"/>
        <v>0</v>
      </c>
      <c r="K164" s="252">
        <f t="shared" si="59"/>
        <v>0</v>
      </c>
      <c r="L164" s="256"/>
    </row>
    <row r="165" spans="2:12" x14ac:dyDescent="0.25">
      <c r="B165" s="223" t="s">
        <v>63</v>
      </c>
      <c r="C165" s="205">
        <f>SUM(C153:C164)</f>
        <v>47961.956082790151</v>
      </c>
      <c r="D165" s="203"/>
      <c r="E165" s="205"/>
      <c r="F165" s="205">
        <f t="shared" ref="F165:K165" si="60">SUM(F153:F164)</f>
        <v>7715.8547454545469</v>
      </c>
      <c r="G165" s="205">
        <f t="shared" si="60"/>
        <v>7831.5326167870371</v>
      </c>
      <c r="H165" s="205">
        <f t="shared" si="60"/>
        <v>7423.7667602253287</v>
      </c>
      <c r="I165" s="205">
        <f t="shared" si="60"/>
        <v>8199.594681207449</v>
      </c>
      <c r="J165" s="205">
        <f t="shared" si="60"/>
        <v>8354.5296213341262</v>
      </c>
      <c r="K165" s="205">
        <f t="shared" si="60"/>
        <v>8436.6776577816563</v>
      </c>
      <c r="L165" s="205"/>
    </row>
    <row r="166" spans="2:12" ht="15.75" thickBot="1" x14ac:dyDescent="0.3">
      <c r="B166" s="223"/>
      <c r="C166" s="206"/>
      <c r="D166" s="207"/>
      <c r="E166" s="206"/>
      <c r="F166" s="206"/>
      <c r="G166" s="206"/>
      <c r="H166" s="206"/>
      <c r="I166" s="206"/>
      <c r="J166" s="206"/>
      <c r="K166" s="206">
        <f>+J166</f>
        <v>0</v>
      </c>
      <c r="L166" s="206"/>
    </row>
    <row r="167" spans="2:12" ht="15.75" thickBot="1" x14ac:dyDescent="0.3">
      <c r="B167" s="258" t="s">
        <v>449</v>
      </c>
      <c r="C167" s="214">
        <f>C150-C165</f>
        <v>7970.5834282428696</v>
      </c>
      <c r="D167" s="214"/>
      <c r="E167" s="214"/>
      <c r="F167" s="214">
        <f>F150-F165</f>
        <v>1047.8583419297111</v>
      </c>
      <c r="G167" s="214">
        <f>G150-G165</f>
        <v>1146.7528632187496</v>
      </c>
      <c r="H167" s="214">
        <f>H150-H165</f>
        <v>1775.5282841806302</v>
      </c>
      <c r="I167" s="214">
        <f>I150-I165</f>
        <v>1227.3402145306882</v>
      </c>
      <c r="J167" s="214">
        <f>J150-J165</f>
        <v>1306.8743212761547</v>
      </c>
      <c r="K167" s="214">
        <f>+J167</f>
        <v>1306.8743212761547</v>
      </c>
      <c r="L167" s="214"/>
    </row>
    <row r="168" spans="2:12" hidden="1" x14ac:dyDescent="0.25">
      <c r="B168" s="261" t="s">
        <v>209</v>
      </c>
      <c r="C168" s="211"/>
      <c r="D168" s="211"/>
      <c r="E168" s="211"/>
      <c r="F168" s="211" t="e">
        <f>F167/#REF!</f>
        <v>#REF!</v>
      </c>
      <c r="G168" s="211" t="e">
        <f>G167/#REF!</f>
        <v>#REF!</v>
      </c>
      <c r="H168" s="211" t="e">
        <f>H167/#REF!</f>
        <v>#REF!</v>
      </c>
      <c r="I168" s="211" t="e">
        <f>I167/#REF!</f>
        <v>#REF!</v>
      </c>
      <c r="J168" s="211" t="e">
        <f>J167/#REF!</f>
        <v>#REF!</v>
      </c>
      <c r="K168" s="211" t="e">
        <f>+J168</f>
        <v>#REF!</v>
      </c>
      <c r="L168" s="211"/>
    </row>
    <row r="169" spans="2:12" hidden="1" x14ac:dyDescent="0.25"/>
    <row r="170" spans="2:12" hidden="1" x14ac:dyDescent="0.25">
      <c r="B170" s="217" t="s">
        <v>4</v>
      </c>
      <c r="C170" s="262">
        <f>C167</f>
        <v>7970.5834282428696</v>
      </c>
      <c r="D170" s="262"/>
      <c r="E170" s="262"/>
      <c r="F170" s="262" t="e">
        <f>#REF!+F167</f>
        <v>#REF!</v>
      </c>
      <c r="G170" s="262" t="e">
        <f>#REF!+G167</f>
        <v>#REF!</v>
      </c>
      <c r="H170" s="262" t="e">
        <f>G170+H167</f>
        <v>#REF!</v>
      </c>
      <c r="I170" s="262" t="e">
        <f>H170+I167</f>
        <v>#REF!</v>
      </c>
      <c r="J170" s="262" t="e">
        <f>I170+J167</f>
        <v>#REF!</v>
      </c>
      <c r="K170" s="262" t="e">
        <f>J170+K167</f>
        <v>#REF!</v>
      </c>
      <c r="L170" s="262"/>
    </row>
    <row r="171" spans="2:12" hidden="1" x14ac:dyDescent="0.25">
      <c r="C171" s="262"/>
      <c r="D171" s="262"/>
      <c r="E171" s="262"/>
      <c r="F171" s="262"/>
      <c r="G171" s="262"/>
      <c r="H171" s="262"/>
      <c r="I171" s="262"/>
      <c r="J171" s="262"/>
      <c r="K171" s="262"/>
      <c r="L171" s="262"/>
    </row>
    <row r="172" spans="2:12" x14ac:dyDescent="0.25">
      <c r="B172" s="269" t="s">
        <v>389</v>
      </c>
      <c r="C172" s="270"/>
      <c r="D172" s="270"/>
      <c r="E172" s="271"/>
      <c r="F172" s="271">
        <f t="shared" ref="F172:K172" si="61">+F167/F150</f>
        <v>0.11956785114726635</v>
      </c>
      <c r="G172" s="271">
        <f t="shared" si="61"/>
        <v>0.12772515039452839</v>
      </c>
      <c r="H172" s="271">
        <f t="shared" si="61"/>
        <v>0.19300699408052133</v>
      </c>
      <c r="I172" s="271">
        <f t="shared" si="61"/>
        <v>0.13019504516633096</v>
      </c>
      <c r="J172" s="271">
        <f t="shared" si="61"/>
        <v>0.1352675376207351</v>
      </c>
      <c r="K172" s="271">
        <f t="shared" si="61"/>
        <v>0.1352675376207351</v>
      </c>
      <c r="L172" s="271"/>
    </row>
    <row r="173" spans="2:12" x14ac:dyDescent="0.25">
      <c r="B173" s="272"/>
      <c r="C173" s="270"/>
      <c r="D173" s="270"/>
      <c r="E173" s="265"/>
      <c r="F173" s="271"/>
      <c r="G173" s="271"/>
      <c r="H173" s="271"/>
      <c r="I173" s="271"/>
      <c r="J173" s="271"/>
      <c r="K173" s="271"/>
      <c r="L173" s="271"/>
    </row>
    <row r="174" spans="2:12" x14ac:dyDescent="0.25">
      <c r="E174" s="265"/>
    </row>
    <row r="175" spans="2:12" x14ac:dyDescent="0.25">
      <c r="E175" s="265"/>
    </row>
    <row r="176" spans="2:12" x14ac:dyDescent="0.25">
      <c r="E176" s="265"/>
    </row>
    <row r="177" spans="5:5" x14ac:dyDescent="0.25">
      <c r="E177" s="265"/>
    </row>
    <row r="178" spans="5:5" x14ac:dyDescent="0.25">
      <c r="E178" s="265"/>
    </row>
    <row r="179" spans="5:5" x14ac:dyDescent="0.25">
      <c r="E179" s="265"/>
    </row>
    <row r="180" spans="5:5" x14ac:dyDescent="0.25">
      <c r="E180" s="265"/>
    </row>
  </sheetData>
  <sheetProtection algorithmName="SHA-512" hashValue="EWD0Av6r9tqskkXDVmPnwykyF3/h/Qjq/JAL/JcPWsNnKSV+G8exLzY4Og0EqdkJpfQ5jL9fqZc0eYEPZ7pbKQ==" saltValue="7MpGW+ZJYctpV1pxaFMbbw==" spinCount="100000" sheet="1" objects="1" scenarios="1"/>
  <phoneticPr fontId="7" type="noConversion"/>
  <pageMargins left="0.25" right="0.25" top="0.5" bottom="0.44999999999999996" header="0.25" footer="0.25"/>
  <pageSetup scale="72" fitToHeight="2" orientation="landscape" r:id="rId1"/>
  <headerFooter>
    <oddHeader xml:space="preserve">&amp;L &amp;C &amp;R </oddHeader>
    <oddFooter>&amp;L&amp;7&amp;D  at &amp;T Mike 702.486.8879&amp;C&amp;7&amp;F  &amp;A&amp;R&amp;7Page &amp;P of &amp;N</oddFooter>
  </headerFooter>
  <rowBreaks count="2" manualBreakCount="2">
    <brk id="90" max="11" man="1"/>
    <brk id="129"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FF00"/>
  </sheetPr>
  <dimension ref="A1:R88"/>
  <sheetViews>
    <sheetView showGridLines="0" tabSelected="1" view="pageBreakPreview" zoomScale="70" zoomScaleNormal="100" zoomScaleSheetLayoutView="70" workbookViewId="0">
      <selection activeCell="B35" sqref="B35:D35"/>
    </sheetView>
  </sheetViews>
  <sheetFormatPr defaultColWidth="8.85546875" defaultRowHeight="15" x14ac:dyDescent="0.25"/>
  <cols>
    <col min="1" max="1" width="6.7109375" style="217" bestFit="1" customWidth="1"/>
    <col min="2" max="2" width="21" style="217" customWidth="1"/>
    <col min="3" max="3" width="12.42578125" style="217" customWidth="1"/>
    <col min="4" max="4" width="11.42578125" style="217" customWidth="1"/>
    <col min="5" max="6" width="11" style="217" customWidth="1"/>
    <col min="7" max="7" width="15" style="217" customWidth="1"/>
    <col min="8" max="9" width="11" style="221" customWidth="1"/>
    <col min="10" max="10" width="12.5703125" style="221" customWidth="1"/>
    <col min="11" max="13" width="11" style="221" customWidth="1"/>
    <col min="14" max="14" width="2" style="217" customWidth="1"/>
    <col min="15" max="15" width="6.85546875" style="217" hidden="1" customWidth="1"/>
    <col min="16" max="16" width="10.28515625" style="217" hidden="1" customWidth="1"/>
    <col min="17" max="17" width="6.140625" style="217" hidden="1" customWidth="1"/>
    <col min="18" max="18" width="10" style="217" hidden="1" customWidth="1"/>
    <col min="19" max="16384" width="8.85546875" style="217"/>
  </cols>
  <sheetData>
    <row r="1" spans="1:18" ht="18" x14ac:dyDescent="0.25">
      <c r="A1" s="514" t="s">
        <v>682</v>
      </c>
      <c r="B1" s="215"/>
      <c r="C1" s="215"/>
      <c r="E1" s="640" t="s">
        <v>451</v>
      </c>
      <c r="F1" s="640"/>
      <c r="G1" s="640"/>
      <c r="H1" s="275"/>
      <c r="I1" s="275"/>
      <c r="O1" s="585"/>
      <c r="P1" s="585"/>
      <c r="Q1" s="585"/>
      <c r="R1" s="282"/>
    </row>
    <row r="2" spans="1:18" ht="15.75" x14ac:dyDescent="0.25">
      <c r="A2" s="502" t="str">
        <f>SchoolName</f>
        <v xml:space="preserve">Alaka'i Heritage Academy </v>
      </c>
      <c r="B2" s="218"/>
      <c r="C2" s="218"/>
      <c r="E2" s="217" t="s">
        <v>716</v>
      </c>
      <c r="F2" s="698" t="str">
        <f>+Facilities!H2</f>
        <v xml:space="preserve">3415 S Mojave Rd, Las Vegas, NV 89121 </v>
      </c>
      <c r="G2" s="677"/>
      <c r="H2" s="677"/>
      <c r="I2" s="677"/>
      <c r="J2" s="677"/>
      <c r="K2" s="854"/>
      <c r="L2" s="854"/>
      <c r="M2" s="854"/>
      <c r="O2" s="600"/>
      <c r="P2" s="600"/>
      <c r="Q2" s="601"/>
      <c r="R2" s="602"/>
    </row>
    <row r="3" spans="1:18" x14ac:dyDescent="0.25">
      <c r="A3" s="220" t="s">
        <v>415</v>
      </c>
      <c r="E3" s="217" t="s">
        <v>713</v>
      </c>
      <c r="F3" s="699" t="str">
        <f>+Facilities!H3</f>
        <v>Site 2</v>
      </c>
      <c r="G3" s="678"/>
      <c r="H3" s="678"/>
      <c r="I3" s="678"/>
      <c r="J3" s="678"/>
      <c r="K3" s="854"/>
      <c r="L3" s="854"/>
      <c r="M3" s="854"/>
      <c r="O3" s="603"/>
      <c r="P3" s="603"/>
      <c r="Q3" s="601"/>
      <c r="R3" s="602"/>
    </row>
    <row r="4" spans="1:18" x14ac:dyDescent="0.25">
      <c r="A4" s="222" t="s">
        <v>452</v>
      </c>
      <c r="F4" s="380" t="s">
        <v>715</v>
      </c>
      <c r="H4" s="217"/>
      <c r="O4" s="282"/>
      <c r="P4" s="282"/>
      <c r="Q4" s="282"/>
      <c r="R4" s="282"/>
    </row>
    <row r="5" spans="1:18" x14ac:dyDescent="0.25">
      <c r="A5" s="200" t="str">
        <f ca="1">CELL("filename")</f>
        <v>C:\Users\Kyle.McOmber\Work Folders\Desktop\Alaka'i Appeal Submissions\Second Submission\[Copy of Attachment 16 - Financial Plan Workbook - AHA (002).xlsx]Market</v>
      </c>
      <c r="O5" s="282"/>
      <c r="P5" s="282"/>
      <c r="Q5" s="282"/>
      <c r="R5" s="282"/>
    </row>
    <row r="6" spans="1:18" x14ac:dyDescent="0.25">
      <c r="A6" s="276"/>
      <c r="B6" s="373"/>
      <c r="C6" s="373"/>
      <c r="D6" s="373"/>
      <c r="E6" s="201"/>
      <c r="H6" s="217"/>
      <c r="I6" s="217"/>
      <c r="J6" s="217"/>
      <c r="K6" s="217"/>
      <c r="L6" s="217"/>
      <c r="M6" s="217"/>
    </row>
    <row r="7" spans="1:18" x14ac:dyDescent="0.25">
      <c r="A7" s="276"/>
      <c r="D7" s="683"/>
      <c r="E7" s="1237" t="s">
        <v>433</v>
      </c>
      <c r="F7" s="683"/>
      <c r="G7" s="683"/>
      <c r="H7" s="683"/>
      <c r="I7" s="683"/>
      <c r="J7" s="683"/>
      <c r="K7" s="197"/>
      <c r="L7" s="197"/>
      <c r="M7" s="197"/>
    </row>
    <row r="8" spans="1:18" x14ac:dyDescent="0.25">
      <c r="A8" s="276"/>
      <c r="D8" s="139" t="s">
        <v>434</v>
      </c>
      <c r="E8" s="139" t="s">
        <v>404</v>
      </c>
      <c r="F8" s="139" t="s">
        <v>405</v>
      </c>
      <c r="G8" s="139" t="s">
        <v>406</v>
      </c>
      <c r="H8" s="139" t="s">
        <v>407</v>
      </c>
      <c r="I8" s="139" t="s">
        <v>408</v>
      </c>
      <c r="J8" s="139" t="s">
        <v>409</v>
      </c>
      <c r="K8" s="919"/>
      <c r="L8" s="919"/>
      <c r="M8" s="919"/>
    </row>
    <row r="9" spans="1:18" ht="15.75" x14ac:dyDescent="0.25">
      <c r="A9" s="280"/>
      <c r="D9" s="1238">
        <f>'Enrol Staff &amp; Exp'!G10</f>
        <v>2019</v>
      </c>
      <c r="E9" s="1238">
        <f>'Enrol Staff &amp; Exp'!H10</f>
        <v>2020</v>
      </c>
      <c r="F9" s="1239">
        <f>+E10</f>
        <v>2021</v>
      </c>
      <c r="G9" s="1239">
        <f>+F10</f>
        <v>2022</v>
      </c>
      <c r="H9" s="1239">
        <f>+G10</f>
        <v>2023</v>
      </c>
      <c r="I9" s="1239">
        <f>+H10</f>
        <v>2024</v>
      </c>
      <c r="J9" s="1240">
        <f>+I10</f>
        <v>2025</v>
      </c>
      <c r="K9" s="1241"/>
      <c r="L9" s="1241"/>
      <c r="M9" s="1241"/>
    </row>
    <row r="10" spans="1:18" s="221" customFormat="1" ht="15.75" x14ac:dyDescent="0.25">
      <c r="A10" s="280"/>
      <c r="D10" s="1102">
        <f>+D9+1</f>
        <v>2020</v>
      </c>
      <c r="E10" s="1102">
        <f t="shared" ref="E10:J10" si="0">+E9+1</f>
        <v>2021</v>
      </c>
      <c r="F10" s="1103">
        <f t="shared" si="0"/>
        <v>2022</v>
      </c>
      <c r="G10" s="1103">
        <f t="shared" si="0"/>
        <v>2023</v>
      </c>
      <c r="H10" s="1103">
        <f t="shared" si="0"/>
        <v>2024</v>
      </c>
      <c r="I10" s="1103">
        <f t="shared" si="0"/>
        <v>2025</v>
      </c>
      <c r="J10" s="1104">
        <f t="shared" si="0"/>
        <v>2026</v>
      </c>
      <c r="K10" s="1242"/>
      <c r="L10" s="1242"/>
      <c r="M10" s="1242"/>
      <c r="N10" s="217"/>
    </row>
    <row r="11" spans="1:18" s="221" customFormat="1" ht="15.75" x14ac:dyDescent="0.25">
      <c r="A11" s="280"/>
      <c r="B11" s="219" t="s">
        <v>411</v>
      </c>
      <c r="C11" s="219"/>
      <c r="D11" s="134"/>
      <c r="E11" s="1034"/>
      <c r="F11" s="1034"/>
      <c r="G11" s="1034"/>
      <c r="H11" s="1034"/>
      <c r="I11" s="1034"/>
      <c r="J11" s="1034"/>
      <c r="K11" s="1241"/>
      <c r="L11" s="1241"/>
      <c r="M11" s="1241"/>
      <c r="N11" s="217"/>
    </row>
    <row r="12" spans="1:18" x14ac:dyDescent="0.25">
      <c r="A12" s="280"/>
      <c r="B12" s="285" t="s">
        <v>198</v>
      </c>
      <c r="C12" s="285"/>
      <c r="D12" s="1229">
        <f t="shared" ref="D12:J12" si="1">COUNTIF(D15:D27,"&gt;0")</f>
        <v>0</v>
      </c>
      <c r="E12" s="1229">
        <f t="shared" si="1"/>
        <v>7</v>
      </c>
      <c r="F12" s="1182">
        <f t="shared" si="1"/>
        <v>9</v>
      </c>
      <c r="G12" s="1182">
        <f t="shared" si="1"/>
        <v>10</v>
      </c>
      <c r="H12" s="1182">
        <f t="shared" si="1"/>
        <v>9</v>
      </c>
      <c r="I12" s="1182">
        <f t="shared" si="1"/>
        <v>9</v>
      </c>
      <c r="J12" s="1183">
        <f t="shared" si="1"/>
        <v>9</v>
      </c>
      <c r="K12" s="1243"/>
      <c r="L12" s="1243"/>
      <c r="M12" s="1243"/>
      <c r="O12" s="221"/>
    </row>
    <row r="13" spans="1:18" x14ac:dyDescent="0.25">
      <c r="A13" s="280"/>
      <c r="B13" s="287" t="s">
        <v>284</v>
      </c>
      <c r="C13" s="287"/>
      <c r="D13" s="1230">
        <f>+'Enrol Staff &amp; Exp'!G16</f>
        <v>0</v>
      </c>
      <c r="E13" s="1246">
        <f>+'Enrol Staff &amp; Exp'!H16</f>
        <v>0</v>
      </c>
      <c r="F13" s="1247">
        <f>+'Enrol Staff &amp; Exp'!I16</f>
        <v>0</v>
      </c>
      <c r="G13" s="1247">
        <f>+'Enrol Staff &amp; Exp'!J16</f>
        <v>0</v>
      </c>
      <c r="H13" s="1247">
        <f>+'Enrol Staff &amp; Exp'!K16</f>
        <v>0</v>
      </c>
      <c r="I13" s="1247">
        <f>+'Enrol Staff &amp; Exp'!L16</f>
        <v>0</v>
      </c>
      <c r="J13" s="1248">
        <f>+'Enrol Staff &amp; Exp'!M16</f>
        <v>0</v>
      </c>
      <c r="K13" s="1243"/>
      <c r="L13" s="1243"/>
      <c r="M13" s="1243"/>
      <c r="O13" s="221"/>
    </row>
    <row r="14" spans="1:18" x14ac:dyDescent="0.25">
      <c r="A14" s="280"/>
      <c r="B14" s="285"/>
      <c r="C14" s="285"/>
      <c r="D14" s="1048"/>
      <c r="E14" s="1048"/>
      <c r="F14" s="1048"/>
      <c r="G14" s="1048"/>
      <c r="H14" s="1048"/>
      <c r="I14" s="1048"/>
      <c r="J14" s="1048"/>
      <c r="K14" s="1053"/>
      <c r="L14" s="1053"/>
      <c r="M14" s="1053"/>
      <c r="O14" s="221"/>
    </row>
    <row r="15" spans="1:18" x14ac:dyDescent="0.25">
      <c r="A15" s="280"/>
      <c r="B15" s="292" t="s">
        <v>162</v>
      </c>
      <c r="C15" s="604"/>
      <c r="D15" s="1231">
        <f>'Enrol Staff &amp; Exp'!G18</f>
        <v>0</v>
      </c>
      <c r="E15" s="1231">
        <f>'Enrol Staff &amp; Exp'!H18</f>
        <v>100</v>
      </c>
      <c r="F15" s="1232">
        <f>'Enrol Staff &amp; Exp'!I18</f>
        <v>100</v>
      </c>
      <c r="G15" s="1232">
        <f>'Enrol Staff &amp; Exp'!J18</f>
        <v>100</v>
      </c>
      <c r="H15" s="1232">
        <f>'Enrol Staff &amp; Exp'!K18</f>
        <v>100</v>
      </c>
      <c r="I15" s="1232">
        <f>'Enrol Staff &amp; Exp'!L18</f>
        <v>100</v>
      </c>
      <c r="J15" s="1232">
        <f>'Enrol Staff &amp; Exp'!M18</f>
        <v>100</v>
      </c>
      <c r="K15" s="1054"/>
      <c r="L15" s="1054"/>
      <c r="M15" s="1054"/>
      <c r="O15" s="221"/>
    </row>
    <row r="16" spans="1:18" x14ac:dyDescent="0.25">
      <c r="A16" s="280"/>
      <c r="B16" s="293" t="s">
        <v>174</v>
      </c>
      <c r="C16" s="285"/>
      <c r="D16" s="1233">
        <f>'Enrol Staff &amp; Exp'!G19</f>
        <v>0</v>
      </c>
      <c r="E16" s="1233">
        <f>'Enrol Staff &amp; Exp'!H19</f>
        <v>50</v>
      </c>
      <c r="F16" s="1234">
        <f>'Enrol Staff &amp; Exp'!I19</f>
        <v>100</v>
      </c>
      <c r="G16" s="1234">
        <f>'Enrol Staff &amp; Exp'!J19</f>
        <v>100</v>
      </c>
      <c r="H16" s="1234">
        <f>'Enrol Staff &amp; Exp'!K19</f>
        <v>100</v>
      </c>
      <c r="I16" s="1234">
        <f>'Enrol Staff &amp; Exp'!L19</f>
        <v>100</v>
      </c>
      <c r="J16" s="1234">
        <f>'Enrol Staff &amp; Exp'!M19</f>
        <v>100</v>
      </c>
      <c r="K16" s="1054"/>
      <c r="L16" s="1054"/>
      <c r="M16" s="1054"/>
      <c r="O16" s="221"/>
    </row>
    <row r="17" spans="1:18" x14ac:dyDescent="0.25">
      <c r="A17" s="280"/>
      <c r="B17" s="293" t="s">
        <v>175</v>
      </c>
      <c r="C17" s="285"/>
      <c r="D17" s="1233">
        <f>'Enrol Staff &amp; Exp'!G20</f>
        <v>0</v>
      </c>
      <c r="E17" s="1233">
        <f>'Enrol Staff &amp; Exp'!H20</f>
        <v>50</v>
      </c>
      <c r="F17" s="1234">
        <f>'Enrol Staff &amp; Exp'!I20</f>
        <v>100</v>
      </c>
      <c r="G17" s="1234">
        <f>'Enrol Staff &amp; Exp'!J20</f>
        <v>100</v>
      </c>
      <c r="H17" s="1234">
        <f>'Enrol Staff &amp; Exp'!K20</f>
        <v>100</v>
      </c>
      <c r="I17" s="1234">
        <f>'Enrol Staff &amp; Exp'!L20</f>
        <v>100</v>
      </c>
      <c r="J17" s="1234">
        <f>'Enrol Staff &amp; Exp'!M20</f>
        <v>100</v>
      </c>
      <c r="K17" s="1054"/>
      <c r="L17" s="1054"/>
      <c r="M17" s="1054"/>
      <c r="O17" s="221"/>
    </row>
    <row r="18" spans="1:18" x14ac:dyDescent="0.25">
      <c r="A18" s="280"/>
      <c r="B18" s="293" t="s">
        <v>176</v>
      </c>
      <c r="C18" s="285"/>
      <c r="D18" s="1233">
        <f>'Enrol Staff &amp; Exp'!G21</f>
        <v>0</v>
      </c>
      <c r="E18" s="1233">
        <f>'Enrol Staff &amp; Exp'!H21</f>
        <v>50</v>
      </c>
      <c r="F18" s="1234">
        <f>'Enrol Staff &amp; Exp'!I21</f>
        <v>50</v>
      </c>
      <c r="G18" s="1234">
        <f>'Enrol Staff &amp; Exp'!J21</f>
        <v>100</v>
      </c>
      <c r="H18" s="1234">
        <f>'Enrol Staff &amp; Exp'!K21</f>
        <v>100</v>
      </c>
      <c r="I18" s="1234">
        <f>'Enrol Staff &amp; Exp'!L21</f>
        <v>100</v>
      </c>
      <c r="J18" s="1234">
        <f>'Enrol Staff &amp; Exp'!M21</f>
        <v>100</v>
      </c>
      <c r="K18" s="1054"/>
      <c r="L18" s="1054"/>
      <c r="M18" s="1054"/>
      <c r="O18" s="221"/>
    </row>
    <row r="19" spans="1:18" x14ac:dyDescent="0.25">
      <c r="A19" s="280"/>
      <c r="B19" s="293" t="s">
        <v>177</v>
      </c>
      <c r="C19" s="285"/>
      <c r="D19" s="1233">
        <f>'Enrol Staff &amp; Exp'!G22</f>
        <v>0</v>
      </c>
      <c r="E19" s="1233">
        <f>'Enrol Staff &amp; Exp'!H22</f>
        <v>25</v>
      </c>
      <c r="F19" s="1234">
        <f>'Enrol Staff &amp; Exp'!I22</f>
        <v>50</v>
      </c>
      <c r="G19" s="1234">
        <f>'Enrol Staff &amp; Exp'!J22</f>
        <v>100</v>
      </c>
      <c r="H19" s="1234">
        <f>'Enrol Staff &amp; Exp'!K22</f>
        <v>100</v>
      </c>
      <c r="I19" s="1234">
        <f>'Enrol Staff &amp; Exp'!L22</f>
        <v>100</v>
      </c>
      <c r="J19" s="1234">
        <f>'Enrol Staff &amp; Exp'!M22</f>
        <v>100</v>
      </c>
      <c r="K19" s="1054"/>
      <c r="L19" s="1054"/>
      <c r="M19" s="1054"/>
      <c r="O19" s="221"/>
    </row>
    <row r="20" spans="1:18" x14ac:dyDescent="0.25">
      <c r="A20" s="280"/>
      <c r="B20" s="293" t="s">
        <v>178</v>
      </c>
      <c r="C20" s="285"/>
      <c r="D20" s="1233">
        <f>'Enrol Staff &amp; Exp'!G23</f>
        <v>0</v>
      </c>
      <c r="E20" s="1233">
        <f>'Enrol Staff &amp; Exp'!H23</f>
        <v>25</v>
      </c>
      <c r="F20" s="1234">
        <f>'Enrol Staff &amp; Exp'!I23</f>
        <v>25</v>
      </c>
      <c r="G20" s="1234">
        <f>'Enrol Staff &amp; Exp'!J23</f>
        <v>50</v>
      </c>
      <c r="H20" s="1234">
        <f>'Enrol Staff &amp; Exp'!K23</f>
        <v>100</v>
      </c>
      <c r="I20" s="1234">
        <f>'Enrol Staff &amp; Exp'!L23</f>
        <v>100</v>
      </c>
      <c r="J20" s="1234">
        <f>'Enrol Staff &amp; Exp'!M23</f>
        <v>100</v>
      </c>
      <c r="K20" s="1054"/>
      <c r="L20" s="1054"/>
      <c r="M20" s="1054"/>
      <c r="O20" s="221"/>
    </row>
    <row r="21" spans="1:18" x14ac:dyDescent="0.25">
      <c r="A21" s="280"/>
      <c r="B21" s="293" t="s">
        <v>179</v>
      </c>
      <c r="C21" s="285"/>
      <c r="D21" s="1233">
        <f>'Enrol Staff &amp; Exp'!G24</f>
        <v>0</v>
      </c>
      <c r="E21" s="1233">
        <f>'Enrol Staff &amp; Exp'!H24</f>
        <v>30</v>
      </c>
      <c r="F21" s="1234">
        <f>'Enrol Staff &amp; Exp'!I24</f>
        <v>25</v>
      </c>
      <c r="G21" s="1234">
        <f>'Enrol Staff &amp; Exp'!J24</f>
        <v>60</v>
      </c>
      <c r="H21" s="1234">
        <f>'Enrol Staff &amp; Exp'!K24</f>
        <v>120</v>
      </c>
      <c r="I21" s="1234">
        <f>'Enrol Staff &amp; Exp'!L24</f>
        <v>120</v>
      </c>
      <c r="J21" s="1234">
        <f>'Enrol Staff &amp; Exp'!M24</f>
        <v>120</v>
      </c>
      <c r="K21" s="1054"/>
      <c r="L21" s="1054"/>
      <c r="M21" s="1054"/>
      <c r="O21" s="221"/>
    </row>
    <row r="22" spans="1:18" x14ac:dyDescent="0.25">
      <c r="A22" s="280"/>
      <c r="B22" s="293" t="s">
        <v>180</v>
      </c>
      <c r="C22" s="285"/>
      <c r="D22" s="1233">
        <f>'Enrol Staff &amp; Exp'!G25</f>
        <v>0</v>
      </c>
      <c r="E22" s="1233">
        <f>'Enrol Staff &amp; Exp'!H25</f>
        <v>0</v>
      </c>
      <c r="F22" s="1234">
        <f>'Enrol Staff &amp; Exp'!I25</f>
        <v>60</v>
      </c>
      <c r="G22" s="1234">
        <f>'Enrol Staff &amp; Exp'!J25</f>
        <v>60</v>
      </c>
      <c r="H22" s="1234">
        <f>'Enrol Staff &amp; Exp'!K25</f>
        <v>60</v>
      </c>
      <c r="I22" s="1234">
        <f>'Enrol Staff &amp; Exp'!L25</f>
        <v>120</v>
      </c>
      <c r="J22" s="1234">
        <f>'Enrol Staff &amp; Exp'!M25</f>
        <v>120</v>
      </c>
      <c r="K22" s="1054"/>
      <c r="L22" s="1054"/>
      <c r="M22" s="1054"/>
      <c r="O22" s="221"/>
    </row>
    <row r="23" spans="1:18" x14ac:dyDescent="0.25">
      <c r="A23" s="280"/>
      <c r="B23" s="293" t="s">
        <v>181</v>
      </c>
      <c r="C23" s="285"/>
      <c r="D23" s="1233">
        <f>'Enrol Staff &amp; Exp'!G26</f>
        <v>0</v>
      </c>
      <c r="E23" s="1233">
        <f>'Enrol Staff &amp; Exp'!H26</f>
        <v>0</v>
      </c>
      <c r="F23" s="1234">
        <f>'Enrol Staff &amp; Exp'!I26</f>
        <v>30</v>
      </c>
      <c r="G23" s="1234">
        <f>'Enrol Staff &amp; Exp'!J26</f>
        <v>60</v>
      </c>
      <c r="H23" s="1234">
        <f>'Enrol Staff &amp; Exp'!K26</f>
        <v>60</v>
      </c>
      <c r="I23" s="1234">
        <f>'Enrol Staff &amp; Exp'!L26</f>
        <v>60</v>
      </c>
      <c r="J23" s="1234">
        <f>'Enrol Staff &amp; Exp'!M26</f>
        <v>120</v>
      </c>
      <c r="K23" s="1054"/>
      <c r="L23" s="1054"/>
      <c r="M23" s="1054"/>
      <c r="O23" s="221"/>
    </row>
    <row r="24" spans="1:18" x14ac:dyDescent="0.25">
      <c r="A24" s="280"/>
      <c r="B24" s="293" t="s">
        <v>182</v>
      </c>
      <c r="C24" s="285"/>
      <c r="D24" s="1233">
        <f>'Enrol Staff &amp; Exp'!G27</f>
        <v>0</v>
      </c>
      <c r="E24" s="1233">
        <f>'Enrol Staff &amp; Exp'!H27</f>
        <v>0</v>
      </c>
      <c r="F24" s="1234">
        <f>'Enrol Staff &amp; Exp'!I27</f>
        <v>0</v>
      </c>
      <c r="G24" s="1234">
        <f>'Enrol Staff &amp; Exp'!J27</f>
        <v>30</v>
      </c>
      <c r="H24" s="1234">
        <f>'Enrol Staff &amp; Exp'!K27</f>
        <v>0</v>
      </c>
      <c r="I24" s="1234">
        <f>'Enrol Staff &amp; Exp'!L27</f>
        <v>0</v>
      </c>
      <c r="J24" s="1234">
        <f>'Enrol Staff &amp; Exp'!M27</f>
        <v>0</v>
      </c>
      <c r="K24" s="1054"/>
      <c r="L24" s="1054"/>
      <c r="M24" s="1054"/>
      <c r="O24" s="221"/>
    </row>
    <row r="25" spans="1:18" x14ac:dyDescent="0.25">
      <c r="A25" s="280"/>
      <c r="B25" s="293" t="s">
        <v>183</v>
      </c>
      <c r="C25" s="285"/>
      <c r="D25" s="1233">
        <f>'Enrol Staff &amp; Exp'!G28</f>
        <v>0</v>
      </c>
      <c r="E25" s="1233">
        <f>'Enrol Staff &amp; Exp'!H28</f>
        <v>0</v>
      </c>
      <c r="F25" s="1234">
        <f>'Enrol Staff &amp; Exp'!I28</f>
        <v>0</v>
      </c>
      <c r="G25" s="1234">
        <f>'Enrol Staff &amp; Exp'!J28</f>
        <v>0</v>
      </c>
      <c r="H25" s="1234">
        <f>'Enrol Staff &amp; Exp'!K28</f>
        <v>0</v>
      </c>
      <c r="I25" s="1234">
        <f>'Enrol Staff &amp; Exp'!L28</f>
        <v>0</v>
      </c>
      <c r="J25" s="1234">
        <f>'Enrol Staff &amp; Exp'!M28</f>
        <v>0</v>
      </c>
      <c r="K25" s="1054"/>
      <c r="L25" s="1054"/>
      <c r="M25" s="1054"/>
      <c r="O25" s="221"/>
    </row>
    <row r="26" spans="1:18" x14ac:dyDescent="0.25">
      <c r="A26" s="280"/>
      <c r="B26" s="293" t="s">
        <v>184</v>
      </c>
      <c r="C26" s="285"/>
      <c r="D26" s="1233">
        <f>'Enrol Staff &amp; Exp'!G29</f>
        <v>0</v>
      </c>
      <c r="E26" s="1233">
        <f>'Enrol Staff &amp; Exp'!H29</f>
        <v>0</v>
      </c>
      <c r="F26" s="1234">
        <f>'Enrol Staff &amp; Exp'!I29</f>
        <v>0</v>
      </c>
      <c r="G26" s="1234">
        <f>'Enrol Staff &amp; Exp'!J29</f>
        <v>0</v>
      </c>
      <c r="H26" s="1234">
        <f>'Enrol Staff &amp; Exp'!K29</f>
        <v>0</v>
      </c>
      <c r="I26" s="1234">
        <f>'Enrol Staff &amp; Exp'!L29</f>
        <v>0</v>
      </c>
      <c r="J26" s="1234">
        <f>'Enrol Staff &amp; Exp'!M29</f>
        <v>0</v>
      </c>
      <c r="K26" s="1054"/>
      <c r="L26" s="1054"/>
      <c r="M26" s="1054"/>
      <c r="O26" s="221"/>
    </row>
    <row r="27" spans="1:18" x14ac:dyDescent="0.25">
      <c r="A27" s="280"/>
      <c r="B27" s="293" t="s">
        <v>185</v>
      </c>
      <c r="C27" s="285"/>
      <c r="D27" s="1235">
        <f>'Enrol Staff &amp; Exp'!G30</f>
        <v>0</v>
      </c>
      <c r="E27" s="1235">
        <f>'Enrol Staff &amp; Exp'!H30</f>
        <v>0</v>
      </c>
      <c r="F27" s="1236">
        <f>'Enrol Staff &amp; Exp'!I30</f>
        <v>0</v>
      </c>
      <c r="G27" s="1236">
        <f>'Enrol Staff &amp; Exp'!J30</f>
        <v>0</v>
      </c>
      <c r="H27" s="1236">
        <f>'Enrol Staff &amp; Exp'!K30</f>
        <v>0</v>
      </c>
      <c r="I27" s="1236">
        <f>'Enrol Staff &amp; Exp'!L30</f>
        <v>0</v>
      </c>
      <c r="J27" s="1236">
        <f>'Enrol Staff &amp; Exp'!M30</f>
        <v>0</v>
      </c>
      <c r="K27" s="1054"/>
      <c r="L27" s="1054"/>
      <c r="M27" s="1054"/>
      <c r="O27" s="221"/>
    </row>
    <row r="28" spans="1:18" x14ac:dyDescent="0.25">
      <c r="A28" s="280"/>
      <c r="B28" s="296" t="s">
        <v>186</v>
      </c>
      <c r="C28" s="719"/>
      <c r="D28" s="1244">
        <f t="shared" ref="D28:J28" si="2">SUM(D15:D27)</f>
        <v>0</v>
      </c>
      <c r="E28" s="1244">
        <f t="shared" si="2"/>
        <v>330</v>
      </c>
      <c r="F28" s="1244">
        <f t="shared" si="2"/>
        <v>540</v>
      </c>
      <c r="G28" s="1244">
        <f t="shared" si="2"/>
        <v>760</v>
      </c>
      <c r="H28" s="1244">
        <f t="shared" si="2"/>
        <v>840</v>
      </c>
      <c r="I28" s="1244">
        <f t="shared" si="2"/>
        <v>900</v>
      </c>
      <c r="J28" s="1244">
        <f t="shared" si="2"/>
        <v>960</v>
      </c>
      <c r="K28" s="1245"/>
      <c r="L28" s="1245"/>
      <c r="M28" s="1245"/>
      <c r="O28" s="221"/>
    </row>
    <row r="29" spans="1:18" x14ac:dyDescent="0.25">
      <c r="A29" s="280"/>
      <c r="B29" s="285" t="s">
        <v>575</v>
      </c>
      <c r="C29" s="285"/>
      <c r="D29" s="515"/>
      <c r="E29" s="515" t="e">
        <f t="shared" ref="E29:J29" si="3">+E28/E13</f>
        <v>#DIV/0!</v>
      </c>
      <c r="F29" s="515" t="e">
        <f t="shared" si="3"/>
        <v>#DIV/0!</v>
      </c>
      <c r="G29" s="515" t="e">
        <f t="shared" si="3"/>
        <v>#DIV/0!</v>
      </c>
      <c r="H29" s="515" t="e">
        <f t="shared" si="3"/>
        <v>#DIV/0!</v>
      </c>
      <c r="I29" s="515" t="e">
        <f t="shared" si="3"/>
        <v>#DIV/0!</v>
      </c>
      <c r="J29" s="515" t="e">
        <f t="shared" si="3"/>
        <v>#DIV/0!</v>
      </c>
      <c r="K29" s="515"/>
      <c r="L29" s="515"/>
      <c r="M29" s="515"/>
      <c r="O29" s="221"/>
    </row>
    <row r="30" spans="1:18" x14ac:dyDescent="0.25">
      <c r="A30" s="280"/>
      <c r="B30" s="299"/>
      <c r="C30" s="299"/>
      <c r="D30" s="299"/>
      <c r="E30" s="285"/>
      <c r="F30" s="300"/>
      <c r="G30" s="301"/>
      <c r="H30" s="301"/>
      <c r="I30" s="301"/>
      <c r="J30" s="301"/>
      <c r="K30" s="301"/>
      <c r="L30" s="301"/>
      <c r="M30" s="301"/>
      <c r="N30" s="229"/>
      <c r="O30" s="301"/>
      <c r="P30" s="301"/>
      <c r="Q30" s="301"/>
      <c r="R30" s="301"/>
    </row>
    <row r="31" spans="1:18" ht="15.75" x14ac:dyDescent="0.25">
      <c r="A31" s="875" t="s">
        <v>926</v>
      </c>
      <c r="B31" s="299"/>
      <c r="C31" s="299"/>
      <c r="D31" s="299"/>
      <c r="E31" s="285"/>
      <c r="F31" s="300"/>
      <c r="G31" s="301"/>
      <c r="H31" s="301"/>
      <c r="I31" s="217"/>
      <c r="J31" s="217"/>
      <c r="K31" s="217"/>
      <c r="L31" s="217"/>
      <c r="M31" s="217"/>
      <c r="N31" s="301"/>
      <c r="O31" s="301"/>
      <c r="P31" s="301"/>
      <c r="Q31" s="301"/>
      <c r="R31" s="301"/>
    </row>
    <row r="32" spans="1:18" ht="15.75" x14ac:dyDescent="0.25">
      <c r="A32" s="875"/>
      <c r="B32" s="299"/>
      <c r="C32" s="299"/>
      <c r="D32" s="299"/>
      <c r="E32" s="285"/>
      <c r="F32" s="300"/>
      <c r="G32" s="301"/>
      <c r="H32" s="301"/>
      <c r="I32" s="217"/>
      <c r="J32" s="217"/>
      <c r="K32" s="217"/>
      <c r="L32" s="217"/>
      <c r="M32" s="217"/>
      <c r="N32" s="301"/>
      <c r="O32" s="301"/>
      <c r="P32" s="301"/>
      <c r="Q32" s="301"/>
      <c r="R32" s="301"/>
    </row>
    <row r="33" spans="1:18" ht="15.75" x14ac:dyDescent="0.25">
      <c r="A33" s="676"/>
      <c r="B33" s="1432" t="str">
        <f>F2</f>
        <v xml:space="preserve">3415 S Mojave Rd, Las Vegas, NV 89121 </v>
      </c>
      <c r="C33" s="1432"/>
      <c r="D33" s="1432"/>
      <c r="E33" s="1433"/>
      <c r="F33" s="1433"/>
      <c r="G33" s="1433"/>
      <c r="H33" s="1433"/>
      <c r="I33" s="217"/>
      <c r="J33" s="217"/>
      <c r="K33" s="217"/>
      <c r="L33" s="217"/>
      <c r="M33" s="217"/>
      <c r="N33" s="301"/>
      <c r="O33" s="301"/>
      <c r="P33" s="301"/>
      <c r="Q33" s="301"/>
      <c r="R33" s="301"/>
    </row>
    <row r="34" spans="1:18" ht="30" customHeight="1" x14ac:dyDescent="0.25">
      <c r="A34" s="867"/>
      <c r="B34" s="1434" t="s">
        <v>752</v>
      </c>
      <c r="C34" s="1434"/>
      <c r="D34" s="868"/>
      <c r="E34" s="869" t="s">
        <v>450</v>
      </c>
      <c r="F34" s="870" t="s">
        <v>601</v>
      </c>
      <c r="G34" s="870" t="s">
        <v>603</v>
      </c>
      <c r="H34" s="871" t="s">
        <v>602</v>
      </c>
      <c r="I34" s="872" t="s">
        <v>777</v>
      </c>
      <c r="J34" s="873" t="s">
        <v>776</v>
      </c>
      <c r="K34" s="855"/>
      <c r="L34" s="855"/>
      <c r="M34" s="855"/>
      <c r="O34" s="302" t="s">
        <v>463</v>
      </c>
      <c r="P34" s="304" t="s">
        <v>461</v>
      </c>
      <c r="Q34" s="302" t="s">
        <v>460</v>
      </c>
      <c r="R34" s="304" t="s">
        <v>462</v>
      </c>
    </row>
    <row r="35" spans="1:18" x14ac:dyDescent="0.25">
      <c r="A35" s="863">
        <v>1</v>
      </c>
      <c r="B35" s="1431" t="s">
        <v>878</v>
      </c>
      <c r="C35" s="1431"/>
      <c r="D35" s="1431"/>
      <c r="E35" s="1249">
        <v>1</v>
      </c>
      <c r="F35" s="1250" t="s">
        <v>877</v>
      </c>
      <c r="G35" s="1090">
        <v>200</v>
      </c>
      <c r="H35" s="1090">
        <v>100</v>
      </c>
      <c r="I35" s="874">
        <f t="shared" ref="I35:I44" si="4">+G35-H35</f>
        <v>100</v>
      </c>
      <c r="J35" s="1254">
        <v>1</v>
      </c>
      <c r="K35" s="855"/>
      <c r="L35" s="855"/>
      <c r="M35" s="855"/>
      <c r="O35" s="521">
        <v>0.5</v>
      </c>
      <c r="P35" s="305">
        <f t="shared" ref="P35:P44" si="5">+O35*$G35</f>
        <v>100</v>
      </c>
      <c r="Q35" s="521">
        <v>0.05</v>
      </c>
      <c r="R35" s="217">
        <f t="shared" ref="R35:R44" si="6">+Q35*$G$35</f>
        <v>10</v>
      </c>
    </row>
    <row r="36" spans="1:18" x14ac:dyDescent="0.25">
      <c r="A36" s="1228">
        <v>2</v>
      </c>
      <c r="B36" s="1429" t="s">
        <v>924</v>
      </c>
      <c r="C36" s="1429"/>
      <c r="D36" s="1429"/>
      <c r="E36" s="1249"/>
      <c r="F36" s="1250"/>
      <c r="G36" s="1090">
        <v>0</v>
      </c>
      <c r="H36" s="1090">
        <v>0</v>
      </c>
      <c r="I36" s="433">
        <f t="shared" si="4"/>
        <v>0</v>
      </c>
      <c r="J36" s="1255">
        <v>0</v>
      </c>
      <c r="K36" s="855"/>
      <c r="L36" s="855"/>
      <c r="M36" s="855"/>
      <c r="O36" s="521">
        <v>0.5</v>
      </c>
      <c r="P36" s="305">
        <f t="shared" si="5"/>
        <v>0</v>
      </c>
      <c r="Q36" s="521">
        <v>0.05</v>
      </c>
      <c r="R36" s="217">
        <f t="shared" si="6"/>
        <v>10</v>
      </c>
    </row>
    <row r="37" spans="1:18" x14ac:dyDescent="0.25">
      <c r="A37" s="1228">
        <v>3</v>
      </c>
      <c r="B37" s="1429"/>
      <c r="C37" s="1429"/>
      <c r="D37" s="1429"/>
      <c r="E37" s="1249"/>
      <c r="F37" s="1250"/>
      <c r="G37" s="1090">
        <v>0</v>
      </c>
      <c r="H37" s="1090">
        <v>0</v>
      </c>
      <c r="I37" s="433">
        <f t="shared" si="4"/>
        <v>0</v>
      </c>
      <c r="J37" s="1255">
        <v>0</v>
      </c>
      <c r="K37" s="855"/>
      <c r="L37" s="855"/>
      <c r="M37" s="855"/>
      <c r="O37" s="521">
        <v>0.5</v>
      </c>
      <c r="P37" s="305">
        <f t="shared" si="5"/>
        <v>0</v>
      </c>
      <c r="Q37" s="521">
        <v>0.05</v>
      </c>
      <c r="R37" s="217">
        <f t="shared" si="6"/>
        <v>10</v>
      </c>
    </row>
    <row r="38" spans="1:18" x14ac:dyDescent="0.25">
      <c r="A38" s="1228">
        <v>4</v>
      </c>
      <c r="B38" s="1429"/>
      <c r="C38" s="1429"/>
      <c r="D38" s="1429"/>
      <c r="E38" s="1249"/>
      <c r="F38" s="1250"/>
      <c r="G38" s="1090">
        <v>0</v>
      </c>
      <c r="H38" s="1090">
        <v>0</v>
      </c>
      <c r="I38" s="433">
        <f t="shared" si="4"/>
        <v>0</v>
      </c>
      <c r="J38" s="1255">
        <v>0</v>
      </c>
      <c r="K38" s="855"/>
      <c r="L38" s="855"/>
      <c r="M38" s="855"/>
      <c r="O38" s="521">
        <v>0.5</v>
      </c>
      <c r="P38" s="305">
        <f t="shared" si="5"/>
        <v>0</v>
      </c>
      <c r="Q38" s="521">
        <v>0.05</v>
      </c>
      <c r="R38" s="217">
        <f t="shared" si="6"/>
        <v>10</v>
      </c>
    </row>
    <row r="39" spans="1:18" x14ac:dyDescent="0.25">
      <c r="A39" s="1228">
        <v>5</v>
      </c>
      <c r="B39" s="1429"/>
      <c r="C39" s="1429"/>
      <c r="D39" s="1429"/>
      <c r="E39" s="1249"/>
      <c r="F39" s="1250"/>
      <c r="G39" s="1090">
        <v>0</v>
      </c>
      <c r="H39" s="1090">
        <v>0</v>
      </c>
      <c r="I39" s="433">
        <f t="shared" si="4"/>
        <v>0</v>
      </c>
      <c r="J39" s="1255">
        <v>0</v>
      </c>
      <c r="K39" s="855"/>
      <c r="L39" s="855"/>
      <c r="M39" s="855"/>
      <c r="O39" s="521">
        <v>0.5</v>
      </c>
      <c r="P39" s="305">
        <f t="shared" si="5"/>
        <v>0</v>
      </c>
      <c r="Q39" s="521">
        <v>0.05</v>
      </c>
      <c r="R39" s="217">
        <f t="shared" si="6"/>
        <v>10</v>
      </c>
    </row>
    <row r="40" spans="1:18" x14ac:dyDescent="0.25">
      <c r="A40" s="1228">
        <v>6</v>
      </c>
      <c r="B40" s="1429"/>
      <c r="C40" s="1429"/>
      <c r="D40" s="1429"/>
      <c r="E40" s="1249"/>
      <c r="F40" s="1250"/>
      <c r="G40" s="1090">
        <v>0</v>
      </c>
      <c r="H40" s="1090">
        <v>0</v>
      </c>
      <c r="I40" s="433">
        <f t="shared" si="4"/>
        <v>0</v>
      </c>
      <c r="J40" s="1255">
        <v>0</v>
      </c>
      <c r="K40" s="855"/>
      <c r="L40" s="855"/>
      <c r="M40" s="855"/>
      <c r="O40" s="521">
        <v>0.5</v>
      </c>
      <c r="P40" s="305">
        <f t="shared" si="5"/>
        <v>0</v>
      </c>
      <c r="Q40" s="521">
        <v>0.05</v>
      </c>
      <c r="R40" s="217">
        <f t="shared" si="6"/>
        <v>10</v>
      </c>
    </row>
    <row r="41" spans="1:18" x14ac:dyDescent="0.25">
      <c r="A41" s="1228">
        <v>7</v>
      </c>
      <c r="B41" s="1429"/>
      <c r="C41" s="1429"/>
      <c r="D41" s="1429"/>
      <c r="E41" s="1249"/>
      <c r="F41" s="1250"/>
      <c r="G41" s="1090">
        <v>0</v>
      </c>
      <c r="H41" s="1090">
        <v>0</v>
      </c>
      <c r="I41" s="433">
        <f t="shared" si="4"/>
        <v>0</v>
      </c>
      <c r="J41" s="1255">
        <v>0</v>
      </c>
      <c r="K41" s="855"/>
      <c r="L41" s="855"/>
      <c r="M41" s="855"/>
      <c r="O41" s="521">
        <v>0.5</v>
      </c>
      <c r="P41" s="305">
        <f t="shared" si="5"/>
        <v>0</v>
      </c>
      <c r="Q41" s="521">
        <v>0.05</v>
      </c>
      <c r="R41" s="217">
        <f t="shared" si="6"/>
        <v>10</v>
      </c>
    </row>
    <row r="42" spans="1:18" x14ac:dyDescent="0.25">
      <c r="A42" s="1228">
        <v>8</v>
      </c>
      <c r="B42" s="1429"/>
      <c r="C42" s="1429"/>
      <c r="D42" s="1429"/>
      <c r="E42" s="1249"/>
      <c r="F42" s="1250"/>
      <c r="G42" s="1090">
        <v>0</v>
      </c>
      <c r="H42" s="1090">
        <v>0</v>
      </c>
      <c r="I42" s="433">
        <f t="shared" si="4"/>
        <v>0</v>
      </c>
      <c r="J42" s="1255">
        <v>0</v>
      </c>
      <c r="K42" s="855"/>
      <c r="L42" s="855"/>
      <c r="M42" s="855"/>
      <c r="O42" s="521">
        <v>0.5</v>
      </c>
      <c r="P42" s="305">
        <f t="shared" si="5"/>
        <v>0</v>
      </c>
      <c r="Q42" s="521">
        <v>0.05</v>
      </c>
      <c r="R42" s="217">
        <f t="shared" si="6"/>
        <v>10</v>
      </c>
    </row>
    <row r="43" spans="1:18" x14ac:dyDescent="0.25">
      <c r="A43" s="1228">
        <v>9</v>
      </c>
      <c r="B43" s="1429"/>
      <c r="C43" s="1429"/>
      <c r="D43" s="1429"/>
      <c r="E43" s="1249"/>
      <c r="F43" s="1250"/>
      <c r="G43" s="1090">
        <v>0</v>
      </c>
      <c r="H43" s="1090">
        <v>0</v>
      </c>
      <c r="I43" s="433">
        <f t="shared" si="4"/>
        <v>0</v>
      </c>
      <c r="J43" s="1255">
        <v>0</v>
      </c>
      <c r="K43" s="855"/>
      <c r="L43" s="855"/>
      <c r="M43" s="855"/>
      <c r="O43" s="521">
        <v>0.5</v>
      </c>
      <c r="P43" s="305">
        <f t="shared" si="5"/>
        <v>0</v>
      </c>
      <c r="Q43" s="521">
        <v>0.05</v>
      </c>
      <c r="R43" s="217">
        <f t="shared" si="6"/>
        <v>10</v>
      </c>
    </row>
    <row r="44" spans="1:18" x14ac:dyDescent="0.25">
      <c r="A44" s="865">
        <v>10</v>
      </c>
      <c r="B44" s="1430"/>
      <c r="C44" s="1430"/>
      <c r="D44" s="1430"/>
      <c r="E44" s="1251"/>
      <c r="F44" s="1252"/>
      <c r="G44" s="1253">
        <v>0</v>
      </c>
      <c r="H44" s="1253">
        <v>0</v>
      </c>
      <c r="I44" s="866">
        <f t="shared" si="4"/>
        <v>0</v>
      </c>
      <c r="J44" s="1256">
        <v>0</v>
      </c>
      <c r="K44" s="855"/>
      <c r="L44" s="855"/>
      <c r="M44" s="855"/>
      <c r="O44" s="521">
        <v>0.5</v>
      </c>
      <c r="P44" s="305">
        <f t="shared" si="5"/>
        <v>0</v>
      </c>
      <c r="Q44" s="521">
        <v>0.05</v>
      </c>
      <c r="R44" s="217">
        <f t="shared" si="6"/>
        <v>10</v>
      </c>
    </row>
    <row r="45" spans="1:18" x14ac:dyDescent="0.25">
      <c r="A45" s="280"/>
      <c r="B45" s="285"/>
      <c r="C45" s="285"/>
      <c r="D45" s="285"/>
      <c r="E45" s="285"/>
      <c r="F45" s="675"/>
      <c r="G45" s="675">
        <f>SUM(G35:G44)</f>
        <v>200</v>
      </c>
      <c r="H45" s="675">
        <f>SUM(H35:H44)</f>
        <v>100</v>
      </c>
      <c r="I45" s="675">
        <f>SUM(I35:I44)</f>
        <v>100</v>
      </c>
      <c r="J45" s="1371">
        <f>IFERROR(SUMPRODUCT(I35:I44,J35:J44)/I45,0)</f>
        <v>1</v>
      </c>
      <c r="K45" s="1370"/>
      <c r="L45" s="855"/>
      <c r="M45" s="855"/>
      <c r="N45" s="675"/>
      <c r="O45" s="605">
        <f>SUM(P35:P44)</f>
        <v>100</v>
      </c>
      <c r="P45" s="605">
        <f>SUM(Q35:Q44)</f>
        <v>0.49999999999999994</v>
      </c>
      <c r="Q45" s="605">
        <f>SUM(R35:R44)</f>
        <v>100</v>
      </c>
      <c r="R45" s="605" t="e">
        <f>SUM(#REF!)</f>
        <v>#REF!</v>
      </c>
    </row>
    <row r="46" spans="1:18" x14ac:dyDescent="0.25">
      <c r="A46" s="280"/>
      <c r="B46" s="696"/>
      <c r="C46" s="696"/>
      <c r="D46" s="696"/>
      <c r="E46" s="285"/>
      <c r="F46" s="285"/>
      <c r="G46" s="285"/>
      <c r="H46" s="285"/>
      <c r="I46" s="285"/>
      <c r="J46" s="285"/>
      <c r="K46" s="285"/>
      <c r="L46" s="285"/>
      <c r="M46" s="285"/>
      <c r="N46" s="303"/>
      <c r="O46" s="303"/>
      <c r="P46" s="303"/>
      <c r="Q46" s="303"/>
      <c r="R46" s="303"/>
    </row>
    <row r="47" spans="1:18" x14ac:dyDescent="0.25">
      <c r="A47" s="280"/>
      <c r="B47" s="856"/>
      <c r="C47" s="857" t="s">
        <v>640</v>
      </c>
      <c r="D47" s="858"/>
      <c r="E47" s="858"/>
      <c r="F47" s="858"/>
      <c r="G47" s="858"/>
      <c r="H47" s="858"/>
      <c r="I47" s="858"/>
      <c r="J47" s="859" t="s">
        <v>641</v>
      </c>
      <c r="K47" s="860"/>
      <c r="L47" s="860"/>
      <c r="M47" s="861"/>
      <c r="N47" s="303"/>
      <c r="O47" s="303"/>
      <c r="P47" s="303"/>
      <c r="Q47" s="303"/>
      <c r="R47" s="303"/>
    </row>
    <row r="48" spans="1:18" ht="24" x14ac:dyDescent="0.25">
      <c r="A48" s="280"/>
      <c r="B48" s="856"/>
      <c r="C48" s="862" t="s">
        <v>643</v>
      </c>
      <c r="D48" s="862" t="s">
        <v>644</v>
      </c>
      <c r="E48" s="862" t="s">
        <v>645</v>
      </c>
      <c r="F48" s="862" t="s">
        <v>646</v>
      </c>
      <c r="G48" s="862" t="s">
        <v>647</v>
      </c>
      <c r="H48" s="862" t="s">
        <v>648</v>
      </c>
      <c r="I48" s="862" t="s">
        <v>649</v>
      </c>
      <c r="J48" s="862" t="s">
        <v>463</v>
      </c>
      <c r="K48" s="862" t="s">
        <v>642</v>
      </c>
      <c r="L48" s="1226" t="s">
        <v>460</v>
      </c>
      <c r="M48" s="1227" t="s">
        <v>459</v>
      </c>
      <c r="N48" s="303"/>
      <c r="O48" s="303"/>
      <c r="P48" s="303"/>
      <c r="Q48" s="303"/>
      <c r="R48" s="303"/>
    </row>
    <row r="49" spans="1:18" x14ac:dyDescent="0.25">
      <c r="A49" s="280">
        <f t="shared" ref="A49:B58" si="7">+A35</f>
        <v>1</v>
      </c>
      <c r="B49" s="1223" t="str">
        <f t="shared" si="7"/>
        <v>Sample nearby school (Overwrite this)</v>
      </c>
      <c r="C49" s="1257">
        <v>0</v>
      </c>
      <c r="D49" s="1257">
        <v>0</v>
      </c>
      <c r="E49" s="1257">
        <v>0</v>
      </c>
      <c r="F49" s="1257">
        <v>0</v>
      </c>
      <c r="G49" s="1257">
        <v>0</v>
      </c>
      <c r="H49" s="1257">
        <v>0</v>
      </c>
      <c r="I49" s="1257">
        <v>0</v>
      </c>
      <c r="J49" s="1257">
        <v>0</v>
      </c>
      <c r="K49" s="1257">
        <v>0</v>
      </c>
      <c r="L49" s="1257">
        <v>0</v>
      </c>
      <c r="M49" s="1258">
        <v>0</v>
      </c>
      <c r="N49" s="303"/>
      <c r="O49" s="303"/>
      <c r="P49" s="303"/>
      <c r="Q49" s="303"/>
      <c r="R49" s="303"/>
    </row>
    <row r="50" spans="1:18" x14ac:dyDescent="0.25">
      <c r="A50" s="280">
        <f t="shared" si="7"/>
        <v>2</v>
      </c>
      <c r="B50" s="1224" t="str">
        <f t="shared" si="7"/>
        <v xml:space="preserve">Test </v>
      </c>
      <c r="C50" s="1259">
        <v>0</v>
      </c>
      <c r="D50" s="1259">
        <v>0</v>
      </c>
      <c r="E50" s="1259">
        <v>0</v>
      </c>
      <c r="F50" s="1259">
        <v>0</v>
      </c>
      <c r="G50" s="1259">
        <v>0</v>
      </c>
      <c r="H50" s="1259">
        <v>0</v>
      </c>
      <c r="I50" s="1259">
        <v>0</v>
      </c>
      <c r="J50" s="1259">
        <v>0</v>
      </c>
      <c r="K50" s="1259">
        <v>0</v>
      </c>
      <c r="L50" s="1259">
        <v>0</v>
      </c>
      <c r="M50" s="1260">
        <v>0</v>
      </c>
      <c r="N50" s="303"/>
      <c r="O50" s="303"/>
      <c r="P50" s="303"/>
      <c r="Q50" s="303"/>
      <c r="R50" s="303"/>
    </row>
    <row r="51" spans="1:18" x14ac:dyDescent="0.25">
      <c r="A51" s="280">
        <f t="shared" si="7"/>
        <v>3</v>
      </c>
      <c r="B51" s="1224">
        <f t="shared" si="7"/>
        <v>0</v>
      </c>
      <c r="C51" s="1259">
        <v>0</v>
      </c>
      <c r="D51" s="1259">
        <v>0</v>
      </c>
      <c r="E51" s="1259">
        <v>0</v>
      </c>
      <c r="F51" s="1259">
        <v>0</v>
      </c>
      <c r="G51" s="1259">
        <v>0</v>
      </c>
      <c r="H51" s="1259">
        <v>0</v>
      </c>
      <c r="I51" s="1259">
        <v>0</v>
      </c>
      <c r="J51" s="1259">
        <v>0</v>
      </c>
      <c r="K51" s="1259">
        <v>0</v>
      </c>
      <c r="L51" s="1259">
        <v>0</v>
      </c>
      <c r="M51" s="1260">
        <v>0</v>
      </c>
      <c r="N51" s="303"/>
      <c r="O51" s="303"/>
      <c r="P51" s="303"/>
      <c r="Q51" s="303"/>
      <c r="R51" s="303"/>
    </row>
    <row r="52" spans="1:18" x14ac:dyDescent="0.25">
      <c r="A52" s="280">
        <f t="shared" si="7"/>
        <v>4</v>
      </c>
      <c r="B52" s="1224">
        <f t="shared" si="7"/>
        <v>0</v>
      </c>
      <c r="C52" s="1259">
        <v>0</v>
      </c>
      <c r="D52" s="1259">
        <v>0</v>
      </c>
      <c r="E52" s="1259">
        <v>0</v>
      </c>
      <c r="F52" s="1259">
        <v>0</v>
      </c>
      <c r="G52" s="1259">
        <v>0</v>
      </c>
      <c r="H52" s="1259">
        <v>0</v>
      </c>
      <c r="I52" s="1259">
        <v>0</v>
      </c>
      <c r="J52" s="1259">
        <v>0</v>
      </c>
      <c r="K52" s="1259">
        <v>0</v>
      </c>
      <c r="L52" s="1259">
        <v>0</v>
      </c>
      <c r="M52" s="1260">
        <v>0</v>
      </c>
      <c r="N52" s="303"/>
      <c r="O52" s="303"/>
      <c r="P52" s="303"/>
      <c r="Q52" s="303"/>
      <c r="R52" s="303"/>
    </row>
    <row r="53" spans="1:18" x14ac:dyDescent="0.25">
      <c r="A53" s="280">
        <f t="shared" si="7"/>
        <v>5</v>
      </c>
      <c r="B53" s="1224">
        <f t="shared" si="7"/>
        <v>0</v>
      </c>
      <c r="C53" s="1259">
        <v>0</v>
      </c>
      <c r="D53" s="1259">
        <v>0</v>
      </c>
      <c r="E53" s="1259">
        <v>0</v>
      </c>
      <c r="F53" s="1259">
        <v>0</v>
      </c>
      <c r="G53" s="1259">
        <v>0</v>
      </c>
      <c r="H53" s="1259">
        <v>0</v>
      </c>
      <c r="I53" s="1259">
        <v>0</v>
      </c>
      <c r="J53" s="1259">
        <v>0</v>
      </c>
      <c r="K53" s="1259">
        <v>0</v>
      </c>
      <c r="L53" s="1259">
        <v>0</v>
      </c>
      <c r="M53" s="1260">
        <v>0</v>
      </c>
      <c r="N53" s="303"/>
      <c r="O53" s="303"/>
      <c r="P53" s="303"/>
      <c r="Q53" s="303"/>
      <c r="R53" s="303"/>
    </row>
    <row r="54" spans="1:18" x14ac:dyDescent="0.25">
      <c r="A54" s="280">
        <f t="shared" si="7"/>
        <v>6</v>
      </c>
      <c r="B54" s="1224">
        <f t="shared" si="7"/>
        <v>0</v>
      </c>
      <c r="C54" s="1259">
        <v>0</v>
      </c>
      <c r="D54" s="1259">
        <v>0</v>
      </c>
      <c r="E54" s="1259">
        <v>0</v>
      </c>
      <c r="F54" s="1259">
        <v>0</v>
      </c>
      <c r="G54" s="1259">
        <v>0</v>
      </c>
      <c r="H54" s="1259">
        <v>0</v>
      </c>
      <c r="I54" s="1259">
        <v>0</v>
      </c>
      <c r="J54" s="1259">
        <v>0</v>
      </c>
      <c r="K54" s="1259">
        <v>0</v>
      </c>
      <c r="L54" s="1259">
        <v>0</v>
      </c>
      <c r="M54" s="1260">
        <v>0</v>
      </c>
      <c r="N54" s="303"/>
      <c r="O54" s="303"/>
      <c r="P54" s="303"/>
      <c r="Q54" s="303"/>
      <c r="R54" s="303"/>
    </row>
    <row r="55" spans="1:18" x14ac:dyDescent="0.25">
      <c r="A55" s="280">
        <f t="shared" si="7"/>
        <v>7</v>
      </c>
      <c r="B55" s="1224">
        <f t="shared" si="7"/>
        <v>0</v>
      </c>
      <c r="C55" s="1259">
        <v>0</v>
      </c>
      <c r="D55" s="1259">
        <v>0</v>
      </c>
      <c r="E55" s="1259">
        <v>0</v>
      </c>
      <c r="F55" s="1259">
        <v>0</v>
      </c>
      <c r="G55" s="1259">
        <v>0</v>
      </c>
      <c r="H55" s="1259">
        <v>0</v>
      </c>
      <c r="I55" s="1259">
        <v>0</v>
      </c>
      <c r="J55" s="1259">
        <v>0</v>
      </c>
      <c r="K55" s="1259">
        <v>0</v>
      </c>
      <c r="L55" s="1259">
        <v>0</v>
      </c>
      <c r="M55" s="1260">
        <v>0</v>
      </c>
      <c r="N55" s="303"/>
      <c r="O55" s="303"/>
      <c r="P55" s="303"/>
      <c r="Q55" s="303"/>
      <c r="R55" s="303"/>
    </row>
    <row r="56" spans="1:18" x14ac:dyDescent="0.25">
      <c r="A56" s="280">
        <f t="shared" si="7"/>
        <v>8</v>
      </c>
      <c r="B56" s="1224">
        <f t="shared" si="7"/>
        <v>0</v>
      </c>
      <c r="C56" s="1259">
        <v>0</v>
      </c>
      <c r="D56" s="1259">
        <v>0</v>
      </c>
      <c r="E56" s="1259">
        <v>0</v>
      </c>
      <c r="F56" s="1259">
        <v>0</v>
      </c>
      <c r="G56" s="1259">
        <v>0</v>
      </c>
      <c r="H56" s="1259">
        <v>0</v>
      </c>
      <c r="I56" s="1259">
        <v>0</v>
      </c>
      <c r="J56" s="1259">
        <v>0</v>
      </c>
      <c r="K56" s="1259">
        <v>0</v>
      </c>
      <c r="L56" s="1259">
        <v>0</v>
      </c>
      <c r="M56" s="1260">
        <v>0</v>
      </c>
      <c r="N56" s="303"/>
      <c r="O56" s="303"/>
      <c r="P56" s="303"/>
      <c r="Q56" s="303"/>
      <c r="R56" s="303"/>
    </row>
    <row r="57" spans="1:18" x14ac:dyDescent="0.25">
      <c r="A57" s="280">
        <f t="shared" si="7"/>
        <v>9</v>
      </c>
      <c r="B57" s="1224">
        <f t="shared" si="7"/>
        <v>0</v>
      </c>
      <c r="C57" s="1259">
        <v>0</v>
      </c>
      <c r="D57" s="1259">
        <v>0</v>
      </c>
      <c r="E57" s="1259">
        <v>0</v>
      </c>
      <c r="F57" s="1259">
        <v>0</v>
      </c>
      <c r="G57" s="1259">
        <v>0</v>
      </c>
      <c r="H57" s="1259">
        <v>0</v>
      </c>
      <c r="I57" s="1259">
        <v>0</v>
      </c>
      <c r="J57" s="1259">
        <v>0</v>
      </c>
      <c r="K57" s="1259">
        <v>0</v>
      </c>
      <c r="L57" s="1259">
        <v>0</v>
      </c>
      <c r="M57" s="1260">
        <v>0</v>
      </c>
      <c r="N57" s="303"/>
      <c r="O57" s="303"/>
      <c r="P57" s="303"/>
      <c r="Q57" s="303"/>
      <c r="R57" s="303"/>
    </row>
    <row r="58" spans="1:18" x14ac:dyDescent="0.25">
      <c r="A58" s="280">
        <f t="shared" si="7"/>
        <v>10</v>
      </c>
      <c r="B58" s="1225">
        <f t="shared" si="7"/>
        <v>0</v>
      </c>
      <c r="C58" s="1261">
        <v>0</v>
      </c>
      <c r="D58" s="1261">
        <v>0</v>
      </c>
      <c r="E58" s="1261">
        <v>0</v>
      </c>
      <c r="F58" s="1261">
        <v>0</v>
      </c>
      <c r="G58" s="1261">
        <v>0</v>
      </c>
      <c r="H58" s="1261">
        <v>0</v>
      </c>
      <c r="I58" s="1261">
        <v>0</v>
      </c>
      <c r="J58" s="1261">
        <v>0</v>
      </c>
      <c r="K58" s="1261">
        <v>0</v>
      </c>
      <c r="L58" s="1261">
        <v>0</v>
      </c>
      <c r="M58" s="1262">
        <v>0</v>
      </c>
      <c r="N58" s="303"/>
      <c r="O58" s="303"/>
      <c r="P58" s="303"/>
      <c r="Q58" s="303"/>
      <c r="R58" s="303"/>
    </row>
    <row r="61" spans="1:18" ht="15.75" x14ac:dyDescent="0.25">
      <c r="A61" s="875" t="s">
        <v>778</v>
      </c>
      <c r="B61" s="299"/>
      <c r="C61" s="299"/>
      <c r="D61" s="299"/>
      <c r="E61" s="285"/>
      <c r="F61" s="300"/>
      <c r="G61" s="301"/>
      <c r="H61" s="301"/>
      <c r="I61" s="217"/>
      <c r="J61" s="217"/>
      <c r="K61" s="217"/>
      <c r="L61" s="217"/>
      <c r="M61" s="217"/>
      <c r="N61" s="301"/>
      <c r="O61" s="301"/>
      <c r="P61" s="301"/>
      <c r="Q61" s="301"/>
      <c r="R61" s="301"/>
    </row>
    <row r="62" spans="1:18" x14ac:dyDescent="0.25">
      <c r="A62" s="676"/>
      <c r="B62" s="299"/>
      <c r="C62" s="299"/>
      <c r="D62" s="299"/>
      <c r="E62" s="285"/>
      <c r="F62" s="300"/>
      <c r="G62" s="301"/>
      <c r="H62" s="301"/>
      <c r="I62" s="217"/>
      <c r="J62" s="217"/>
      <c r="K62" s="217"/>
      <c r="L62" s="217"/>
      <c r="M62" s="217"/>
      <c r="N62" s="301"/>
      <c r="O62" s="301"/>
      <c r="P62" s="301"/>
      <c r="Q62" s="301"/>
      <c r="R62" s="301"/>
    </row>
    <row r="63" spans="1:18" ht="15.75" x14ac:dyDescent="0.25">
      <c r="A63" s="676"/>
      <c r="B63" s="1432" t="str">
        <f>F3</f>
        <v>Site 2</v>
      </c>
      <c r="C63" s="1432"/>
      <c r="D63" s="1432"/>
      <c r="E63" s="1433"/>
      <c r="F63" s="1433"/>
      <c r="G63" s="1433"/>
      <c r="H63" s="1433"/>
      <c r="I63" s="217"/>
      <c r="J63" s="217"/>
      <c r="K63" s="217"/>
      <c r="L63" s="217"/>
      <c r="M63" s="217"/>
      <c r="N63" s="301"/>
      <c r="O63" s="301"/>
      <c r="P63" s="301"/>
      <c r="Q63" s="301"/>
      <c r="R63" s="301"/>
    </row>
    <row r="64" spans="1:18" ht="29.25" x14ac:dyDescent="0.25">
      <c r="A64" s="867"/>
      <c r="B64" s="1434" t="s">
        <v>752</v>
      </c>
      <c r="C64" s="1434"/>
      <c r="D64" s="868"/>
      <c r="E64" s="869" t="s">
        <v>450</v>
      </c>
      <c r="F64" s="870" t="s">
        <v>601</v>
      </c>
      <c r="G64" s="870" t="s">
        <v>603</v>
      </c>
      <c r="H64" s="871" t="s">
        <v>602</v>
      </c>
      <c r="I64" s="872" t="s">
        <v>777</v>
      </c>
      <c r="J64" s="873" t="s">
        <v>776</v>
      </c>
      <c r="K64" s="217"/>
      <c r="L64" s="217"/>
      <c r="M64" s="217"/>
      <c r="O64" s="302" t="s">
        <v>463</v>
      </c>
      <c r="P64" s="304" t="s">
        <v>461</v>
      </c>
      <c r="Q64" s="302" t="s">
        <v>460</v>
      </c>
      <c r="R64" s="304" t="s">
        <v>462</v>
      </c>
    </row>
    <row r="65" spans="1:18" x14ac:dyDescent="0.25">
      <c r="A65" s="864">
        <v>1</v>
      </c>
      <c r="B65" s="1431" t="s">
        <v>925</v>
      </c>
      <c r="C65" s="1431"/>
      <c r="D65" s="1431"/>
      <c r="E65" s="1249"/>
      <c r="F65" s="1250"/>
      <c r="G65" s="1090">
        <v>0</v>
      </c>
      <c r="H65" s="1090">
        <v>0</v>
      </c>
      <c r="I65" s="433">
        <f t="shared" ref="I65:I74" si="8">+G65-H65</f>
        <v>0</v>
      </c>
      <c r="J65" s="1254">
        <v>0</v>
      </c>
      <c r="K65" s="217"/>
      <c r="L65" s="217"/>
      <c r="M65" s="217"/>
      <c r="O65" s="521">
        <v>0.5</v>
      </c>
      <c r="P65" s="305">
        <f t="shared" ref="P65:P74" si="9">+O65*$G65</f>
        <v>0</v>
      </c>
      <c r="Q65" s="521">
        <v>0.05</v>
      </c>
      <c r="R65" s="217">
        <f t="shared" ref="R65:R74" si="10">+Q65*$G$35</f>
        <v>10</v>
      </c>
    </row>
    <row r="66" spans="1:18" x14ac:dyDescent="0.25">
      <c r="A66" s="1228">
        <v>2</v>
      </c>
      <c r="B66" s="1429"/>
      <c r="C66" s="1429"/>
      <c r="D66" s="1429"/>
      <c r="E66" s="1249"/>
      <c r="F66" s="1250"/>
      <c r="G66" s="1090">
        <v>0</v>
      </c>
      <c r="H66" s="1090">
        <v>0</v>
      </c>
      <c r="I66" s="433">
        <f t="shared" si="8"/>
        <v>0</v>
      </c>
      <c r="J66" s="1255">
        <v>0</v>
      </c>
      <c r="K66" s="217"/>
      <c r="L66" s="217"/>
      <c r="M66" s="217"/>
      <c r="O66" s="521">
        <v>0.5</v>
      </c>
      <c r="P66" s="305">
        <f t="shared" si="9"/>
        <v>0</v>
      </c>
      <c r="Q66" s="521">
        <v>0.05</v>
      </c>
      <c r="R66" s="217">
        <f t="shared" si="10"/>
        <v>10</v>
      </c>
    </row>
    <row r="67" spans="1:18" x14ac:dyDescent="0.25">
      <c r="A67" s="1228">
        <v>3</v>
      </c>
      <c r="B67" s="1429"/>
      <c r="C67" s="1429"/>
      <c r="D67" s="1429"/>
      <c r="E67" s="1249"/>
      <c r="F67" s="1250"/>
      <c r="G67" s="1090">
        <v>0</v>
      </c>
      <c r="H67" s="1090">
        <v>0</v>
      </c>
      <c r="I67" s="433">
        <f t="shared" si="8"/>
        <v>0</v>
      </c>
      <c r="J67" s="1255">
        <v>0</v>
      </c>
      <c r="K67" s="217"/>
      <c r="L67" s="217"/>
      <c r="M67" s="217"/>
      <c r="O67" s="521">
        <v>0.5</v>
      </c>
      <c r="P67" s="305">
        <f t="shared" si="9"/>
        <v>0</v>
      </c>
      <c r="Q67" s="521">
        <v>0.05</v>
      </c>
      <c r="R67" s="217">
        <f t="shared" si="10"/>
        <v>10</v>
      </c>
    </row>
    <row r="68" spans="1:18" x14ac:dyDescent="0.25">
      <c r="A68" s="1228">
        <v>4</v>
      </c>
      <c r="B68" s="1429"/>
      <c r="C68" s="1429"/>
      <c r="D68" s="1429"/>
      <c r="E68" s="1249"/>
      <c r="F68" s="1250"/>
      <c r="G68" s="1090">
        <v>0</v>
      </c>
      <c r="H68" s="1090">
        <v>0</v>
      </c>
      <c r="I68" s="433">
        <f t="shared" si="8"/>
        <v>0</v>
      </c>
      <c r="J68" s="1255">
        <v>0</v>
      </c>
      <c r="K68" s="217"/>
      <c r="L68" s="217"/>
      <c r="M68" s="217"/>
      <c r="O68" s="521">
        <v>0.5</v>
      </c>
      <c r="P68" s="305">
        <f t="shared" si="9"/>
        <v>0</v>
      </c>
      <c r="Q68" s="521">
        <v>0.05</v>
      </c>
      <c r="R68" s="217">
        <f t="shared" si="10"/>
        <v>10</v>
      </c>
    </row>
    <row r="69" spans="1:18" x14ac:dyDescent="0.25">
      <c r="A69" s="1228">
        <v>5</v>
      </c>
      <c r="B69" s="1429"/>
      <c r="C69" s="1429"/>
      <c r="D69" s="1429"/>
      <c r="E69" s="1249"/>
      <c r="F69" s="1250"/>
      <c r="G69" s="1090">
        <v>0</v>
      </c>
      <c r="H69" s="1090">
        <v>0</v>
      </c>
      <c r="I69" s="433">
        <f t="shared" si="8"/>
        <v>0</v>
      </c>
      <c r="J69" s="1255">
        <v>0</v>
      </c>
      <c r="K69" s="217"/>
      <c r="L69" s="217"/>
      <c r="M69" s="217"/>
      <c r="O69" s="521">
        <v>0.5</v>
      </c>
      <c r="P69" s="305">
        <f t="shared" si="9"/>
        <v>0</v>
      </c>
      <c r="Q69" s="521">
        <v>0.05</v>
      </c>
      <c r="R69" s="217">
        <f t="shared" si="10"/>
        <v>10</v>
      </c>
    </row>
    <row r="70" spans="1:18" x14ac:dyDescent="0.25">
      <c r="A70" s="1228">
        <v>6</v>
      </c>
      <c r="B70" s="1429"/>
      <c r="C70" s="1429"/>
      <c r="D70" s="1429"/>
      <c r="E70" s="1249"/>
      <c r="F70" s="1250"/>
      <c r="G70" s="1090">
        <v>0</v>
      </c>
      <c r="H70" s="1090">
        <v>0</v>
      </c>
      <c r="I70" s="433">
        <f t="shared" si="8"/>
        <v>0</v>
      </c>
      <c r="J70" s="1255">
        <v>0</v>
      </c>
      <c r="K70" s="217"/>
      <c r="L70" s="217"/>
      <c r="M70" s="217"/>
      <c r="O70" s="521">
        <v>0.5</v>
      </c>
      <c r="P70" s="305">
        <f t="shared" si="9"/>
        <v>0</v>
      </c>
      <c r="Q70" s="521">
        <v>0.05</v>
      </c>
      <c r="R70" s="217">
        <f t="shared" si="10"/>
        <v>10</v>
      </c>
    </row>
    <row r="71" spans="1:18" x14ac:dyDescent="0.25">
      <c r="A71" s="1228">
        <v>7</v>
      </c>
      <c r="B71" s="1429"/>
      <c r="C71" s="1429"/>
      <c r="D71" s="1429"/>
      <c r="E71" s="1249"/>
      <c r="F71" s="1250"/>
      <c r="G71" s="1090">
        <v>0</v>
      </c>
      <c r="H71" s="1090">
        <v>0</v>
      </c>
      <c r="I71" s="433">
        <f t="shared" si="8"/>
        <v>0</v>
      </c>
      <c r="J71" s="1255">
        <v>0</v>
      </c>
      <c r="K71" s="217"/>
      <c r="L71" s="217"/>
      <c r="M71" s="217"/>
      <c r="O71" s="521">
        <v>0.5</v>
      </c>
      <c r="P71" s="305">
        <f t="shared" si="9"/>
        <v>0</v>
      </c>
      <c r="Q71" s="521">
        <v>0.05</v>
      </c>
      <c r="R71" s="217">
        <f t="shared" si="10"/>
        <v>10</v>
      </c>
    </row>
    <row r="72" spans="1:18" x14ac:dyDescent="0.25">
      <c r="A72" s="1228">
        <v>8</v>
      </c>
      <c r="B72" s="1429"/>
      <c r="C72" s="1429"/>
      <c r="D72" s="1429"/>
      <c r="E72" s="1249"/>
      <c r="F72" s="1250"/>
      <c r="G72" s="1090">
        <v>0</v>
      </c>
      <c r="H72" s="1090">
        <v>0</v>
      </c>
      <c r="I72" s="433">
        <f t="shared" si="8"/>
        <v>0</v>
      </c>
      <c r="J72" s="1255">
        <v>0</v>
      </c>
      <c r="K72" s="217"/>
      <c r="L72" s="217"/>
      <c r="M72" s="217"/>
      <c r="O72" s="521">
        <v>0.5</v>
      </c>
      <c r="P72" s="305">
        <f t="shared" si="9"/>
        <v>0</v>
      </c>
      <c r="Q72" s="521">
        <v>0.05</v>
      </c>
      <c r="R72" s="217">
        <f t="shared" si="10"/>
        <v>10</v>
      </c>
    </row>
    <row r="73" spans="1:18" x14ac:dyDescent="0.25">
      <c r="A73" s="1228">
        <v>9</v>
      </c>
      <c r="B73" s="1429"/>
      <c r="C73" s="1429"/>
      <c r="D73" s="1429"/>
      <c r="E73" s="1249"/>
      <c r="F73" s="1250"/>
      <c r="G73" s="1090">
        <v>0</v>
      </c>
      <c r="H73" s="1090">
        <v>0</v>
      </c>
      <c r="I73" s="433">
        <f t="shared" si="8"/>
        <v>0</v>
      </c>
      <c r="J73" s="1255">
        <v>0</v>
      </c>
      <c r="K73" s="217"/>
      <c r="L73" s="217"/>
      <c r="M73" s="217"/>
      <c r="O73" s="521">
        <v>0.5</v>
      </c>
      <c r="P73" s="305">
        <f t="shared" si="9"/>
        <v>0</v>
      </c>
      <c r="Q73" s="521">
        <v>0.05</v>
      </c>
      <c r="R73" s="217">
        <f t="shared" si="10"/>
        <v>10</v>
      </c>
    </row>
    <row r="74" spans="1:18" x14ac:dyDescent="0.25">
      <c r="A74" s="865">
        <v>10</v>
      </c>
      <c r="B74" s="1430"/>
      <c r="C74" s="1430"/>
      <c r="D74" s="1430"/>
      <c r="E74" s="1251"/>
      <c r="F74" s="1252"/>
      <c r="G74" s="1253">
        <v>0</v>
      </c>
      <c r="H74" s="1253">
        <v>0</v>
      </c>
      <c r="I74" s="866">
        <f t="shared" si="8"/>
        <v>0</v>
      </c>
      <c r="J74" s="1256">
        <v>0</v>
      </c>
      <c r="K74" s="217"/>
      <c r="L74" s="217"/>
      <c r="M74" s="217"/>
      <c r="O74" s="521">
        <v>0.5</v>
      </c>
      <c r="P74" s="305">
        <f t="shared" si="9"/>
        <v>0</v>
      </c>
      <c r="Q74" s="521">
        <v>0.05</v>
      </c>
      <c r="R74" s="217">
        <f t="shared" si="10"/>
        <v>10</v>
      </c>
    </row>
    <row r="75" spans="1:18" x14ac:dyDescent="0.25">
      <c r="A75" s="280"/>
      <c r="B75" s="285"/>
      <c r="C75" s="285"/>
      <c r="D75" s="285"/>
      <c r="E75" s="285"/>
      <c r="F75" s="675"/>
      <c r="G75" s="675">
        <f>SUM(G65:G74)</f>
        <v>0</v>
      </c>
      <c r="H75" s="675">
        <f>SUM(H65:H74)</f>
        <v>0</v>
      </c>
      <c r="I75" s="675">
        <f>SUM(I65:I74)</f>
        <v>0</v>
      </c>
      <c r="J75" s="982" t="e">
        <f>AVERAGEIF(J65:J74,"&gt;0")</f>
        <v>#DIV/0!</v>
      </c>
      <c r="K75" s="675"/>
      <c r="L75" s="675"/>
      <c r="M75" s="675"/>
      <c r="N75" s="675"/>
      <c r="O75" s="605">
        <f>SUM(P65:P74)</f>
        <v>0</v>
      </c>
      <c r="P75" s="605">
        <f>SUM(Q65:Q74)</f>
        <v>0.49999999999999994</v>
      </c>
      <c r="Q75" s="605">
        <f>SUM(R65:R74)</f>
        <v>100</v>
      </c>
      <c r="R75" s="605" t="e">
        <f>SUM(#REF!)</f>
        <v>#REF!</v>
      </c>
    </row>
    <row r="76" spans="1:18" ht="15.75" thickBot="1" x14ac:dyDescent="0.3">
      <c r="A76" s="280"/>
      <c r="B76" s="285"/>
      <c r="C76" s="285"/>
      <c r="D76" s="285"/>
      <c r="E76" s="285"/>
      <c r="F76" s="675"/>
      <c r="G76" s="675"/>
      <c r="H76" s="675"/>
      <c r="I76" s="675"/>
      <c r="J76" s="982"/>
      <c r="K76" s="675"/>
      <c r="L76" s="675"/>
      <c r="M76" s="675"/>
      <c r="N76" s="675"/>
      <c r="O76" s="675"/>
      <c r="P76" s="675"/>
      <c r="Q76" s="675"/>
      <c r="R76" s="675"/>
    </row>
    <row r="77" spans="1:18" ht="15.75" thickBot="1" x14ac:dyDescent="0.3">
      <c r="C77" s="660" t="s">
        <v>640</v>
      </c>
      <c r="D77" s="661"/>
      <c r="E77" s="661"/>
      <c r="F77" s="661"/>
      <c r="G77" s="661"/>
      <c r="H77" s="661"/>
      <c r="I77" s="662"/>
      <c r="J77" s="653" t="s">
        <v>641</v>
      </c>
      <c r="K77" s="654"/>
      <c r="L77" s="654"/>
      <c r="M77" s="655"/>
    </row>
    <row r="78" spans="1:18" ht="24" x14ac:dyDescent="0.25">
      <c r="C78" s="656" t="s">
        <v>643</v>
      </c>
      <c r="D78" s="657" t="s">
        <v>644</v>
      </c>
      <c r="E78" s="657" t="s">
        <v>645</v>
      </c>
      <c r="F78" s="657" t="s">
        <v>646</v>
      </c>
      <c r="G78" s="657" t="s">
        <v>647</v>
      </c>
      <c r="H78" s="657" t="s">
        <v>648</v>
      </c>
      <c r="I78" s="658" t="s">
        <v>649</v>
      </c>
      <c r="J78" s="656" t="s">
        <v>463</v>
      </c>
      <c r="K78" s="657" t="s">
        <v>642</v>
      </c>
      <c r="L78" s="657" t="s">
        <v>460</v>
      </c>
      <c r="M78" s="659" t="s">
        <v>459</v>
      </c>
    </row>
    <row r="79" spans="1:18" x14ac:dyDescent="0.25">
      <c r="A79" s="295">
        <f>+A65</f>
        <v>1</v>
      </c>
      <c r="B79" s="1222" t="str">
        <f>+B65</f>
        <v>Test</v>
      </c>
      <c r="C79" s="1263">
        <v>0</v>
      </c>
      <c r="D79" s="1264">
        <v>0</v>
      </c>
      <c r="E79" s="1264">
        <v>0</v>
      </c>
      <c r="F79" s="1264">
        <v>0</v>
      </c>
      <c r="G79" s="1264">
        <v>0</v>
      </c>
      <c r="H79" s="1264">
        <v>0</v>
      </c>
      <c r="I79" s="1264">
        <v>0</v>
      </c>
      <c r="J79" s="1264">
        <v>0</v>
      </c>
      <c r="K79" s="1264">
        <v>0</v>
      </c>
      <c r="L79" s="1264">
        <v>0</v>
      </c>
      <c r="M79" s="1265">
        <v>0</v>
      </c>
    </row>
    <row r="80" spans="1:18" x14ac:dyDescent="0.25">
      <c r="A80" s="295">
        <f t="shared" ref="A80:A88" si="11">+A66</f>
        <v>2</v>
      </c>
      <c r="B80" s="1222">
        <f t="shared" ref="B80:B88" si="12">+B66</f>
        <v>0</v>
      </c>
      <c r="C80" s="1266">
        <v>0</v>
      </c>
      <c r="D80" s="1259">
        <v>0</v>
      </c>
      <c r="E80" s="1259">
        <v>0</v>
      </c>
      <c r="F80" s="1259">
        <v>0</v>
      </c>
      <c r="G80" s="1259">
        <v>0</v>
      </c>
      <c r="H80" s="1259">
        <v>0</v>
      </c>
      <c r="I80" s="1259">
        <v>0</v>
      </c>
      <c r="J80" s="1259">
        <v>0</v>
      </c>
      <c r="K80" s="1259">
        <v>0</v>
      </c>
      <c r="L80" s="1259">
        <v>0</v>
      </c>
      <c r="M80" s="1260">
        <v>0</v>
      </c>
    </row>
    <row r="81" spans="1:13" x14ac:dyDescent="0.25">
      <c r="A81" s="295">
        <f t="shared" si="11"/>
        <v>3</v>
      </c>
      <c r="B81" s="1222">
        <f t="shared" si="12"/>
        <v>0</v>
      </c>
      <c r="C81" s="1266">
        <v>0</v>
      </c>
      <c r="D81" s="1259">
        <v>0</v>
      </c>
      <c r="E81" s="1259">
        <v>0</v>
      </c>
      <c r="F81" s="1259">
        <v>0</v>
      </c>
      <c r="G81" s="1259">
        <v>0</v>
      </c>
      <c r="H81" s="1259">
        <v>0</v>
      </c>
      <c r="I81" s="1259">
        <v>0</v>
      </c>
      <c r="J81" s="1259">
        <v>0</v>
      </c>
      <c r="K81" s="1259">
        <v>0</v>
      </c>
      <c r="L81" s="1259">
        <v>0</v>
      </c>
      <c r="M81" s="1260">
        <v>0</v>
      </c>
    </row>
    <row r="82" spans="1:13" x14ac:dyDescent="0.25">
      <c r="A82" s="295">
        <f t="shared" si="11"/>
        <v>4</v>
      </c>
      <c r="B82" s="1222">
        <f t="shared" si="12"/>
        <v>0</v>
      </c>
      <c r="C82" s="1266">
        <v>0</v>
      </c>
      <c r="D82" s="1259">
        <v>0</v>
      </c>
      <c r="E82" s="1259">
        <v>0</v>
      </c>
      <c r="F82" s="1259">
        <v>0</v>
      </c>
      <c r="G82" s="1259">
        <v>0</v>
      </c>
      <c r="H82" s="1259">
        <v>0</v>
      </c>
      <c r="I82" s="1259">
        <v>0</v>
      </c>
      <c r="J82" s="1259">
        <v>0</v>
      </c>
      <c r="K82" s="1259">
        <v>0</v>
      </c>
      <c r="L82" s="1259">
        <v>0</v>
      </c>
      <c r="M82" s="1260">
        <v>0</v>
      </c>
    </row>
    <row r="83" spans="1:13" x14ac:dyDescent="0.25">
      <c r="A83" s="295">
        <f t="shared" si="11"/>
        <v>5</v>
      </c>
      <c r="B83" s="1222">
        <f t="shared" si="12"/>
        <v>0</v>
      </c>
      <c r="C83" s="1266">
        <v>0</v>
      </c>
      <c r="D83" s="1259">
        <v>0</v>
      </c>
      <c r="E83" s="1259">
        <v>0</v>
      </c>
      <c r="F83" s="1259">
        <v>0</v>
      </c>
      <c r="G83" s="1259">
        <v>0</v>
      </c>
      <c r="H83" s="1259">
        <v>0</v>
      </c>
      <c r="I83" s="1259">
        <v>0</v>
      </c>
      <c r="J83" s="1259">
        <v>0</v>
      </c>
      <c r="K83" s="1259">
        <v>0</v>
      </c>
      <c r="L83" s="1259">
        <v>0</v>
      </c>
      <c r="M83" s="1260">
        <v>0</v>
      </c>
    </row>
    <row r="84" spans="1:13" x14ac:dyDescent="0.25">
      <c r="A84" s="295">
        <f t="shared" si="11"/>
        <v>6</v>
      </c>
      <c r="B84" s="1222">
        <f t="shared" si="12"/>
        <v>0</v>
      </c>
      <c r="C84" s="1266">
        <v>0</v>
      </c>
      <c r="D84" s="1259">
        <v>0</v>
      </c>
      <c r="E84" s="1259">
        <v>0</v>
      </c>
      <c r="F84" s="1259">
        <v>0</v>
      </c>
      <c r="G84" s="1259">
        <v>0</v>
      </c>
      <c r="H84" s="1259">
        <v>0</v>
      </c>
      <c r="I84" s="1259">
        <v>0</v>
      </c>
      <c r="J84" s="1259">
        <v>0</v>
      </c>
      <c r="K84" s="1259">
        <v>0</v>
      </c>
      <c r="L84" s="1259">
        <v>0</v>
      </c>
      <c r="M84" s="1260">
        <v>0</v>
      </c>
    </row>
    <row r="85" spans="1:13" x14ac:dyDescent="0.25">
      <c r="A85" s="295">
        <f t="shared" si="11"/>
        <v>7</v>
      </c>
      <c r="B85" s="1222">
        <f t="shared" si="12"/>
        <v>0</v>
      </c>
      <c r="C85" s="1266">
        <v>0</v>
      </c>
      <c r="D85" s="1259">
        <v>0</v>
      </c>
      <c r="E85" s="1259">
        <v>0</v>
      </c>
      <c r="F85" s="1259">
        <v>0</v>
      </c>
      <c r="G85" s="1259">
        <v>0</v>
      </c>
      <c r="H85" s="1259">
        <v>0</v>
      </c>
      <c r="I85" s="1259">
        <v>0</v>
      </c>
      <c r="J85" s="1259">
        <v>0</v>
      </c>
      <c r="K85" s="1259">
        <v>0</v>
      </c>
      <c r="L85" s="1259">
        <v>0</v>
      </c>
      <c r="M85" s="1260">
        <v>0</v>
      </c>
    </row>
    <row r="86" spans="1:13" x14ac:dyDescent="0.25">
      <c r="A86" s="295">
        <f t="shared" si="11"/>
        <v>8</v>
      </c>
      <c r="B86" s="1222">
        <f t="shared" si="12"/>
        <v>0</v>
      </c>
      <c r="C86" s="1266">
        <v>0</v>
      </c>
      <c r="D86" s="1259">
        <v>0</v>
      </c>
      <c r="E86" s="1259">
        <v>0</v>
      </c>
      <c r="F86" s="1259">
        <v>0</v>
      </c>
      <c r="G86" s="1259">
        <v>0</v>
      </c>
      <c r="H86" s="1259">
        <v>0</v>
      </c>
      <c r="I86" s="1259">
        <v>0</v>
      </c>
      <c r="J86" s="1259">
        <v>0</v>
      </c>
      <c r="K86" s="1259">
        <v>0</v>
      </c>
      <c r="L86" s="1259">
        <v>0</v>
      </c>
      <c r="M86" s="1260">
        <v>0</v>
      </c>
    </row>
    <row r="87" spans="1:13" x14ac:dyDescent="0.25">
      <c r="A87" s="295">
        <f t="shared" si="11"/>
        <v>9</v>
      </c>
      <c r="B87" s="1222">
        <f t="shared" si="12"/>
        <v>0</v>
      </c>
      <c r="C87" s="1266">
        <v>0</v>
      </c>
      <c r="D87" s="1259">
        <v>0</v>
      </c>
      <c r="E87" s="1259">
        <v>0</v>
      </c>
      <c r="F87" s="1259">
        <v>0</v>
      </c>
      <c r="G87" s="1259">
        <v>0</v>
      </c>
      <c r="H87" s="1259">
        <v>0</v>
      </c>
      <c r="I87" s="1259">
        <v>0</v>
      </c>
      <c r="J87" s="1259">
        <v>0</v>
      </c>
      <c r="K87" s="1259">
        <v>0</v>
      </c>
      <c r="L87" s="1259">
        <v>0</v>
      </c>
      <c r="M87" s="1260">
        <v>0</v>
      </c>
    </row>
    <row r="88" spans="1:13" x14ac:dyDescent="0.25">
      <c r="A88" s="295">
        <f t="shared" si="11"/>
        <v>10</v>
      </c>
      <c r="B88" s="1222">
        <f t="shared" si="12"/>
        <v>0</v>
      </c>
      <c r="C88" s="1267">
        <v>0</v>
      </c>
      <c r="D88" s="1261">
        <v>0</v>
      </c>
      <c r="E88" s="1261">
        <v>0</v>
      </c>
      <c r="F88" s="1261">
        <v>0</v>
      </c>
      <c r="G88" s="1261">
        <v>0</v>
      </c>
      <c r="H88" s="1261">
        <v>0</v>
      </c>
      <c r="I88" s="1261">
        <v>0</v>
      </c>
      <c r="J88" s="1261">
        <v>0</v>
      </c>
      <c r="K88" s="1261">
        <v>0</v>
      </c>
      <c r="L88" s="1261">
        <v>0</v>
      </c>
      <c r="M88" s="1262">
        <v>0</v>
      </c>
    </row>
  </sheetData>
  <sheetProtection algorithmName="SHA-512" hashValue="ysUL9k/QxXsWUMc5VZQ2Dc+5jaRQkdTWx7YuSScDSoMvhegVkTqtZyhfDNJ4ixihm1jh876tCz6+JiYGatZ0ag==" saltValue="n9Zcu0yzpgdGR51pfW25uw==" spinCount="100000" sheet="1" selectLockedCells="1"/>
  <protectedRanges>
    <protectedRange sqref="E14:M27" name="Student Input"/>
    <protectedRange sqref="E12:M13" name="Student Input_1"/>
  </protectedRanges>
  <mergeCells count="24">
    <mergeCell ref="B33:H33"/>
    <mergeCell ref="B63:H63"/>
    <mergeCell ref="B34:C34"/>
    <mergeCell ref="B64:C64"/>
    <mergeCell ref="B35:D35"/>
    <mergeCell ref="B36:D36"/>
    <mergeCell ref="B37:D37"/>
    <mergeCell ref="B38:D38"/>
    <mergeCell ref="B39:D39"/>
    <mergeCell ref="B40:D40"/>
    <mergeCell ref="B41:D41"/>
    <mergeCell ref="B42:D42"/>
    <mergeCell ref="B43:D43"/>
    <mergeCell ref="B44:D44"/>
    <mergeCell ref="B65:D65"/>
    <mergeCell ref="B66:D66"/>
    <mergeCell ref="B67:D67"/>
    <mergeCell ref="B68:D68"/>
    <mergeCell ref="B69:D69"/>
    <mergeCell ref="B70:D70"/>
    <mergeCell ref="B71:D71"/>
    <mergeCell ref="B72:D72"/>
    <mergeCell ref="B73:D73"/>
    <mergeCell ref="B74:D74"/>
  </mergeCells>
  <conditionalFormatting sqref="O35:R44">
    <cfRule type="cellIs" dxfId="57" priority="56" stopIfTrue="1" operator="equal">
      <formula>0</formula>
    </cfRule>
  </conditionalFormatting>
  <conditionalFormatting sqref="B15:C27">
    <cfRule type="expression" dxfId="56" priority="59" stopIfTrue="1">
      <formula>MOD(ROW(),2)=0</formula>
    </cfRule>
  </conditionalFormatting>
  <conditionalFormatting sqref="O65:R74">
    <cfRule type="cellIs" dxfId="55" priority="52" stopIfTrue="1" operator="equal">
      <formula>0</formula>
    </cfRule>
  </conditionalFormatting>
  <conditionalFormatting sqref="D15:J27">
    <cfRule type="cellIs" dxfId="54" priority="60" stopIfTrue="1" operator="equal">
      <formula>0</formula>
    </cfRule>
  </conditionalFormatting>
  <conditionalFormatting sqref="D12:D13">
    <cfRule type="cellIs" dxfId="53" priority="61" stopIfTrue="1" operator="equal">
      <formula>0</formula>
    </cfRule>
  </conditionalFormatting>
  <conditionalFormatting sqref="E12:J13">
    <cfRule type="cellIs" dxfId="52" priority="62" stopIfTrue="1" operator="equal">
      <formula>0</formula>
    </cfRule>
  </conditionalFormatting>
  <pageMargins left="0.25" right="0.25" top="0.5" bottom="0.45" header="0.25" footer="0.25"/>
  <pageSetup scale="84" fitToHeight="4" orientation="landscape" r:id="rId1"/>
  <headerFooter>
    <oddHeader xml:space="preserve">&amp;L &amp;C &amp;R </oddHeader>
    <oddFooter>&amp;L&amp;7&amp;D  at &amp;T Mike 702.854.0691&amp;C&amp;7&amp;F  &amp;A&amp;R&amp;7Page &amp;P of &amp;N</oddFooter>
  </headerFooter>
  <rowBreaks count="2" manualBreakCount="2">
    <brk id="30" max="13" man="1"/>
    <brk id="60" max="1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pageSetUpPr fitToPage="1"/>
  </sheetPr>
  <dimension ref="A1:AA1596"/>
  <sheetViews>
    <sheetView showGridLines="0" topLeftCell="A13" zoomScale="70" zoomScaleNormal="70" zoomScaleSheetLayoutView="70" workbookViewId="0">
      <selection activeCell="H38" sqref="H38"/>
    </sheetView>
  </sheetViews>
  <sheetFormatPr defaultColWidth="8.85546875" defaultRowHeight="15" outlineLevelRow="3" x14ac:dyDescent="0.25"/>
  <cols>
    <col min="1" max="1" width="8.140625" style="217" customWidth="1"/>
    <col min="2" max="2" width="47.85546875" style="217" customWidth="1"/>
    <col min="3" max="3" width="17.7109375" style="217" customWidth="1"/>
    <col min="4" max="6" width="13.28515625" style="217" customWidth="1"/>
    <col min="7" max="7" width="15.28515625" style="217" customWidth="1"/>
    <col min="8" max="8" width="16.140625" style="221" customWidth="1"/>
    <col min="9" max="10" width="21" style="221" customWidth="1"/>
    <col min="11" max="13" width="17" style="217" customWidth="1"/>
    <col min="14" max="14" width="1.5703125" style="217" customWidth="1"/>
    <col min="15" max="18" width="0.42578125" style="217" customWidth="1"/>
    <col min="19" max="19" width="10.85546875" style="217" hidden="1" customWidth="1"/>
    <col min="20" max="20" width="11.42578125" style="217" hidden="1" customWidth="1"/>
    <col min="21" max="24" width="10.5703125" style="217" hidden="1" customWidth="1"/>
    <col min="25" max="16384" width="8.85546875" style="217"/>
  </cols>
  <sheetData>
    <row r="1" spans="1:17" ht="18" x14ac:dyDescent="0.25">
      <c r="A1" s="514" t="s">
        <v>657</v>
      </c>
      <c r="B1" s="215"/>
      <c r="Q1" s="151"/>
    </row>
    <row r="2" spans="1:17" ht="15.75" x14ac:dyDescent="0.25">
      <c r="A2" s="502" t="str">
        <f>SchoolName</f>
        <v xml:space="preserve">Alaka'i Heritage Academy </v>
      </c>
      <c r="B2" s="218"/>
    </row>
    <row r="3" spans="1:17" x14ac:dyDescent="0.25">
      <c r="A3" s="220" t="s">
        <v>415</v>
      </c>
      <c r="L3" s="223"/>
    </row>
    <row r="4" spans="1:17" x14ac:dyDescent="0.25">
      <c r="A4" s="222" t="s">
        <v>452</v>
      </c>
    </row>
    <row r="5" spans="1:17" x14ac:dyDescent="0.25">
      <c r="A5" s="200" t="str">
        <f ca="1">CELL("filename")</f>
        <v>C:\Users\Kyle.McOmber\Work Folders\Desktop\Alaka'i Appeal Submissions\Second Submission\[Copy of Attachment 16 - Financial Plan Workbook - AHA (002).xlsx]Market</v>
      </c>
    </row>
    <row r="6" spans="1:17" ht="15.75" x14ac:dyDescent="0.25">
      <c r="A6" s="276"/>
      <c r="D6" s="277" t="s">
        <v>578</v>
      </c>
      <c r="E6" s="277"/>
      <c r="F6" s="277"/>
      <c r="H6" s="1221">
        <f>Cover!C10</f>
        <v>2020</v>
      </c>
      <c r="K6" s="277"/>
    </row>
    <row r="7" spans="1:17" x14ac:dyDescent="0.25">
      <c r="A7" s="276"/>
      <c r="D7" s="278" t="s">
        <v>402</v>
      </c>
      <c r="E7" s="278"/>
      <c r="F7" s="278"/>
      <c r="H7" s="201">
        <f>+H6+1</f>
        <v>2021</v>
      </c>
      <c r="K7" s="278"/>
    </row>
    <row r="8" spans="1:17" x14ac:dyDescent="0.25">
      <c r="A8" s="276"/>
      <c r="G8" s="530"/>
      <c r="H8" s="529" t="s">
        <v>433</v>
      </c>
      <c r="I8" s="517"/>
      <c r="J8" s="517"/>
      <c r="K8" s="517"/>
      <c r="L8" s="517"/>
      <c r="M8" s="518"/>
    </row>
    <row r="9" spans="1:17" x14ac:dyDescent="0.25">
      <c r="A9" s="276"/>
      <c r="B9" s="223"/>
      <c r="C9" s="141"/>
      <c r="D9" s="141"/>
      <c r="E9" s="141"/>
      <c r="F9" s="141"/>
      <c r="G9" s="1173" t="s">
        <v>726</v>
      </c>
      <c r="H9" s="139" t="s">
        <v>404</v>
      </c>
      <c r="I9" s="139" t="s">
        <v>405</v>
      </c>
      <c r="J9" s="139" t="s">
        <v>406</v>
      </c>
      <c r="K9" s="139" t="s">
        <v>407</v>
      </c>
      <c r="L9" s="139" t="s">
        <v>408</v>
      </c>
      <c r="M9" s="140" t="s">
        <v>409</v>
      </c>
    </row>
    <row r="10" spans="1:17" ht="15.75" x14ac:dyDescent="0.25">
      <c r="A10" s="276"/>
      <c r="B10" s="281" t="s">
        <v>413</v>
      </c>
      <c r="C10" s="141"/>
      <c r="D10" s="141"/>
      <c r="E10" s="141"/>
      <c r="F10" s="141"/>
      <c r="G10" s="1174">
        <f>+H10-1</f>
        <v>2019</v>
      </c>
      <c r="H10" s="1144">
        <f>+H6</f>
        <v>2020</v>
      </c>
      <c r="I10" s="1145">
        <f>+H11</f>
        <v>2021</v>
      </c>
      <c r="J10" s="1145">
        <f>+I11</f>
        <v>2022</v>
      </c>
      <c r="K10" s="1145">
        <f>+J11</f>
        <v>2023</v>
      </c>
      <c r="L10" s="1145">
        <f>+K11</f>
        <v>2024</v>
      </c>
      <c r="M10" s="1146">
        <f>+L11</f>
        <v>2025</v>
      </c>
    </row>
    <row r="11" spans="1:17" s="221" customFormat="1" ht="15.75" x14ac:dyDescent="0.25">
      <c r="A11" s="276"/>
      <c r="B11" s="283"/>
      <c r="C11" s="1175" t="s">
        <v>497</v>
      </c>
      <c r="D11" s="1174"/>
      <c r="E11" s="1184"/>
      <c r="F11" s="1184"/>
      <c r="G11" s="1175">
        <f>+H11-1</f>
        <v>2020</v>
      </c>
      <c r="H11" s="1147">
        <f t="shared" ref="H11:M11" si="0">+H10+1</f>
        <v>2021</v>
      </c>
      <c r="I11" s="1148">
        <f t="shared" si="0"/>
        <v>2022</v>
      </c>
      <c r="J11" s="1148">
        <f t="shared" si="0"/>
        <v>2023</v>
      </c>
      <c r="K11" s="1148">
        <f t="shared" si="0"/>
        <v>2024</v>
      </c>
      <c r="L11" s="1148">
        <f t="shared" si="0"/>
        <v>2025</v>
      </c>
      <c r="M11" s="1149">
        <f t="shared" si="0"/>
        <v>2026</v>
      </c>
    </row>
    <row r="12" spans="1:17" s="221" customFormat="1" ht="15.75" x14ac:dyDescent="0.25">
      <c r="A12" s="276"/>
      <c r="B12" s="384" t="s">
        <v>439</v>
      </c>
      <c r="C12" s="150"/>
      <c r="D12" s="1286"/>
      <c r="E12" s="1176"/>
      <c r="F12" s="1176"/>
      <c r="G12" s="1176"/>
      <c r="H12" s="1177"/>
      <c r="I12" s="1177"/>
      <c r="J12" s="1177"/>
      <c r="K12" s="1177"/>
      <c r="L12" s="1177"/>
      <c r="M12" s="1177"/>
    </row>
    <row r="13" spans="1:17" s="221" customFormat="1" ht="15.75" x14ac:dyDescent="0.25">
      <c r="A13" s="276">
        <f>ROW()</f>
        <v>13</v>
      </c>
      <c r="B13" s="679" t="s">
        <v>124</v>
      </c>
      <c r="C13" s="264"/>
      <c r="D13" s="264"/>
      <c r="E13" s="264"/>
      <c r="F13" s="264"/>
      <c r="G13" s="1178"/>
      <c r="H13" s="1179"/>
      <c r="I13" s="1179"/>
      <c r="J13" s="1179"/>
      <c r="K13" s="1179"/>
      <c r="L13" s="1179"/>
      <c r="M13" s="1179"/>
    </row>
    <row r="14" spans="1:17" s="221" customFormat="1" ht="15.75" x14ac:dyDescent="0.25">
      <c r="A14" s="276">
        <f>ROW()</f>
        <v>14</v>
      </c>
      <c r="B14" s="219" t="s">
        <v>411</v>
      </c>
      <c r="G14" s="1180"/>
      <c r="H14" s="1034"/>
      <c r="I14" s="1034"/>
      <c r="J14" s="1034"/>
      <c r="K14" s="1034"/>
      <c r="L14" s="1034"/>
      <c r="M14" s="1034"/>
    </row>
    <row r="15" spans="1:17" x14ac:dyDescent="0.25">
      <c r="A15" s="280">
        <f>ROW()</f>
        <v>15</v>
      </c>
      <c r="B15" s="285" t="s">
        <v>198</v>
      </c>
      <c r="G15" s="1278"/>
      <c r="H15" s="1181">
        <f t="shared" ref="H15:M15" si="1">COUNTIF(H18:H30,"&gt;0")</f>
        <v>7</v>
      </c>
      <c r="I15" s="1182">
        <f t="shared" si="1"/>
        <v>9</v>
      </c>
      <c r="J15" s="1182">
        <f t="shared" si="1"/>
        <v>10</v>
      </c>
      <c r="K15" s="1182">
        <f t="shared" si="1"/>
        <v>9</v>
      </c>
      <c r="L15" s="1182">
        <f t="shared" si="1"/>
        <v>9</v>
      </c>
      <c r="M15" s="1183">
        <f t="shared" si="1"/>
        <v>9</v>
      </c>
    </row>
    <row r="16" spans="1:17" x14ac:dyDescent="0.25">
      <c r="A16" s="280">
        <f>ROW()</f>
        <v>16</v>
      </c>
      <c r="B16" s="287" t="s">
        <v>284</v>
      </c>
      <c r="G16" s="526"/>
      <c r="H16" s="988">
        <v>0</v>
      </c>
      <c r="I16" s="989">
        <v>0</v>
      </c>
      <c r="J16" s="989">
        <v>0</v>
      </c>
      <c r="K16" s="989">
        <v>0</v>
      </c>
      <c r="L16" s="989">
        <v>0</v>
      </c>
      <c r="M16" s="990">
        <v>0</v>
      </c>
    </row>
    <row r="17" spans="1:13" x14ac:dyDescent="0.25">
      <c r="A17" s="1022">
        <f>ROW()</f>
        <v>17</v>
      </c>
      <c r="B17" s="159"/>
      <c r="C17" s="1276"/>
      <c r="D17" s="1276"/>
      <c r="E17" s="1276"/>
      <c r="F17" s="1276"/>
      <c r="G17" s="1277"/>
      <c r="H17" s="1277"/>
      <c r="I17" s="1048"/>
      <c r="J17" s="1048"/>
      <c r="K17" s="1048"/>
      <c r="L17" s="1048"/>
      <c r="M17" s="1048"/>
    </row>
    <row r="18" spans="1:13" x14ac:dyDescent="0.25">
      <c r="A18" s="280">
        <f>ROW()</f>
        <v>18</v>
      </c>
      <c r="B18" s="292" t="s">
        <v>162</v>
      </c>
      <c r="G18" s="522"/>
      <c r="H18" s="983">
        <v>100</v>
      </c>
      <c r="I18" s="983">
        <v>100</v>
      </c>
      <c r="J18" s="983">
        <v>100</v>
      </c>
      <c r="K18" s="983">
        <v>100</v>
      </c>
      <c r="L18" s="983">
        <v>100</v>
      </c>
      <c r="M18" s="983">
        <v>100</v>
      </c>
    </row>
    <row r="19" spans="1:13" x14ac:dyDescent="0.25">
      <c r="A19" s="280">
        <f>ROW()</f>
        <v>19</v>
      </c>
      <c r="B19" s="293" t="s">
        <v>174</v>
      </c>
      <c r="G19" s="523"/>
      <c r="H19" s="984">
        <v>50</v>
      </c>
      <c r="I19" s="984">
        <v>100</v>
      </c>
      <c r="J19" s="984">
        <v>100</v>
      </c>
      <c r="K19" s="984">
        <v>100</v>
      </c>
      <c r="L19" s="984">
        <v>100</v>
      </c>
      <c r="M19" s="984">
        <v>100</v>
      </c>
    </row>
    <row r="20" spans="1:13" x14ac:dyDescent="0.25">
      <c r="A20" s="280">
        <f>ROW()</f>
        <v>20</v>
      </c>
      <c r="B20" s="293" t="s">
        <v>175</v>
      </c>
      <c r="G20" s="523"/>
      <c r="H20" s="984">
        <v>50</v>
      </c>
      <c r="I20" s="985">
        <v>100</v>
      </c>
      <c r="J20" s="985">
        <v>100</v>
      </c>
      <c r="K20" s="985">
        <v>100</v>
      </c>
      <c r="L20" s="985">
        <v>100</v>
      </c>
      <c r="M20" s="985">
        <v>100</v>
      </c>
    </row>
    <row r="21" spans="1:13" x14ac:dyDescent="0.25">
      <c r="A21" s="280">
        <f>ROW()</f>
        <v>21</v>
      </c>
      <c r="B21" s="293" t="s">
        <v>176</v>
      </c>
      <c r="G21" s="523"/>
      <c r="H21" s="984">
        <v>50</v>
      </c>
      <c r="I21" s="985">
        <v>50</v>
      </c>
      <c r="J21" s="985">
        <v>100</v>
      </c>
      <c r="K21" s="985">
        <v>100</v>
      </c>
      <c r="L21" s="985">
        <v>100</v>
      </c>
      <c r="M21" s="985">
        <v>100</v>
      </c>
    </row>
    <row r="22" spans="1:13" x14ac:dyDescent="0.25">
      <c r="A22" s="280">
        <f>ROW()</f>
        <v>22</v>
      </c>
      <c r="B22" s="293" t="s">
        <v>177</v>
      </c>
      <c r="G22" s="523"/>
      <c r="H22" s="984">
        <v>25</v>
      </c>
      <c r="I22" s="985">
        <v>50</v>
      </c>
      <c r="J22" s="985">
        <v>100</v>
      </c>
      <c r="K22" s="985">
        <v>100</v>
      </c>
      <c r="L22" s="985">
        <v>100</v>
      </c>
      <c r="M22" s="985">
        <v>100</v>
      </c>
    </row>
    <row r="23" spans="1:13" x14ac:dyDescent="0.25">
      <c r="A23" s="280">
        <f>ROW()</f>
        <v>23</v>
      </c>
      <c r="B23" s="293" t="s">
        <v>178</v>
      </c>
      <c r="G23" s="524"/>
      <c r="H23" s="984">
        <v>25</v>
      </c>
      <c r="I23" s="984">
        <v>25</v>
      </c>
      <c r="J23" s="984">
        <v>50</v>
      </c>
      <c r="K23" s="984">
        <v>100</v>
      </c>
      <c r="L23" s="984">
        <v>100</v>
      </c>
      <c r="M23" s="984">
        <v>100</v>
      </c>
    </row>
    <row r="24" spans="1:13" x14ac:dyDescent="0.25">
      <c r="A24" s="280">
        <f>ROW()</f>
        <v>24</v>
      </c>
      <c r="B24" s="293" t="s">
        <v>179</v>
      </c>
      <c r="G24" s="524"/>
      <c r="H24" s="984">
        <v>30</v>
      </c>
      <c r="I24" s="985">
        <v>25</v>
      </c>
      <c r="J24" s="985">
        <v>60</v>
      </c>
      <c r="K24" s="985">
        <v>120</v>
      </c>
      <c r="L24" s="985">
        <v>120</v>
      </c>
      <c r="M24" s="985">
        <v>120</v>
      </c>
    </row>
    <row r="25" spans="1:13" x14ac:dyDescent="0.25">
      <c r="A25" s="280">
        <f>ROW()</f>
        <v>25</v>
      </c>
      <c r="B25" s="293" t="s">
        <v>180</v>
      </c>
      <c r="G25" s="524"/>
      <c r="H25" s="984">
        <v>0</v>
      </c>
      <c r="I25" s="985">
        <v>60</v>
      </c>
      <c r="J25" s="985">
        <v>60</v>
      </c>
      <c r="K25" s="985">
        <v>60</v>
      </c>
      <c r="L25" s="985">
        <v>120</v>
      </c>
      <c r="M25" s="985">
        <v>120</v>
      </c>
    </row>
    <row r="26" spans="1:13" x14ac:dyDescent="0.25">
      <c r="A26" s="280">
        <f>ROW()</f>
        <v>26</v>
      </c>
      <c r="B26" s="293" t="s">
        <v>181</v>
      </c>
      <c r="G26" s="524"/>
      <c r="H26" s="984">
        <v>0</v>
      </c>
      <c r="I26" s="985">
        <v>30</v>
      </c>
      <c r="J26" s="985">
        <v>60</v>
      </c>
      <c r="K26" s="985">
        <v>60</v>
      </c>
      <c r="L26" s="985">
        <v>60</v>
      </c>
      <c r="M26" s="985">
        <v>120</v>
      </c>
    </row>
    <row r="27" spans="1:13" x14ac:dyDescent="0.25">
      <c r="A27" s="280">
        <f>ROW()</f>
        <v>27</v>
      </c>
      <c r="B27" s="293" t="s">
        <v>182</v>
      </c>
      <c r="G27" s="524"/>
      <c r="H27" s="984">
        <v>0</v>
      </c>
      <c r="I27" s="985">
        <v>0</v>
      </c>
      <c r="J27" s="985">
        <v>30</v>
      </c>
      <c r="K27" s="985">
        <v>0</v>
      </c>
      <c r="L27" s="985">
        <v>0</v>
      </c>
      <c r="M27" s="985">
        <v>0</v>
      </c>
    </row>
    <row r="28" spans="1:13" x14ac:dyDescent="0.25">
      <c r="A28" s="280">
        <f>ROW()</f>
        <v>28</v>
      </c>
      <c r="B28" s="293" t="s">
        <v>183</v>
      </c>
      <c r="G28" s="524"/>
      <c r="H28" s="984">
        <v>0</v>
      </c>
      <c r="I28" s="985">
        <v>0</v>
      </c>
      <c r="J28" s="985">
        <v>0</v>
      </c>
      <c r="K28" s="985">
        <v>0</v>
      </c>
      <c r="L28" s="985">
        <v>0</v>
      </c>
      <c r="M28" s="985">
        <v>0</v>
      </c>
    </row>
    <row r="29" spans="1:13" x14ac:dyDescent="0.25">
      <c r="A29" s="280">
        <f>ROW()</f>
        <v>29</v>
      </c>
      <c r="B29" s="293" t="s">
        <v>184</v>
      </c>
      <c r="G29" s="524"/>
      <c r="H29" s="984">
        <v>0</v>
      </c>
      <c r="I29" s="985">
        <v>0</v>
      </c>
      <c r="J29" s="985">
        <v>0</v>
      </c>
      <c r="K29" s="985">
        <v>0</v>
      </c>
      <c r="L29" s="985">
        <v>0</v>
      </c>
      <c r="M29" s="985">
        <v>0</v>
      </c>
    </row>
    <row r="30" spans="1:13" x14ac:dyDescent="0.25">
      <c r="A30" s="280">
        <f>ROW()</f>
        <v>30</v>
      </c>
      <c r="B30" s="293" t="s">
        <v>185</v>
      </c>
      <c r="G30" s="525"/>
      <c r="H30" s="986">
        <v>0</v>
      </c>
      <c r="I30" s="987">
        <v>0</v>
      </c>
      <c r="J30" s="987">
        <v>0</v>
      </c>
      <c r="K30" s="987">
        <v>0</v>
      </c>
      <c r="L30" s="987">
        <v>0</v>
      </c>
      <c r="M30" s="987">
        <v>0</v>
      </c>
    </row>
    <row r="31" spans="1:13" x14ac:dyDescent="0.25">
      <c r="A31" s="280">
        <f>ROW()</f>
        <v>31</v>
      </c>
      <c r="B31" s="296" t="s">
        <v>186</v>
      </c>
      <c r="C31" s="517"/>
      <c r="D31" s="517"/>
      <c r="E31" s="517"/>
      <c r="F31" s="517"/>
      <c r="G31" s="527"/>
      <c r="H31" s="527">
        <f t="shared" ref="H31:M31" si="2">SUM(H18:H30)</f>
        <v>330</v>
      </c>
      <c r="I31" s="298">
        <f t="shared" si="2"/>
        <v>540</v>
      </c>
      <c r="J31" s="298">
        <f t="shared" si="2"/>
        <v>760</v>
      </c>
      <c r="K31" s="298">
        <f t="shared" si="2"/>
        <v>840</v>
      </c>
      <c r="L31" s="298">
        <f t="shared" si="2"/>
        <v>900</v>
      </c>
      <c r="M31" s="298">
        <f t="shared" si="2"/>
        <v>960</v>
      </c>
    </row>
    <row r="32" spans="1:13" x14ac:dyDescent="0.25">
      <c r="A32" s="280">
        <f>ROW()</f>
        <v>32</v>
      </c>
      <c r="B32" s="285" t="s">
        <v>631</v>
      </c>
      <c r="G32" s="515"/>
      <c r="H32" s="695">
        <f>IFERROR(H31/H16,0)</f>
        <v>0</v>
      </c>
      <c r="I32" s="695">
        <f t="shared" ref="I32:M32" si="3">IFERROR(I31/I16,0)</f>
        <v>0</v>
      </c>
      <c r="J32" s="695">
        <f t="shared" si="3"/>
        <v>0</v>
      </c>
      <c r="K32" s="695">
        <f t="shared" si="3"/>
        <v>0</v>
      </c>
      <c r="L32" s="695">
        <f t="shared" si="3"/>
        <v>0</v>
      </c>
      <c r="M32" s="695">
        <f t="shared" si="3"/>
        <v>0</v>
      </c>
    </row>
    <row r="33" spans="1:18" x14ac:dyDescent="0.25">
      <c r="A33" s="280">
        <f>ROW()</f>
        <v>33</v>
      </c>
      <c r="B33" s="504" t="s">
        <v>566</v>
      </c>
      <c r="G33" s="1279"/>
      <c r="H33" s="646">
        <v>0.9</v>
      </c>
      <c r="I33" s="647">
        <v>0.9</v>
      </c>
      <c r="J33" s="647">
        <f>$I$33</f>
        <v>0.9</v>
      </c>
      <c r="K33" s="647">
        <f>$I$33</f>
        <v>0.9</v>
      </c>
      <c r="L33" s="647">
        <f>$I$33</f>
        <v>0.9</v>
      </c>
      <c r="M33" s="647">
        <f>$I$33</f>
        <v>0.9</v>
      </c>
    </row>
    <row r="34" spans="1:18" x14ac:dyDescent="0.25">
      <c r="A34" s="280">
        <f>ROW()</f>
        <v>34</v>
      </c>
      <c r="B34" s="504" t="s">
        <v>636</v>
      </c>
      <c r="G34" s="301"/>
      <c r="H34" s="391">
        <f t="shared" ref="H34:M34" si="4">+H31*(1-H33)</f>
        <v>32.999999999999993</v>
      </c>
      <c r="I34" s="391">
        <f t="shared" si="4"/>
        <v>53.999999999999986</v>
      </c>
      <c r="J34" s="391">
        <f t="shared" si="4"/>
        <v>75.999999999999986</v>
      </c>
      <c r="K34" s="391">
        <f t="shared" si="4"/>
        <v>83.999999999999986</v>
      </c>
      <c r="L34" s="391">
        <f t="shared" si="4"/>
        <v>89.999999999999986</v>
      </c>
      <c r="M34" s="391">
        <f t="shared" si="4"/>
        <v>95.999999999999972</v>
      </c>
    </row>
    <row r="35" spans="1:18" x14ac:dyDescent="0.25">
      <c r="A35" s="280">
        <f>ROW()</f>
        <v>35</v>
      </c>
      <c r="B35" s="504"/>
      <c r="G35" s="301"/>
      <c r="H35" s="301"/>
      <c r="I35" s="301"/>
      <c r="J35" s="301"/>
      <c r="K35" s="301"/>
      <c r="L35" s="301"/>
      <c r="M35" s="301"/>
    </row>
    <row r="36" spans="1:18" x14ac:dyDescent="0.25">
      <c r="A36" s="280">
        <f>ROW()</f>
        <v>36</v>
      </c>
      <c r="B36" s="293" t="s">
        <v>571</v>
      </c>
      <c r="C36" s="597"/>
      <c r="D36" s="597"/>
      <c r="E36" s="597"/>
      <c r="F36" s="597"/>
      <c r="G36" s="598"/>
      <c r="H36" s="648">
        <v>0.81</v>
      </c>
      <c r="I36" s="649">
        <v>0.81</v>
      </c>
      <c r="J36" s="649">
        <v>0.81</v>
      </c>
      <c r="K36" s="649">
        <v>0.81</v>
      </c>
      <c r="L36" s="649">
        <v>0.81</v>
      </c>
      <c r="M36" s="649">
        <v>0.81</v>
      </c>
    </row>
    <row r="37" spans="1:18" x14ac:dyDescent="0.25">
      <c r="A37" s="280">
        <f>ROW()</f>
        <v>37</v>
      </c>
      <c r="B37" s="293" t="s">
        <v>567</v>
      </c>
      <c r="C37" s="597"/>
      <c r="D37" s="597"/>
      <c r="E37" s="597"/>
      <c r="F37" s="597"/>
      <c r="G37" s="1185"/>
      <c r="H37" s="1185">
        <f t="shared" ref="H37:M37" si="5">+H$31*H36</f>
        <v>267.3</v>
      </c>
      <c r="I37" s="1185">
        <f t="shared" si="5"/>
        <v>437.40000000000003</v>
      </c>
      <c r="J37" s="1185">
        <f t="shared" si="5"/>
        <v>615.6</v>
      </c>
      <c r="K37" s="1185">
        <f t="shared" si="5"/>
        <v>680.40000000000009</v>
      </c>
      <c r="L37" s="1185">
        <f t="shared" si="5"/>
        <v>729</v>
      </c>
      <c r="M37" s="1185">
        <f t="shared" si="5"/>
        <v>777.6</v>
      </c>
    </row>
    <row r="38" spans="1:18" x14ac:dyDescent="0.25">
      <c r="A38" s="280">
        <f>ROW()</f>
        <v>38</v>
      </c>
      <c r="B38" s="293" t="s">
        <v>570</v>
      </c>
      <c r="C38" s="597"/>
      <c r="D38" s="597"/>
      <c r="E38" s="597"/>
      <c r="F38" s="597"/>
      <c r="G38" s="598"/>
      <c r="H38" s="648">
        <v>0.28000000000000003</v>
      </c>
      <c r="I38" s="649">
        <v>0.28000000000000003</v>
      </c>
      <c r="J38" s="649">
        <v>0.28000000000000003</v>
      </c>
      <c r="K38" s="649">
        <v>0.28000000000000003</v>
      </c>
      <c r="L38" s="649">
        <v>0.28000000000000003</v>
      </c>
      <c r="M38" s="649">
        <v>0.28000000000000003</v>
      </c>
    </row>
    <row r="39" spans="1:18" x14ac:dyDescent="0.25">
      <c r="A39" s="280">
        <f>ROW()</f>
        <v>39</v>
      </c>
      <c r="B39" s="293" t="s">
        <v>568</v>
      </c>
      <c r="C39" s="597"/>
      <c r="D39" s="597"/>
      <c r="E39" s="597"/>
      <c r="F39" s="597"/>
      <c r="G39" s="1185"/>
      <c r="H39" s="1185">
        <f t="shared" ref="H39:M39" si="6">+H$31*H38</f>
        <v>92.4</v>
      </c>
      <c r="I39" s="1185">
        <f t="shared" si="6"/>
        <v>151.20000000000002</v>
      </c>
      <c r="J39" s="1185">
        <f t="shared" si="6"/>
        <v>212.8</v>
      </c>
      <c r="K39" s="1185">
        <f t="shared" si="6"/>
        <v>235.20000000000002</v>
      </c>
      <c r="L39" s="1185">
        <f t="shared" si="6"/>
        <v>252.00000000000003</v>
      </c>
      <c r="M39" s="1185">
        <f t="shared" si="6"/>
        <v>268.8</v>
      </c>
    </row>
    <row r="40" spans="1:18" x14ac:dyDescent="0.25">
      <c r="A40" s="280">
        <f>ROW()</f>
        <v>40</v>
      </c>
      <c r="B40" s="293" t="s">
        <v>569</v>
      </c>
      <c r="C40" s="597"/>
      <c r="D40" s="597"/>
      <c r="E40" s="597"/>
      <c r="F40" s="597"/>
      <c r="G40" s="598"/>
      <c r="H40" s="648">
        <v>0.14000000000000001</v>
      </c>
      <c r="I40" s="649">
        <v>0.14000000000000001</v>
      </c>
      <c r="J40" s="649">
        <v>0.14000000000000001</v>
      </c>
      <c r="K40" s="649">
        <v>0.14000000000000001</v>
      </c>
      <c r="L40" s="649">
        <v>0.14000000000000001</v>
      </c>
      <c r="M40" s="649">
        <v>0.14000000000000001</v>
      </c>
    </row>
    <row r="41" spans="1:18" x14ac:dyDescent="0.25">
      <c r="A41" s="280">
        <f>ROW()</f>
        <v>41</v>
      </c>
      <c r="B41" s="293" t="s">
        <v>572</v>
      </c>
      <c r="C41" s="597"/>
      <c r="D41" s="597"/>
      <c r="E41" s="597"/>
      <c r="F41" s="597"/>
      <c r="G41" s="1185"/>
      <c r="H41" s="1185">
        <f t="shared" ref="H41:M41" si="7">+H$31*H40</f>
        <v>46.2</v>
      </c>
      <c r="I41" s="1185">
        <f t="shared" si="7"/>
        <v>75.600000000000009</v>
      </c>
      <c r="J41" s="1185">
        <f t="shared" si="7"/>
        <v>106.4</v>
      </c>
      <c r="K41" s="1185">
        <f t="shared" si="7"/>
        <v>117.60000000000001</v>
      </c>
      <c r="L41" s="1185">
        <f t="shared" si="7"/>
        <v>126.00000000000001</v>
      </c>
      <c r="M41" s="1185">
        <f t="shared" si="7"/>
        <v>134.4</v>
      </c>
    </row>
    <row r="42" spans="1:18" x14ac:dyDescent="0.25">
      <c r="A42" s="280">
        <f>ROW()</f>
        <v>42</v>
      </c>
      <c r="B42" s="293" t="s">
        <v>573</v>
      </c>
      <c r="C42" s="597"/>
      <c r="D42" s="597"/>
      <c r="E42" s="597"/>
      <c r="F42" s="597"/>
      <c r="G42" s="599"/>
      <c r="H42" s="650">
        <v>2</v>
      </c>
      <c r="I42" s="651">
        <v>3</v>
      </c>
      <c r="J42" s="651">
        <v>4</v>
      </c>
      <c r="K42" s="651">
        <v>5</v>
      </c>
      <c r="L42" s="651">
        <v>5.5</v>
      </c>
      <c r="M42" s="651">
        <v>6</v>
      </c>
    </row>
    <row r="43" spans="1:18" x14ac:dyDescent="0.25">
      <c r="A43" s="280">
        <f>ROW()</f>
        <v>43</v>
      </c>
      <c r="B43" s="293" t="s">
        <v>600</v>
      </c>
      <c r="C43" s="597"/>
      <c r="D43" s="597"/>
      <c r="E43" s="597"/>
      <c r="F43" s="597"/>
      <c r="G43" s="1280"/>
      <c r="H43" s="1186">
        <f>IFERROR(H41/H42,0)</f>
        <v>23.1</v>
      </c>
      <c r="I43" s="1186">
        <f t="shared" ref="I43:M43" si="8">IFERROR(I41/I42,0)</f>
        <v>25.200000000000003</v>
      </c>
      <c r="J43" s="1186">
        <f t="shared" si="8"/>
        <v>26.6</v>
      </c>
      <c r="K43" s="1186">
        <f t="shared" si="8"/>
        <v>23.520000000000003</v>
      </c>
      <c r="L43" s="1186">
        <f t="shared" si="8"/>
        <v>22.90909090909091</v>
      </c>
      <c r="M43" s="1186">
        <f t="shared" si="8"/>
        <v>22.400000000000002</v>
      </c>
    </row>
    <row r="44" spans="1:18" x14ac:dyDescent="0.25">
      <c r="A44" s="280">
        <f>ROW()</f>
        <v>44</v>
      </c>
      <c r="B44" s="285"/>
      <c r="C44" s="285"/>
      <c r="D44" s="285"/>
      <c r="E44" s="285"/>
      <c r="F44" s="285"/>
      <c r="G44" s="285"/>
      <c r="H44" s="285"/>
      <c r="I44" s="282"/>
      <c r="J44" s="282"/>
      <c r="K44" s="303"/>
      <c r="L44" s="528"/>
      <c r="M44" s="303"/>
      <c r="N44" s="303"/>
      <c r="O44" s="303"/>
      <c r="P44" s="303"/>
      <c r="Q44" s="303"/>
      <c r="R44" s="303"/>
    </row>
    <row r="45" spans="1:18" x14ac:dyDescent="0.25">
      <c r="A45" s="280">
        <f>ROW()</f>
        <v>45</v>
      </c>
      <c r="B45" s="285" t="s">
        <v>352</v>
      </c>
      <c r="C45" s="388">
        <f>VLOOKUP(C57,'DSA Rates'!A10:F27,4,FALSE)</f>
        <v>7242.9499619081098</v>
      </c>
      <c r="D45" s="285" t="s">
        <v>152</v>
      </c>
      <c r="E45" s="734"/>
      <c r="F45" s="734"/>
      <c r="I45" s="282"/>
      <c r="J45" s="282"/>
      <c r="K45" s="389"/>
      <c r="L45" s="389"/>
      <c r="M45" s="389"/>
      <c r="N45" s="389"/>
      <c r="O45" s="389"/>
      <c r="P45" s="389"/>
      <c r="Q45" s="389"/>
      <c r="R45" s="389"/>
    </row>
    <row r="46" spans="1:18" x14ac:dyDescent="0.25">
      <c r="A46" s="280">
        <f>ROW()</f>
        <v>46</v>
      </c>
      <c r="B46" s="285" t="s">
        <v>360</v>
      </c>
      <c r="C46" s="625">
        <v>1.03</v>
      </c>
      <c r="D46" s="159" t="s">
        <v>361</v>
      </c>
      <c r="E46" s="734"/>
      <c r="F46" s="734"/>
      <c r="I46" s="282"/>
      <c r="J46" s="282"/>
      <c r="K46" s="285"/>
      <c r="L46" s="285"/>
      <c r="M46" s="285"/>
      <c r="N46" s="285"/>
      <c r="O46" s="285"/>
      <c r="P46" s="285"/>
      <c r="Q46" s="285"/>
      <c r="R46" s="285"/>
    </row>
    <row r="47" spans="1:18" x14ac:dyDescent="0.25">
      <c r="A47" s="280">
        <f>ROW()</f>
        <v>47</v>
      </c>
      <c r="B47" s="285" t="s">
        <v>410</v>
      </c>
      <c r="C47" s="1189">
        <v>3500</v>
      </c>
      <c r="D47" s="1187" t="s">
        <v>359</v>
      </c>
      <c r="E47" s="734"/>
      <c r="F47" s="734"/>
      <c r="I47" s="390"/>
      <c r="J47" s="390"/>
      <c r="K47" s="285"/>
      <c r="L47" s="285"/>
      <c r="M47" s="285"/>
      <c r="N47" s="285"/>
      <c r="O47" s="285"/>
      <c r="P47" s="285"/>
      <c r="Q47" s="285"/>
      <c r="R47" s="285"/>
    </row>
    <row r="48" spans="1:18" x14ac:dyDescent="0.25">
      <c r="A48" s="280">
        <f>ROW()</f>
        <v>48</v>
      </c>
      <c r="B48" s="285"/>
      <c r="C48" s="1190"/>
      <c r="D48" s="1066"/>
      <c r="E48" s="734"/>
      <c r="F48" s="734"/>
      <c r="I48" s="229"/>
      <c r="J48" s="229"/>
      <c r="K48" s="391"/>
      <c r="L48" s="391"/>
      <c r="M48" s="391"/>
      <c r="N48" s="391"/>
      <c r="O48" s="391"/>
      <c r="P48" s="391"/>
      <c r="Q48" s="391"/>
      <c r="R48" s="391"/>
    </row>
    <row r="49" spans="1:18" x14ac:dyDescent="0.25">
      <c r="A49" s="280">
        <f>ROW()</f>
        <v>49</v>
      </c>
      <c r="B49" s="285" t="s">
        <v>357</v>
      </c>
      <c r="C49" s="1189">
        <v>700</v>
      </c>
      <c r="D49" s="1187" t="s">
        <v>355</v>
      </c>
      <c r="E49" s="734"/>
      <c r="F49" s="734"/>
      <c r="I49" s="390"/>
      <c r="J49" s="390"/>
      <c r="K49" s="303"/>
      <c r="L49" s="303"/>
      <c r="M49" s="303"/>
      <c r="N49" s="303"/>
      <c r="O49" s="303"/>
      <c r="P49" s="303"/>
      <c r="Q49" s="303"/>
      <c r="R49" s="303"/>
    </row>
    <row r="50" spans="1:18" x14ac:dyDescent="0.25">
      <c r="A50" s="280">
        <f>ROW()</f>
        <v>50</v>
      </c>
      <c r="B50" s="285" t="s">
        <v>354</v>
      </c>
      <c r="C50" s="1189">
        <v>0</v>
      </c>
      <c r="D50" s="1187" t="s">
        <v>358</v>
      </c>
      <c r="E50" s="734"/>
      <c r="F50" s="734"/>
      <c r="I50" s="390"/>
      <c r="J50" s="390"/>
      <c r="K50" s="303"/>
      <c r="L50" s="303"/>
      <c r="M50" s="303"/>
      <c r="N50" s="303"/>
      <c r="O50" s="303"/>
      <c r="P50" s="303"/>
      <c r="Q50" s="303"/>
      <c r="R50" s="303"/>
    </row>
    <row r="51" spans="1:18" x14ac:dyDescent="0.25">
      <c r="A51" s="280">
        <f>ROW()</f>
        <v>51</v>
      </c>
      <c r="B51" s="285" t="s">
        <v>353</v>
      </c>
      <c r="C51" s="1189">
        <v>0</v>
      </c>
      <c r="D51" s="1187" t="s">
        <v>356</v>
      </c>
      <c r="E51" s="734"/>
      <c r="F51" s="734"/>
      <c r="I51" s="390"/>
      <c r="J51" s="390"/>
      <c r="K51" s="303"/>
      <c r="L51" s="303"/>
      <c r="M51" s="303"/>
      <c r="N51" s="303"/>
      <c r="O51" s="303"/>
      <c r="P51" s="303"/>
      <c r="Q51" s="303"/>
      <c r="R51" s="303"/>
    </row>
    <row r="52" spans="1:18" x14ac:dyDescent="0.25">
      <c r="A52" s="280">
        <f>ROW()</f>
        <v>52</v>
      </c>
      <c r="B52" s="285" t="s">
        <v>228</v>
      </c>
      <c r="C52" s="622">
        <v>1060</v>
      </c>
      <c r="D52" s="159" t="s">
        <v>229</v>
      </c>
      <c r="E52" s="734"/>
      <c r="F52" s="734"/>
      <c r="I52" s="282"/>
      <c r="J52" s="282"/>
      <c r="K52" s="285"/>
      <c r="L52" s="285"/>
      <c r="M52" s="285"/>
      <c r="N52" s="285"/>
      <c r="O52" s="285"/>
      <c r="P52" s="285"/>
      <c r="Q52" s="285"/>
      <c r="R52" s="285"/>
    </row>
    <row r="53" spans="1:18" x14ac:dyDescent="0.25">
      <c r="A53" s="280">
        <f>ROW()</f>
        <v>53</v>
      </c>
      <c r="B53" s="285" t="s">
        <v>240</v>
      </c>
      <c r="C53" s="623" t="s">
        <v>365</v>
      </c>
      <c r="D53" s="159" t="s">
        <v>241</v>
      </c>
      <c r="E53" s="734"/>
      <c r="F53" s="734"/>
      <c r="H53" s="610"/>
      <c r="I53" s="282"/>
      <c r="J53" s="282"/>
      <c r="K53" s="285"/>
      <c r="L53" s="285"/>
      <c r="M53" s="285"/>
      <c r="N53" s="285"/>
      <c r="O53" s="285"/>
      <c r="P53" s="285"/>
      <c r="Q53" s="285"/>
      <c r="R53" s="285"/>
    </row>
    <row r="54" spans="1:18" x14ac:dyDescent="0.25">
      <c r="A54" s="280">
        <f>ROW()</f>
        <v>54</v>
      </c>
      <c r="B54" s="285" t="s">
        <v>239</v>
      </c>
      <c r="C54" s="624">
        <v>0</v>
      </c>
      <c r="D54" s="159" t="s">
        <v>5</v>
      </c>
      <c r="E54" s="734"/>
      <c r="F54" s="734"/>
      <c r="H54" s="610"/>
      <c r="I54" s="282"/>
      <c r="J54" s="282"/>
      <c r="K54" s="285"/>
      <c r="L54" s="285"/>
      <c r="M54" s="285"/>
      <c r="N54" s="285"/>
      <c r="O54" s="285"/>
      <c r="P54" s="285"/>
      <c r="Q54" s="285"/>
      <c r="R54" s="285"/>
    </row>
    <row r="55" spans="1:18" x14ac:dyDescent="0.25">
      <c r="A55" s="280">
        <f>ROW()</f>
        <v>55</v>
      </c>
      <c r="B55" s="285" t="s">
        <v>8</v>
      </c>
      <c r="C55" s="624">
        <v>3</v>
      </c>
      <c r="D55" s="159" t="s">
        <v>5</v>
      </c>
      <c r="E55" s="734"/>
      <c r="F55" s="734"/>
      <c r="I55" s="282"/>
      <c r="J55" s="282"/>
      <c r="K55" s="285"/>
      <c r="L55" s="285"/>
      <c r="M55" s="285"/>
      <c r="N55" s="285"/>
      <c r="O55" s="285"/>
      <c r="P55" s="285"/>
      <c r="Q55" s="285"/>
      <c r="R55" s="285"/>
    </row>
    <row r="56" spans="1:18" x14ac:dyDescent="0.25">
      <c r="A56" s="280">
        <f>ROW()</f>
        <v>56</v>
      </c>
      <c r="B56" s="285" t="s">
        <v>74</v>
      </c>
      <c r="C56" s="624">
        <v>0</v>
      </c>
      <c r="D56" s="159" t="s">
        <v>68</v>
      </c>
      <c r="E56" s="734"/>
      <c r="F56" s="734"/>
      <c r="H56" s="609"/>
      <c r="I56" s="282"/>
      <c r="J56" s="282"/>
      <c r="K56" s="285"/>
      <c r="L56" s="285"/>
      <c r="M56" s="285"/>
      <c r="N56" s="285"/>
      <c r="O56" s="285"/>
      <c r="P56" s="285"/>
      <c r="Q56" s="285"/>
      <c r="R56" s="285"/>
    </row>
    <row r="57" spans="1:18" x14ac:dyDescent="0.25">
      <c r="A57" s="280">
        <f>ROW()</f>
        <v>57</v>
      </c>
      <c r="B57" s="299" t="s">
        <v>259</v>
      </c>
      <c r="C57" s="535" t="s">
        <v>289</v>
      </c>
      <c r="D57" s="735"/>
      <c r="E57" s="734"/>
      <c r="F57" s="734"/>
      <c r="G57" s="285"/>
      <c r="H57" s="608"/>
      <c r="I57" s="282"/>
      <c r="J57" s="282"/>
      <c r="K57" s="285"/>
      <c r="L57" s="285"/>
      <c r="M57" s="285"/>
      <c r="N57" s="285"/>
      <c r="O57" s="285"/>
      <c r="P57" s="285"/>
      <c r="Q57" s="285"/>
      <c r="R57" s="285"/>
    </row>
    <row r="58" spans="1:18" x14ac:dyDescent="0.25">
      <c r="A58" s="276">
        <f>ROW()</f>
        <v>58</v>
      </c>
      <c r="B58" s="378"/>
      <c r="C58" s="378"/>
      <c r="D58" s="462"/>
      <c r="E58" s="734"/>
      <c r="F58" s="734"/>
      <c r="G58" s="385"/>
      <c r="H58" s="427"/>
      <c r="I58" s="282"/>
      <c r="J58" s="282"/>
      <c r="K58" s="392"/>
      <c r="L58" s="392"/>
      <c r="M58" s="392"/>
      <c r="N58" s="392"/>
      <c r="O58" s="392"/>
      <c r="P58" s="392"/>
      <c r="Q58" s="392"/>
      <c r="R58" s="392"/>
    </row>
    <row r="59" spans="1:18" x14ac:dyDescent="0.25">
      <c r="A59" s="276">
        <f>ROW()</f>
        <v>59</v>
      </c>
      <c r="B59" s="217" t="s">
        <v>313</v>
      </c>
      <c r="C59" s="533">
        <f t="shared" ref="C59:C75" si="9">SUM(H59:M59)</f>
        <v>34304318.330137514</v>
      </c>
      <c r="D59" s="1188"/>
      <c r="E59" s="734"/>
      <c r="F59" s="734"/>
      <c r="G59" s="531"/>
      <c r="H59" s="393">
        <f>($C$45*H31)</f>
        <v>2390173.4874296761</v>
      </c>
      <c r="I59" s="393">
        <f>($C$45*$C$46^(I11-$H$11))*I31</f>
        <v>4028528.7688132906</v>
      </c>
      <c r="J59" s="393">
        <f>($C$45*$C$46^(J11-$H$11))*J31</f>
        <v>5839874.6670871181</v>
      </c>
      <c r="K59" s="393">
        <f>($C$45*$C$46^(K11-$H$11))*K31</f>
        <v>6648236.2657418093</v>
      </c>
      <c r="L59" s="393">
        <f>($C$45*$C$46^(L11-$H$11))*L31</f>
        <v>7336803.5932650669</v>
      </c>
      <c r="M59" s="393">
        <f>($C$45*$C$46^(M11-$H$11))*M31</f>
        <v>8060701.547800553</v>
      </c>
    </row>
    <row r="60" spans="1:18" x14ac:dyDescent="0.25">
      <c r="A60" s="276">
        <f>ROW()</f>
        <v>60</v>
      </c>
      <c r="B60" s="217" t="s">
        <v>346</v>
      </c>
      <c r="C60" s="427">
        <f t="shared" si="9"/>
        <v>-428803.97912671894</v>
      </c>
      <c r="D60" s="652">
        <f>-C60/C59</f>
        <v>1.2500000000000001E-2</v>
      </c>
      <c r="E60" s="652"/>
      <c r="F60" s="652"/>
      <c r="G60" s="256"/>
      <c r="H60" s="394">
        <f>IF(H31&lt;=50,0,-(H31)*VLOOKUP($C$57,'DSA Rates'!$A$9:$D$26,4,FALSE)*0.0125*$C$46^(H11-$H$11))</f>
        <v>-29877.168592870952</v>
      </c>
      <c r="I60" s="394">
        <f>IF(I31&lt;=50,0,-(I31)*VLOOKUP($C$57,'DSA Rates'!$A$9:$D$26,4,FALSE)*0.0125*$C$46^(I11-$H$11))</f>
        <v>-50356.609610166139</v>
      </c>
      <c r="J60" s="394">
        <f>IF(J31&lt;=50,0,-(J31)*VLOOKUP($C$57,'DSA Rates'!$A$9:$D$26,4,FALSE)*0.0125*$C$46^(J11-$H$11))</f>
        <v>-72998.433338588991</v>
      </c>
      <c r="K60" s="394">
        <f>IF(K31&lt;=50,0,-(K31)*VLOOKUP($C$57,'DSA Rates'!$A$9:$D$26,4,FALSE)*0.0125*$C$46^(K11-$H$11))</f>
        <v>-83102.953321772613</v>
      </c>
      <c r="L60" s="394">
        <f>IF(L31&lt;=50,0,-(L31)*VLOOKUP($C$57,'DSA Rates'!$A$9:$D$26,4,FALSE)*0.0125*$C$46^(L11-$H$11))</f>
        <v>-91710.044915813342</v>
      </c>
      <c r="M60" s="394">
        <f>IF(M31&lt;=50,0,-(M31)*VLOOKUP($C$57,'DSA Rates'!$A$9:$D$26,4,FALSE)*0.0125*$C$46^(M11-$H$11))</f>
        <v>-100758.76934750692</v>
      </c>
    </row>
    <row r="61" spans="1:18" x14ac:dyDescent="0.25">
      <c r="A61" s="276">
        <f>ROW()</f>
        <v>61</v>
      </c>
      <c r="B61" s="217" t="s">
        <v>125</v>
      </c>
      <c r="C61" s="427">
        <f t="shared" si="9"/>
        <v>2455110</v>
      </c>
      <c r="D61" s="427"/>
      <c r="E61" s="427"/>
      <c r="F61" s="427"/>
      <c r="G61" s="256"/>
      <c r="H61" s="394">
        <f t="shared" ref="H61:M61" si="10">(H31*H36)*($C$49)</f>
        <v>187110</v>
      </c>
      <c r="I61" s="394">
        <f t="shared" si="10"/>
        <v>306180</v>
      </c>
      <c r="J61" s="394">
        <f t="shared" si="10"/>
        <v>430920</v>
      </c>
      <c r="K61" s="394">
        <f t="shared" si="10"/>
        <v>476280.00000000006</v>
      </c>
      <c r="L61" s="394">
        <f t="shared" si="10"/>
        <v>510300</v>
      </c>
      <c r="M61" s="394">
        <f t="shared" si="10"/>
        <v>544320</v>
      </c>
    </row>
    <row r="62" spans="1:18" x14ac:dyDescent="0.25">
      <c r="A62" s="276">
        <f>ROW()</f>
        <v>62</v>
      </c>
      <c r="B62" s="282" t="s">
        <v>354</v>
      </c>
      <c r="C62" s="427">
        <f t="shared" si="9"/>
        <v>15155</v>
      </c>
      <c r="D62" s="427"/>
      <c r="E62" s="427"/>
      <c r="F62" s="427"/>
      <c r="G62" s="256"/>
      <c r="H62" s="394">
        <f t="shared" ref="H62:M62" si="11">($C$50*H31*H36)+(H31*3.5)</f>
        <v>1155</v>
      </c>
      <c r="I62" s="394">
        <f t="shared" si="11"/>
        <v>1890</v>
      </c>
      <c r="J62" s="394">
        <f t="shared" si="11"/>
        <v>2660</v>
      </c>
      <c r="K62" s="394">
        <f t="shared" si="11"/>
        <v>2940</v>
      </c>
      <c r="L62" s="394">
        <f t="shared" si="11"/>
        <v>3150</v>
      </c>
      <c r="M62" s="394">
        <f t="shared" si="11"/>
        <v>3360</v>
      </c>
    </row>
    <row r="63" spans="1:18" x14ac:dyDescent="0.25">
      <c r="A63" s="276">
        <f>ROW()</f>
        <v>63</v>
      </c>
      <c r="B63" s="282" t="s">
        <v>353</v>
      </c>
      <c r="C63" s="427">
        <f t="shared" si="9"/>
        <v>0</v>
      </c>
      <c r="D63" s="427"/>
      <c r="E63" s="427"/>
      <c r="F63" s="427"/>
      <c r="G63" s="256"/>
      <c r="H63" s="394">
        <f t="shared" ref="H63:M63" si="12">$C$51*H31*H38</f>
        <v>0</v>
      </c>
      <c r="I63" s="394">
        <f t="shared" si="12"/>
        <v>0</v>
      </c>
      <c r="J63" s="394">
        <f t="shared" si="12"/>
        <v>0</v>
      </c>
      <c r="K63" s="394">
        <f t="shared" si="12"/>
        <v>0</v>
      </c>
      <c r="L63" s="394">
        <f t="shared" si="12"/>
        <v>0</v>
      </c>
      <c r="M63" s="394">
        <f t="shared" si="12"/>
        <v>0</v>
      </c>
    </row>
    <row r="64" spans="1:18" x14ac:dyDescent="0.25">
      <c r="A64" s="276">
        <f>ROW()</f>
        <v>64</v>
      </c>
      <c r="B64" s="217" t="s">
        <v>238</v>
      </c>
      <c r="C64" s="427">
        <f t="shared" si="9"/>
        <v>0</v>
      </c>
      <c r="D64" s="427"/>
      <c r="E64" s="427"/>
      <c r="F64" s="427"/>
      <c r="G64" s="256"/>
      <c r="H64" s="394">
        <f t="shared" ref="H64:M64" si="13">IF($C$53="yes",$C$54*$C$105*(H31*H36),0)</f>
        <v>0</v>
      </c>
      <c r="I64" s="394">
        <f t="shared" si="13"/>
        <v>0</v>
      </c>
      <c r="J64" s="394">
        <f t="shared" si="13"/>
        <v>0</v>
      </c>
      <c r="K64" s="394">
        <f t="shared" si="13"/>
        <v>0</v>
      </c>
      <c r="L64" s="394">
        <f t="shared" si="13"/>
        <v>0</v>
      </c>
      <c r="M64" s="394">
        <f t="shared" si="13"/>
        <v>0</v>
      </c>
    </row>
    <row r="65" spans="1:13" x14ac:dyDescent="0.25">
      <c r="A65" s="276">
        <f>ROW()</f>
        <v>65</v>
      </c>
      <c r="B65" s="217" t="s">
        <v>7</v>
      </c>
      <c r="C65" s="427">
        <f t="shared" si="9"/>
        <v>1893942</v>
      </c>
      <c r="D65" s="427"/>
      <c r="E65" s="427"/>
      <c r="F65" s="427"/>
      <c r="G65" s="256"/>
      <c r="H65" s="394">
        <f t="shared" ref="H65:M65" si="14">(H31*H36)*$C$105*$C$55</f>
        <v>144342</v>
      </c>
      <c r="I65" s="394">
        <f t="shared" si="14"/>
        <v>236196</v>
      </c>
      <c r="J65" s="394">
        <f t="shared" si="14"/>
        <v>332424</v>
      </c>
      <c r="K65" s="394">
        <f t="shared" si="14"/>
        <v>367416.00000000006</v>
      </c>
      <c r="L65" s="394">
        <f t="shared" si="14"/>
        <v>393660</v>
      </c>
      <c r="M65" s="394">
        <f t="shared" si="14"/>
        <v>419904</v>
      </c>
    </row>
    <row r="66" spans="1:13" x14ac:dyDescent="0.25">
      <c r="A66" s="276">
        <f>ROW()</f>
        <v>66</v>
      </c>
      <c r="B66" s="217" t="s">
        <v>228</v>
      </c>
      <c r="C66" s="427">
        <f t="shared" si="9"/>
        <v>642572</v>
      </c>
      <c r="D66" s="427"/>
      <c r="E66" s="427"/>
      <c r="F66" s="427"/>
      <c r="G66" s="256"/>
      <c r="H66" s="395">
        <f t="shared" ref="H66:M66" si="15">(H31*H40)*$C$52</f>
        <v>48972</v>
      </c>
      <c r="I66" s="395">
        <f t="shared" si="15"/>
        <v>80136.000000000015</v>
      </c>
      <c r="J66" s="395">
        <f t="shared" si="15"/>
        <v>112784</v>
      </c>
      <c r="K66" s="395">
        <f t="shared" si="15"/>
        <v>124656.00000000001</v>
      </c>
      <c r="L66" s="395">
        <f t="shared" si="15"/>
        <v>133560.00000000003</v>
      </c>
      <c r="M66" s="395">
        <f t="shared" si="15"/>
        <v>142464</v>
      </c>
    </row>
    <row r="67" spans="1:13" x14ac:dyDescent="0.25">
      <c r="A67" s="276">
        <f>ROW()</f>
        <v>67</v>
      </c>
      <c r="B67" s="217" t="s">
        <v>309</v>
      </c>
      <c r="C67" s="427">
        <f t="shared" si="9"/>
        <v>1970150</v>
      </c>
      <c r="D67" s="427"/>
      <c r="E67" s="427"/>
      <c r="F67" s="427"/>
      <c r="G67" s="531"/>
      <c r="H67" s="396">
        <f t="shared" ref="H67:M67" si="16">(H31*MIN(H40,0.13))*$C$47</f>
        <v>150150</v>
      </c>
      <c r="I67" s="396">
        <f t="shared" si="16"/>
        <v>245700</v>
      </c>
      <c r="J67" s="396">
        <f t="shared" si="16"/>
        <v>345800</v>
      </c>
      <c r="K67" s="396">
        <f t="shared" si="16"/>
        <v>382200</v>
      </c>
      <c r="L67" s="396">
        <f t="shared" si="16"/>
        <v>409500</v>
      </c>
      <c r="M67" s="396">
        <f t="shared" si="16"/>
        <v>436800.00000000006</v>
      </c>
    </row>
    <row r="68" spans="1:13" x14ac:dyDescent="0.25">
      <c r="A68" s="276">
        <f>ROW()</f>
        <v>68</v>
      </c>
      <c r="B68" s="217" t="s">
        <v>310</v>
      </c>
      <c r="C68" s="427">
        <f t="shared" si="9"/>
        <v>0</v>
      </c>
      <c r="D68" s="427"/>
      <c r="E68" s="427"/>
      <c r="F68" s="427"/>
      <c r="G68" s="1374">
        <v>0</v>
      </c>
      <c r="H68" s="1374">
        <v>0</v>
      </c>
      <c r="I68" s="1374">
        <v>0</v>
      </c>
      <c r="J68" s="1374">
        <v>0</v>
      </c>
      <c r="K68" s="1374">
        <v>0</v>
      </c>
      <c r="L68" s="1374">
        <v>0</v>
      </c>
      <c r="M68" s="1374">
        <v>0</v>
      </c>
    </row>
    <row r="69" spans="1:13" x14ac:dyDescent="0.25">
      <c r="A69" s="276">
        <f>ROW()</f>
        <v>69</v>
      </c>
      <c r="B69" s="217" t="s">
        <v>258</v>
      </c>
      <c r="C69" s="427">
        <f t="shared" si="9"/>
        <v>0</v>
      </c>
      <c r="D69" s="427"/>
      <c r="E69" s="427"/>
      <c r="F69" s="427"/>
      <c r="G69" s="1372">
        <v>0</v>
      </c>
      <c r="H69" s="1372">
        <v>0</v>
      </c>
      <c r="I69" s="1372">
        <v>0</v>
      </c>
      <c r="J69" s="1372">
        <v>0</v>
      </c>
      <c r="K69" s="1372">
        <v>0</v>
      </c>
      <c r="L69" s="1372">
        <v>0</v>
      </c>
      <c r="M69" s="1372">
        <v>0</v>
      </c>
    </row>
    <row r="70" spans="1:13" x14ac:dyDescent="0.25">
      <c r="A70" s="276">
        <f>ROW()</f>
        <v>70</v>
      </c>
      <c r="B70" s="217" t="s">
        <v>74</v>
      </c>
      <c r="C70" s="427">
        <f t="shared" si="9"/>
        <v>0</v>
      </c>
      <c r="D70" s="427"/>
      <c r="E70" s="427"/>
      <c r="F70" s="427"/>
      <c r="G70" s="1375">
        <v>0</v>
      </c>
      <c r="H70" s="397">
        <f t="shared" ref="H70:M70" si="17">$C$56*H31</f>
        <v>0</v>
      </c>
      <c r="I70" s="397">
        <f t="shared" si="17"/>
        <v>0</v>
      </c>
      <c r="J70" s="397">
        <f t="shared" si="17"/>
        <v>0</v>
      </c>
      <c r="K70" s="397">
        <f t="shared" si="17"/>
        <v>0</v>
      </c>
      <c r="L70" s="397">
        <f t="shared" si="17"/>
        <v>0</v>
      </c>
      <c r="M70" s="397">
        <f t="shared" si="17"/>
        <v>0</v>
      </c>
    </row>
    <row r="71" spans="1:13" x14ac:dyDescent="0.25">
      <c r="A71" s="276">
        <f>ROW()</f>
        <v>71</v>
      </c>
      <c r="B71" s="217" t="s">
        <v>13</v>
      </c>
      <c r="C71" s="427">
        <f t="shared" si="9"/>
        <v>0</v>
      </c>
      <c r="D71" s="427"/>
      <c r="E71" s="427"/>
      <c r="F71" s="427"/>
      <c r="G71" s="1372">
        <v>0</v>
      </c>
      <c r="H71" s="1372">
        <v>0</v>
      </c>
      <c r="I71" s="1372">
        <v>0</v>
      </c>
      <c r="J71" s="1372">
        <v>0</v>
      </c>
      <c r="K71" s="1372">
        <v>0</v>
      </c>
      <c r="L71" s="1372">
        <v>0</v>
      </c>
      <c r="M71" s="1372">
        <v>0</v>
      </c>
    </row>
    <row r="72" spans="1:13" x14ac:dyDescent="0.25">
      <c r="A72" s="276">
        <f>ROW()</f>
        <v>72</v>
      </c>
      <c r="B72" s="217" t="s">
        <v>11</v>
      </c>
      <c r="C72" s="427">
        <f t="shared" si="9"/>
        <v>0</v>
      </c>
      <c r="D72" s="427"/>
      <c r="E72" s="427"/>
      <c r="F72" s="427"/>
      <c r="G72" s="1372">
        <v>0</v>
      </c>
      <c r="H72" s="1372">
        <v>0</v>
      </c>
      <c r="I72" s="1372">
        <v>0</v>
      </c>
      <c r="J72" s="1372">
        <v>0</v>
      </c>
      <c r="K72" s="1372">
        <v>0</v>
      </c>
      <c r="L72" s="1372">
        <v>0</v>
      </c>
      <c r="M72" s="1372">
        <v>0</v>
      </c>
    </row>
    <row r="73" spans="1:13" x14ac:dyDescent="0.25">
      <c r="A73" s="276">
        <f>ROW()</f>
        <v>73</v>
      </c>
      <c r="B73" s="217" t="s">
        <v>75</v>
      </c>
      <c r="C73" s="427">
        <f t="shared" si="9"/>
        <v>0</v>
      </c>
      <c r="D73" s="427"/>
      <c r="E73" s="427"/>
      <c r="F73" s="427"/>
      <c r="G73" s="1372">
        <v>0</v>
      </c>
      <c r="H73" s="1372">
        <v>0</v>
      </c>
      <c r="I73" s="1372">
        <v>0</v>
      </c>
      <c r="J73" s="1372">
        <v>0</v>
      </c>
      <c r="K73" s="1372">
        <v>0</v>
      </c>
      <c r="L73" s="1372">
        <v>0</v>
      </c>
      <c r="M73" s="1372">
        <v>0</v>
      </c>
    </row>
    <row r="74" spans="1:13" x14ac:dyDescent="0.25">
      <c r="A74" s="276">
        <f>ROW()</f>
        <v>74</v>
      </c>
      <c r="B74" s="217" t="s">
        <v>369</v>
      </c>
      <c r="C74" s="427">
        <f t="shared" si="9"/>
        <v>0</v>
      </c>
      <c r="D74" s="427"/>
      <c r="E74" s="427"/>
      <c r="F74" s="427"/>
      <c r="G74" s="1372">
        <v>52500</v>
      </c>
      <c r="H74" s="1373">
        <v>0</v>
      </c>
      <c r="I74" s="1372">
        <v>0</v>
      </c>
      <c r="J74" s="1372">
        <v>0</v>
      </c>
      <c r="K74" s="1372">
        <v>0</v>
      </c>
      <c r="L74" s="1372">
        <v>0</v>
      </c>
      <c r="M74" s="1372">
        <v>0</v>
      </c>
    </row>
    <row r="75" spans="1:13" ht="15.75" x14ac:dyDescent="0.25">
      <c r="A75" s="276">
        <f>ROW()</f>
        <v>75</v>
      </c>
      <c r="B75" s="279" t="s">
        <v>64</v>
      </c>
      <c r="C75" s="551">
        <f t="shared" si="9"/>
        <v>40852443.351010792</v>
      </c>
      <c r="D75" s="534"/>
      <c r="E75" s="534"/>
      <c r="F75" s="534"/>
      <c r="G75" s="532">
        <f>G59+G60+G61+G62+G63+G64+G65+G66+G67+G68+G69+G70+G71+G72+G73+G74</f>
        <v>52500</v>
      </c>
      <c r="H75" s="363">
        <f t="shared" ref="H75:M75" si="18">SUM(H59:H74)</f>
        <v>2892025.3188368049</v>
      </c>
      <c r="I75" s="363">
        <f t="shared" si="18"/>
        <v>4848274.1592031252</v>
      </c>
      <c r="J75" s="363">
        <f t="shared" si="18"/>
        <v>6991464.2337485291</v>
      </c>
      <c r="K75" s="363">
        <f t="shared" si="18"/>
        <v>7918625.3124200366</v>
      </c>
      <c r="L75" s="363">
        <f t="shared" si="18"/>
        <v>8695263.5483492538</v>
      </c>
      <c r="M75" s="363">
        <f t="shared" si="18"/>
        <v>9506790.7784530465</v>
      </c>
    </row>
    <row r="76" spans="1:13" x14ac:dyDescent="0.25">
      <c r="A76" s="276">
        <f>ROW()</f>
        <v>76</v>
      </c>
      <c r="B76" s="378" t="s">
        <v>414</v>
      </c>
      <c r="C76" s="282"/>
      <c r="D76" s="282"/>
      <c r="E76" s="282"/>
      <c r="F76" s="282"/>
      <c r="G76" s="392"/>
      <c r="H76" s="398">
        <f t="shared" ref="H76:M76" si="19">IFERROR(H75/H31,0)</f>
        <v>8763.713087384258</v>
      </c>
      <c r="I76" s="398">
        <f t="shared" si="19"/>
        <v>8978.2854800057867</v>
      </c>
      <c r="J76" s="398">
        <f t="shared" si="19"/>
        <v>9199.2950444059588</v>
      </c>
      <c r="K76" s="398">
        <f t="shared" si="19"/>
        <v>9426.9348957381389</v>
      </c>
      <c r="L76" s="398">
        <f t="shared" si="19"/>
        <v>9661.4039426102827</v>
      </c>
      <c r="M76" s="398">
        <f t="shared" si="19"/>
        <v>9902.9070608885904</v>
      </c>
    </row>
    <row r="77" spans="1:13" x14ac:dyDescent="0.25">
      <c r="A77" s="276">
        <f>ROW()</f>
        <v>77</v>
      </c>
      <c r="B77" s="223"/>
      <c r="C77" s="223"/>
      <c r="D77" s="223"/>
      <c r="E77" s="223"/>
      <c r="F77" s="223"/>
      <c r="K77" s="221"/>
      <c r="L77" s="221"/>
      <c r="M77" s="221"/>
    </row>
    <row r="78" spans="1:13" x14ac:dyDescent="0.25">
      <c r="A78" s="276">
        <f>ROW()</f>
        <v>78</v>
      </c>
      <c r="B78" s="223"/>
      <c r="C78" s="223"/>
      <c r="D78" s="223"/>
      <c r="E78" s="223"/>
      <c r="F78" s="223"/>
      <c r="K78" s="221"/>
      <c r="L78" s="221"/>
      <c r="M78" s="221"/>
    </row>
    <row r="79" spans="1:13" x14ac:dyDescent="0.25">
      <c r="A79" s="276">
        <f>ROW()</f>
        <v>79</v>
      </c>
      <c r="B79" s="204" t="s">
        <v>126</v>
      </c>
      <c r="C79" s="204"/>
      <c r="D79" s="204"/>
      <c r="E79" s="204"/>
      <c r="F79" s="204"/>
      <c r="G79" s="399" t="str">
        <f t="shared" ref="G79:M81" si="20">G9</f>
        <v>SY 0/Incubation</v>
      </c>
      <c r="H79" s="399" t="str">
        <f t="shared" si="20"/>
        <v>SY 1</v>
      </c>
      <c r="I79" s="399" t="str">
        <f t="shared" si="20"/>
        <v>SY 2</v>
      </c>
      <c r="J79" s="399" t="str">
        <f t="shared" si="20"/>
        <v>SY 3</v>
      </c>
      <c r="K79" s="399" t="str">
        <f t="shared" si="20"/>
        <v>SY 4</v>
      </c>
      <c r="L79" s="399" t="str">
        <f t="shared" si="20"/>
        <v>SY 5</v>
      </c>
      <c r="M79" s="399" t="str">
        <f t="shared" si="20"/>
        <v>SY 6</v>
      </c>
    </row>
    <row r="80" spans="1:13" x14ac:dyDescent="0.25">
      <c r="A80" s="276">
        <f>ROW()</f>
        <v>80</v>
      </c>
      <c r="B80" s="223" t="s">
        <v>123</v>
      </c>
      <c r="C80" s="223"/>
      <c r="D80" s="223"/>
      <c r="E80" s="223"/>
      <c r="F80" s="223"/>
      <c r="G80" s="977">
        <f t="shared" si="20"/>
        <v>2019</v>
      </c>
      <c r="H80" s="977">
        <f t="shared" si="20"/>
        <v>2020</v>
      </c>
      <c r="I80" s="978">
        <f t="shared" si="20"/>
        <v>2021</v>
      </c>
      <c r="J80" s="978">
        <f t="shared" si="20"/>
        <v>2022</v>
      </c>
      <c r="K80" s="978">
        <f t="shared" si="20"/>
        <v>2023</v>
      </c>
      <c r="L80" s="978">
        <f t="shared" si="20"/>
        <v>2024</v>
      </c>
      <c r="M80" s="978">
        <f t="shared" si="20"/>
        <v>2025</v>
      </c>
    </row>
    <row r="81" spans="1:18" x14ac:dyDescent="0.25">
      <c r="A81" s="276">
        <f>ROW()</f>
        <v>81</v>
      </c>
      <c r="B81" s="223" t="s">
        <v>70</v>
      </c>
      <c r="C81" s="223"/>
      <c r="D81" s="223"/>
      <c r="E81" s="223"/>
      <c r="F81" s="223"/>
      <c r="G81" s="364">
        <f t="shared" si="20"/>
        <v>2020</v>
      </c>
      <c r="H81" s="201">
        <f t="shared" si="20"/>
        <v>2021</v>
      </c>
      <c r="I81" s="201">
        <f t="shared" si="20"/>
        <v>2022</v>
      </c>
      <c r="J81" s="201">
        <f t="shared" si="20"/>
        <v>2023</v>
      </c>
      <c r="K81" s="201">
        <f t="shared" si="20"/>
        <v>2024</v>
      </c>
      <c r="L81" s="201">
        <f t="shared" si="20"/>
        <v>2025</v>
      </c>
      <c r="M81" s="201">
        <f t="shared" si="20"/>
        <v>2026</v>
      </c>
    </row>
    <row r="82" spans="1:18" x14ac:dyDescent="0.25">
      <c r="A82" s="276">
        <f>ROW()</f>
        <v>82</v>
      </c>
      <c r="B82" s="365" t="s">
        <v>203</v>
      </c>
      <c r="C82" s="400"/>
      <c r="D82" s="400"/>
      <c r="E82" s="400"/>
      <c r="F82" s="400"/>
      <c r="G82" s="401"/>
      <c r="H82" s="366"/>
      <c r="I82" s="367"/>
      <c r="J82" s="367"/>
      <c r="K82" s="367"/>
      <c r="L82" s="367"/>
      <c r="M82" s="367"/>
    </row>
    <row r="83" spans="1:18" x14ac:dyDescent="0.25">
      <c r="A83" s="276">
        <f>ROW()</f>
        <v>83</v>
      </c>
      <c r="B83" s="368" t="s">
        <v>38</v>
      </c>
      <c r="C83" s="285"/>
      <c r="D83" s="285"/>
      <c r="E83" s="285"/>
      <c r="F83" s="285"/>
      <c r="G83" s="402"/>
      <c r="H83" s="369"/>
      <c r="I83" s="370"/>
      <c r="J83" s="370"/>
      <c r="K83" s="370"/>
      <c r="L83" s="370"/>
      <c r="M83" s="370"/>
    </row>
    <row r="84" spans="1:18" x14ac:dyDescent="0.25">
      <c r="A84" s="276">
        <f>ROW()</f>
        <v>84</v>
      </c>
      <c r="B84" s="403" t="s">
        <v>43</v>
      </c>
      <c r="C84" s="619">
        <v>4118</v>
      </c>
      <c r="D84" s="369" t="s">
        <v>45</v>
      </c>
      <c r="E84" s="369"/>
      <c r="F84" s="369"/>
      <c r="I84" s="370"/>
      <c r="J84" s="370"/>
      <c r="K84" s="370"/>
      <c r="L84" s="370"/>
      <c r="M84" s="370"/>
    </row>
    <row r="85" spans="1:18" x14ac:dyDescent="0.25">
      <c r="A85" s="276">
        <f>ROW()</f>
        <v>85</v>
      </c>
      <c r="B85" s="403" t="s">
        <v>44</v>
      </c>
      <c r="C85" s="619">
        <v>11381</v>
      </c>
      <c r="D85" s="369" t="s">
        <v>45</v>
      </c>
      <c r="E85" s="369"/>
      <c r="F85" s="369"/>
      <c r="I85" s="370"/>
      <c r="J85" s="370"/>
      <c r="K85" s="370"/>
      <c r="L85" s="370"/>
      <c r="M85" s="370"/>
    </row>
    <row r="86" spans="1:18" x14ac:dyDescent="0.25">
      <c r="A86" s="276">
        <f>ROW()</f>
        <v>86</v>
      </c>
      <c r="B86" s="403" t="s">
        <v>99</v>
      </c>
      <c r="C86" s="621">
        <v>1</v>
      </c>
      <c r="D86" s="369"/>
      <c r="E86" s="369"/>
      <c r="F86" s="369"/>
      <c r="I86" s="370"/>
      <c r="J86" s="370"/>
      <c r="K86" s="370"/>
      <c r="L86" s="370"/>
      <c r="M86" s="370"/>
    </row>
    <row r="87" spans="1:18" x14ac:dyDescent="0.25">
      <c r="A87" s="276">
        <f>ROW()</f>
        <v>87</v>
      </c>
      <c r="B87" s="403" t="s">
        <v>207</v>
      </c>
      <c r="C87" s="621">
        <v>0.6</v>
      </c>
      <c r="D87" s="369"/>
      <c r="E87" s="369"/>
      <c r="F87" s="369"/>
      <c r="I87" s="370"/>
      <c r="J87" s="370"/>
      <c r="K87" s="370"/>
      <c r="L87" s="370"/>
      <c r="M87" s="370"/>
      <c r="N87" s="285"/>
      <c r="O87" s="285"/>
      <c r="P87" s="285"/>
      <c r="Q87" s="285"/>
      <c r="R87" s="285"/>
    </row>
    <row r="88" spans="1:18" x14ac:dyDescent="0.25">
      <c r="A88" s="276">
        <f>ROW()</f>
        <v>88</v>
      </c>
      <c r="B88" s="403" t="s">
        <v>46</v>
      </c>
      <c r="C88" s="404">
        <f>(C87*C84)+((1-C87)*C85)</f>
        <v>7023.2000000000007</v>
      </c>
      <c r="D88" s="369" t="s">
        <v>362</v>
      </c>
      <c r="E88" s="369"/>
      <c r="F88" s="369"/>
      <c r="I88" s="370"/>
      <c r="J88" s="370"/>
      <c r="K88" s="370"/>
      <c r="L88" s="370"/>
      <c r="M88" s="370"/>
      <c r="N88" s="285"/>
      <c r="O88" s="285"/>
      <c r="P88" s="285"/>
      <c r="Q88" s="285"/>
      <c r="R88" s="285"/>
    </row>
    <row r="89" spans="1:18" x14ac:dyDescent="0.25">
      <c r="A89" s="276">
        <f>ROW()</f>
        <v>89</v>
      </c>
      <c r="B89" s="403" t="s">
        <v>39</v>
      </c>
      <c r="C89" s="620">
        <v>7.0000000000000007E-2</v>
      </c>
      <c r="D89" s="369" t="s">
        <v>363</v>
      </c>
      <c r="E89" s="369"/>
      <c r="F89" s="369"/>
      <c r="I89" s="370"/>
      <c r="J89" s="370"/>
      <c r="K89" s="370"/>
      <c r="L89" s="370"/>
      <c r="M89" s="370"/>
      <c r="N89" s="285"/>
      <c r="O89" s="285"/>
      <c r="P89" s="285"/>
      <c r="Q89" s="285"/>
      <c r="R89" s="285"/>
    </row>
    <row r="90" spans="1:18" x14ac:dyDescent="0.25">
      <c r="A90" s="276">
        <f>ROW()</f>
        <v>90</v>
      </c>
      <c r="B90" s="403" t="s">
        <v>40</v>
      </c>
      <c r="C90" s="1351">
        <v>0.14624999999999999</v>
      </c>
      <c r="D90" s="369" t="s">
        <v>363</v>
      </c>
      <c r="E90" s="369"/>
      <c r="F90" s="369"/>
      <c r="I90" s="370"/>
      <c r="J90" s="370"/>
      <c r="K90" s="370"/>
      <c r="L90" s="370"/>
      <c r="M90" s="370"/>
      <c r="N90" s="285"/>
      <c r="O90" s="285"/>
      <c r="P90" s="285"/>
      <c r="Q90" s="285"/>
      <c r="R90" s="285"/>
    </row>
    <row r="91" spans="1:18" x14ac:dyDescent="0.25">
      <c r="A91" s="276">
        <f>ROW()</f>
        <v>91</v>
      </c>
      <c r="B91" s="403" t="s">
        <v>41</v>
      </c>
      <c r="C91" s="1351">
        <v>0.14624999999999999</v>
      </c>
      <c r="D91" s="369" t="s">
        <v>363</v>
      </c>
      <c r="E91" s="369"/>
      <c r="F91" s="369"/>
      <c r="I91" s="370"/>
      <c r="J91" s="370"/>
      <c r="K91" s="370"/>
      <c r="L91" s="370"/>
      <c r="M91" s="370"/>
      <c r="N91" s="285"/>
      <c r="O91" s="285"/>
      <c r="P91" s="285"/>
      <c r="Q91" s="285"/>
      <c r="R91" s="285"/>
    </row>
    <row r="92" spans="1:18" x14ac:dyDescent="0.25">
      <c r="A92" s="276">
        <f>ROW()</f>
        <v>92</v>
      </c>
      <c r="B92" s="403" t="s">
        <v>42</v>
      </c>
      <c r="C92" s="620">
        <v>0.06</v>
      </c>
      <c r="D92" s="369" t="s">
        <v>363</v>
      </c>
      <c r="E92" s="369"/>
      <c r="F92" s="369"/>
      <c r="I92" s="370"/>
      <c r="J92" s="370"/>
      <c r="K92" s="370"/>
      <c r="L92" s="370"/>
      <c r="M92" s="370"/>
      <c r="N92" s="285"/>
      <c r="O92" s="285"/>
      <c r="P92" s="285"/>
      <c r="Q92" s="285"/>
      <c r="R92" s="285"/>
    </row>
    <row r="93" spans="1:18" x14ac:dyDescent="0.25">
      <c r="A93" s="276">
        <f>ROW()</f>
        <v>93</v>
      </c>
      <c r="B93" s="403" t="s">
        <v>232</v>
      </c>
      <c r="C93" s="619">
        <v>0</v>
      </c>
      <c r="D93" s="369" t="s">
        <v>234</v>
      </c>
      <c r="E93" s="369"/>
      <c r="F93" s="369"/>
      <c r="I93" s="370"/>
      <c r="J93" s="370"/>
      <c r="K93" s="370"/>
      <c r="L93" s="370"/>
      <c r="M93" s="370"/>
      <c r="N93" s="285"/>
      <c r="O93" s="285"/>
      <c r="P93" s="285"/>
      <c r="Q93" s="285"/>
      <c r="R93" s="285"/>
    </row>
    <row r="94" spans="1:18" x14ac:dyDescent="0.25">
      <c r="A94" s="276">
        <f>ROW()</f>
        <v>94</v>
      </c>
      <c r="B94" s="403" t="s">
        <v>233</v>
      </c>
      <c r="C94" s="619">
        <v>0</v>
      </c>
      <c r="D94" s="369" t="s">
        <v>234</v>
      </c>
      <c r="E94" s="369"/>
      <c r="F94" s="369"/>
      <c r="I94" s="370"/>
      <c r="J94" s="370"/>
      <c r="K94" s="370"/>
      <c r="L94" s="370"/>
      <c r="M94" s="370"/>
      <c r="N94" s="285"/>
      <c r="O94" s="285"/>
      <c r="P94" s="285"/>
      <c r="Q94" s="285"/>
      <c r="R94" s="285"/>
    </row>
    <row r="95" spans="1:18" x14ac:dyDescent="0.25">
      <c r="A95" s="276">
        <f>ROW()</f>
        <v>95</v>
      </c>
      <c r="B95" s="403"/>
      <c r="C95" s="386"/>
      <c r="D95" s="369"/>
      <c r="E95" s="369"/>
      <c r="F95" s="369"/>
      <c r="I95" s="370"/>
      <c r="J95" s="370"/>
      <c r="K95" s="370"/>
      <c r="L95" s="370"/>
      <c r="M95" s="370"/>
      <c r="N95" s="285"/>
      <c r="O95" s="285"/>
      <c r="P95" s="285"/>
      <c r="Q95" s="285"/>
      <c r="R95" s="285"/>
    </row>
    <row r="96" spans="1:18" x14ac:dyDescent="0.25">
      <c r="A96" s="276">
        <f>ROW()</f>
        <v>96</v>
      </c>
      <c r="B96" s="403" t="s">
        <v>135</v>
      </c>
      <c r="C96" s="619">
        <v>20</v>
      </c>
      <c r="D96" s="369" t="s">
        <v>146</v>
      </c>
      <c r="E96" s="369"/>
      <c r="F96" s="369"/>
      <c r="I96" s="370"/>
      <c r="J96" s="370"/>
      <c r="K96" s="370"/>
      <c r="L96" s="370"/>
      <c r="M96" s="370"/>
      <c r="N96" s="285"/>
      <c r="O96" s="285"/>
      <c r="P96" s="285"/>
      <c r="Q96" s="285"/>
      <c r="R96" s="285"/>
    </row>
    <row r="97" spans="1:18" x14ac:dyDescent="0.25">
      <c r="A97" s="276">
        <f>ROW()</f>
        <v>97</v>
      </c>
      <c r="B97" s="403" t="s">
        <v>69</v>
      </c>
      <c r="C97" s="620">
        <v>0</v>
      </c>
      <c r="D97" s="369" t="s">
        <v>227</v>
      </c>
      <c r="E97" s="369"/>
      <c r="F97" s="369"/>
      <c r="I97" s="370"/>
      <c r="J97" s="370"/>
      <c r="K97" s="370"/>
      <c r="L97" s="370"/>
      <c r="M97" s="370"/>
      <c r="N97" s="285"/>
      <c r="O97" s="285"/>
      <c r="P97" s="285"/>
      <c r="Q97" s="285"/>
      <c r="R97" s="285"/>
    </row>
    <row r="98" spans="1:18" x14ac:dyDescent="0.25">
      <c r="A98" s="276">
        <f>ROW()</f>
        <v>98</v>
      </c>
      <c r="B98" s="299"/>
      <c r="C98" s="299"/>
      <c r="D98" s="299"/>
      <c r="E98" s="299"/>
      <c r="F98" s="299"/>
      <c r="G98" s="301"/>
      <c r="H98" s="301"/>
      <c r="I98" s="229"/>
      <c r="J98" s="229"/>
      <c r="K98" s="229"/>
      <c r="L98" s="229"/>
      <c r="M98" s="229"/>
      <c r="N98" s="389"/>
      <c r="O98" s="285"/>
      <c r="P98" s="285"/>
      <c r="Q98" s="389"/>
      <c r="R98" s="389"/>
    </row>
    <row r="99" spans="1:18" x14ac:dyDescent="0.25">
      <c r="A99" s="276">
        <f>ROW()</f>
        <v>99</v>
      </c>
      <c r="B99" s="285" t="s">
        <v>729</v>
      </c>
      <c r="C99" s="285"/>
      <c r="D99" s="285"/>
      <c r="E99" s="285"/>
      <c r="F99" s="285"/>
      <c r="G99" s="406">
        <f t="shared" ref="G99:M99" si="21">G$120</f>
        <v>0</v>
      </c>
      <c r="H99" s="405">
        <f t="shared" si="21"/>
        <v>1</v>
      </c>
      <c r="I99" s="405">
        <f t="shared" si="21"/>
        <v>2</v>
      </c>
      <c r="J99" s="405">
        <f t="shared" si="21"/>
        <v>2</v>
      </c>
      <c r="K99" s="405">
        <f t="shared" si="21"/>
        <v>3</v>
      </c>
      <c r="L99" s="405">
        <f t="shared" si="21"/>
        <v>3</v>
      </c>
      <c r="M99" s="405">
        <f t="shared" si="21"/>
        <v>3</v>
      </c>
      <c r="N99" s="389"/>
      <c r="O99" s="285"/>
      <c r="P99" s="285"/>
    </row>
    <row r="100" spans="1:18" x14ac:dyDescent="0.25">
      <c r="A100" s="276">
        <f>ROW()</f>
        <v>100</v>
      </c>
      <c r="B100" s="285" t="s">
        <v>728</v>
      </c>
      <c r="C100" s="285"/>
      <c r="D100" s="285"/>
      <c r="E100" s="285"/>
      <c r="F100" s="285"/>
      <c r="G100" s="406">
        <f t="shared" ref="G100:M100" si="22">G$128</f>
        <v>0</v>
      </c>
      <c r="H100" s="405">
        <f t="shared" si="22"/>
        <v>1</v>
      </c>
      <c r="I100" s="405">
        <f t="shared" si="22"/>
        <v>1</v>
      </c>
      <c r="J100" s="405">
        <f t="shared" si="22"/>
        <v>2</v>
      </c>
      <c r="K100" s="405">
        <f t="shared" si="22"/>
        <v>2</v>
      </c>
      <c r="L100" s="405">
        <f t="shared" si="22"/>
        <v>2</v>
      </c>
      <c r="M100" s="405">
        <f t="shared" si="22"/>
        <v>2</v>
      </c>
      <c r="N100" s="389"/>
      <c r="O100" s="285"/>
      <c r="P100" s="285"/>
    </row>
    <row r="101" spans="1:18" x14ac:dyDescent="0.25">
      <c r="A101" s="276">
        <f>ROW()</f>
        <v>101</v>
      </c>
      <c r="B101" s="285" t="s">
        <v>730</v>
      </c>
      <c r="C101" s="285"/>
      <c r="D101" s="285"/>
      <c r="E101" s="285"/>
      <c r="F101" s="285"/>
      <c r="G101" s="406">
        <f t="shared" ref="G101:M101" si="23">G$166</f>
        <v>0</v>
      </c>
      <c r="H101" s="405">
        <f t="shared" si="23"/>
        <v>6</v>
      </c>
      <c r="I101" s="405">
        <f t="shared" si="23"/>
        <v>10</v>
      </c>
      <c r="J101" s="405">
        <f t="shared" si="23"/>
        <v>16</v>
      </c>
      <c r="K101" s="405">
        <f t="shared" si="23"/>
        <v>21</v>
      </c>
      <c r="L101" s="405">
        <f t="shared" si="23"/>
        <v>24</v>
      </c>
      <c r="M101" s="405">
        <f t="shared" si="23"/>
        <v>26</v>
      </c>
      <c r="N101" s="389"/>
      <c r="O101" s="285"/>
      <c r="P101" s="285"/>
    </row>
    <row r="102" spans="1:18" x14ac:dyDescent="0.25">
      <c r="A102" s="276">
        <f>ROW()</f>
        <v>102</v>
      </c>
      <c r="B102" s="285" t="s">
        <v>731</v>
      </c>
      <c r="C102" s="285"/>
      <c r="D102" s="285"/>
      <c r="E102" s="285"/>
      <c r="F102" s="285"/>
      <c r="G102" s="406">
        <f t="shared" ref="G102:M102" si="24">G$267</f>
        <v>0</v>
      </c>
      <c r="H102" s="406">
        <f t="shared" si="24"/>
        <v>13</v>
      </c>
      <c r="I102" s="406">
        <f t="shared" si="24"/>
        <v>25</v>
      </c>
      <c r="J102" s="406">
        <f t="shared" si="24"/>
        <v>31</v>
      </c>
      <c r="K102" s="406">
        <f t="shared" si="24"/>
        <v>37</v>
      </c>
      <c r="L102" s="406">
        <f t="shared" si="24"/>
        <v>40</v>
      </c>
      <c r="M102" s="406">
        <f t="shared" si="24"/>
        <v>43</v>
      </c>
      <c r="N102" s="389"/>
      <c r="O102" s="285"/>
      <c r="P102" s="285"/>
    </row>
    <row r="103" spans="1:18" x14ac:dyDescent="0.25">
      <c r="A103" s="276">
        <f>ROW()</f>
        <v>103</v>
      </c>
      <c r="B103" s="719" t="s">
        <v>732</v>
      </c>
      <c r="C103" s="719"/>
      <c r="D103" s="719"/>
      <c r="E103" s="719"/>
      <c r="F103" s="719"/>
      <c r="G103" s="1367">
        <f t="shared" ref="G103:M103" si="25">SUM(G99:G102)</f>
        <v>0</v>
      </c>
      <c r="H103" s="720">
        <f t="shared" si="25"/>
        <v>21</v>
      </c>
      <c r="I103" s="720">
        <f t="shared" si="25"/>
        <v>38</v>
      </c>
      <c r="J103" s="720">
        <f t="shared" si="25"/>
        <v>51</v>
      </c>
      <c r="K103" s="720">
        <f t="shared" si="25"/>
        <v>63</v>
      </c>
      <c r="L103" s="720">
        <f t="shared" si="25"/>
        <v>69</v>
      </c>
      <c r="M103" s="720">
        <f t="shared" si="25"/>
        <v>74</v>
      </c>
      <c r="N103" s="389"/>
      <c r="O103" s="285"/>
      <c r="P103" s="285"/>
    </row>
    <row r="104" spans="1:18" x14ac:dyDescent="0.25">
      <c r="A104" s="276">
        <f>ROW()</f>
        <v>104</v>
      </c>
      <c r="D104" s="221"/>
      <c r="E104" s="221"/>
      <c r="F104" s="150"/>
      <c r="N104" s="389"/>
      <c r="O104" s="285"/>
      <c r="P104" s="285"/>
      <c r="Q104" s="391"/>
      <c r="R104" s="391"/>
    </row>
    <row r="105" spans="1:18" x14ac:dyDescent="0.25">
      <c r="A105" s="276">
        <f>ROW()</f>
        <v>105</v>
      </c>
      <c r="B105" s="285" t="s">
        <v>194</v>
      </c>
      <c r="C105" s="626">
        <v>180</v>
      </c>
      <c r="D105" s="1191"/>
      <c r="E105" s="1191"/>
      <c r="F105" s="1191"/>
      <c r="H105" s="301"/>
      <c r="I105" s="229"/>
      <c r="J105" s="229"/>
      <c r="K105" s="229"/>
      <c r="L105" s="229"/>
      <c r="M105" s="229"/>
      <c r="N105" s="389"/>
      <c r="O105" s="285"/>
      <c r="P105" s="285"/>
      <c r="Q105" s="391"/>
      <c r="R105" s="391"/>
    </row>
    <row r="106" spans="1:18" x14ac:dyDescent="0.25">
      <c r="A106" s="276">
        <f>ROW()</f>
        <v>106</v>
      </c>
      <c r="B106" s="285" t="s">
        <v>200</v>
      </c>
      <c r="C106" s="627">
        <v>0</v>
      </c>
      <c r="D106" s="1192"/>
      <c r="E106" s="1192"/>
      <c r="F106" s="1192"/>
      <c r="H106" s="285"/>
      <c r="I106" s="282"/>
      <c r="J106" s="282"/>
      <c r="K106" s="282"/>
      <c r="L106" s="282"/>
      <c r="M106" s="282"/>
      <c r="N106" s="389"/>
      <c r="O106" s="285"/>
      <c r="P106" s="285"/>
      <c r="Q106" s="391"/>
      <c r="R106" s="391"/>
    </row>
    <row r="107" spans="1:18" x14ac:dyDescent="0.25">
      <c r="A107" s="276">
        <f>ROW()</f>
        <v>107</v>
      </c>
      <c r="B107" s="285" t="s">
        <v>83</v>
      </c>
      <c r="C107" s="627">
        <v>0</v>
      </c>
      <c r="D107" s="1192"/>
      <c r="E107" s="1192"/>
      <c r="F107" s="1192"/>
      <c r="H107" s="285"/>
      <c r="I107" s="282"/>
      <c r="J107" s="282"/>
      <c r="K107" s="282"/>
      <c r="L107" s="282"/>
      <c r="M107" s="282"/>
      <c r="N107" s="389"/>
      <c r="O107" s="285"/>
      <c r="P107" s="285"/>
      <c r="Q107" s="391"/>
      <c r="R107" s="391"/>
    </row>
    <row r="108" spans="1:18" x14ac:dyDescent="0.25">
      <c r="A108" s="276">
        <f>ROW()</f>
        <v>108</v>
      </c>
      <c r="B108" s="285" t="s">
        <v>172</v>
      </c>
      <c r="C108" s="628">
        <v>0</v>
      </c>
      <c r="D108" s="1193"/>
      <c r="E108" s="1193"/>
      <c r="F108" s="1193"/>
      <c r="H108" s="408"/>
      <c r="I108" s="409"/>
      <c r="J108" s="409"/>
      <c r="K108" s="409"/>
      <c r="L108" s="409"/>
      <c r="M108" s="409"/>
      <c r="N108" s="389"/>
      <c r="O108" s="285"/>
      <c r="P108" s="285"/>
      <c r="Q108" s="391"/>
      <c r="R108" s="391"/>
    </row>
    <row r="109" spans="1:18" x14ac:dyDescent="0.25">
      <c r="A109" s="276"/>
      <c r="B109" s="221"/>
      <c r="C109" s="221"/>
      <c r="D109" s="221"/>
      <c r="E109" s="221"/>
      <c r="F109" s="150"/>
      <c r="H109" s="410"/>
      <c r="I109" s="410"/>
      <c r="J109" s="410"/>
      <c r="N109" s="389"/>
      <c r="O109" s="285"/>
      <c r="P109" s="285"/>
      <c r="Q109" s="391"/>
      <c r="R109" s="391"/>
    </row>
    <row r="110" spans="1:18" ht="14.25" customHeight="1" x14ac:dyDescent="0.25">
      <c r="A110" s="276"/>
      <c r="B110" s="221"/>
      <c r="C110" s="278" t="s">
        <v>930</v>
      </c>
      <c r="D110" s="278" t="s">
        <v>193</v>
      </c>
      <c r="E110" s="278"/>
      <c r="F110" s="278"/>
      <c r="G110" s="278" t="s">
        <v>342</v>
      </c>
      <c r="H110" s="410"/>
      <c r="I110" s="410"/>
      <c r="J110" s="410"/>
      <c r="N110" s="389"/>
      <c r="O110" s="285"/>
      <c r="P110" s="285"/>
      <c r="Q110" s="391"/>
      <c r="R110" s="391"/>
    </row>
    <row r="111" spans="1:18" ht="30" x14ac:dyDescent="0.25">
      <c r="A111" s="276">
        <f>ROW()</f>
        <v>111</v>
      </c>
      <c r="B111" s="302" t="s">
        <v>435</v>
      </c>
      <c r="C111" s="230">
        <f>$H$10</f>
        <v>2020</v>
      </c>
      <c r="D111" s="633" t="s">
        <v>23</v>
      </c>
      <c r="E111" s="736"/>
      <c r="F111" s="736"/>
      <c r="I111" s="489"/>
      <c r="J111" s="411"/>
      <c r="N111" s="389"/>
      <c r="O111" s="285"/>
      <c r="P111" s="285"/>
      <c r="Q111" s="391"/>
      <c r="R111" s="391"/>
    </row>
    <row r="112" spans="1:18" x14ac:dyDescent="0.25">
      <c r="A112" s="276">
        <f>ROW()</f>
        <v>112</v>
      </c>
      <c r="B112" s="716"/>
      <c r="C112" s="717"/>
      <c r="D112" s="718"/>
      <c r="E112" s="920"/>
      <c r="F112" s="920"/>
      <c r="G112" s="921"/>
      <c r="H112" s="921"/>
      <c r="I112" s="920"/>
      <c r="J112" s="920"/>
      <c r="K112" s="921"/>
      <c r="L112" s="921"/>
      <c r="M112" s="921"/>
      <c r="N112" s="389"/>
      <c r="O112" s="285"/>
      <c r="P112" s="285"/>
      <c r="Q112" s="391"/>
      <c r="R112" s="391"/>
    </row>
    <row r="113" spans="1:18" s="282" customFormat="1" x14ac:dyDescent="0.25">
      <c r="A113" s="276">
        <f>ROW()</f>
        <v>113</v>
      </c>
      <c r="B113" s="728" t="s">
        <v>192</v>
      </c>
      <c r="C113" s="728"/>
      <c r="D113" s="230"/>
      <c r="E113" s="230"/>
      <c r="F113" s="230"/>
      <c r="G113" s="289"/>
      <c r="H113" s="230"/>
      <c r="I113" s="230"/>
      <c r="J113" s="230"/>
      <c r="K113" s="289"/>
      <c r="L113" s="289"/>
      <c r="M113" s="289"/>
      <c r="N113" s="389"/>
      <c r="O113" s="412"/>
      <c r="P113" s="391"/>
      <c r="Q113" s="391"/>
      <c r="R113" s="391"/>
    </row>
    <row r="114" spans="1:18" s="282" customFormat="1" x14ac:dyDescent="0.25">
      <c r="A114" s="276">
        <f>ROW()</f>
        <v>114</v>
      </c>
      <c r="B114" s="813" t="s">
        <v>422</v>
      </c>
      <c r="C114" s="814">
        <v>2021</v>
      </c>
      <c r="D114" s="815">
        <v>100000</v>
      </c>
      <c r="E114" s="1194"/>
      <c r="F114" s="1194"/>
      <c r="G114" s="406">
        <f t="shared" ref="G114:M118" si="26">IF($C114&lt;=G$81,1,0)</f>
        <v>0</v>
      </c>
      <c r="H114" s="406">
        <f t="shared" si="26"/>
        <v>1</v>
      </c>
      <c r="I114" s="406">
        <f t="shared" si="26"/>
        <v>1</v>
      </c>
      <c r="J114" s="406">
        <f t="shared" si="26"/>
        <v>1</v>
      </c>
      <c r="K114" s="406">
        <f t="shared" si="26"/>
        <v>1</v>
      </c>
      <c r="L114" s="406">
        <f t="shared" si="26"/>
        <v>1</v>
      </c>
      <c r="M114" s="406">
        <f t="shared" si="26"/>
        <v>1</v>
      </c>
      <c r="N114" s="389"/>
      <c r="P114" s="391"/>
      <c r="Q114" s="391"/>
      <c r="R114" s="391"/>
    </row>
    <row r="115" spans="1:18" s="282" customFormat="1" x14ac:dyDescent="0.25">
      <c r="A115" s="276">
        <f>ROW()</f>
        <v>115</v>
      </c>
      <c r="B115" s="629" t="s">
        <v>364</v>
      </c>
      <c r="C115" s="630">
        <v>2022</v>
      </c>
      <c r="D115" s="663">
        <v>70000</v>
      </c>
      <c r="E115" s="1195"/>
      <c r="F115" s="1195"/>
      <c r="G115" s="406">
        <f t="shared" si="26"/>
        <v>0</v>
      </c>
      <c r="H115" s="406">
        <f t="shared" si="26"/>
        <v>0</v>
      </c>
      <c r="I115" s="406">
        <f t="shared" si="26"/>
        <v>1</v>
      </c>
      <c r="J115" s="406">
        <f t="shared" si="26"/>
        <v>1</v>
      </c>
      <c r="K115" s="406">
        <f t="shared" si="26"/>
        <v>1</v>
      </c>
      <c r="L115" s="406">
        <f t="shared" si="26"/>
        <v>1</v>
      </c>
      <c r="M115" s="406">
        <f t="shared" si="26"/>
        <v>1</v>
      </c>
      <c r="N115" s="389"/>
      <c r="P115" s="391"/>
      <c r="Q115" s="391"/>
      <c r="R115" s="391"/>
    </row>
    <row r="116" spans="1:18" s="282" customFormat="1" x14ac:dyDescent="0.25">
      <c r="A116" s="276">
        <f>ROW()</f>
        <v>116</v>
      </c>
      <c r="B116" s="629" t="s">
        <v>364</v>
      </c>
      <c r="C116" s="630">
        <v>2024</v>
      </c>
      <c r="D116" s="663">
        <v>70000</v>
      </c>
      <c r="E116" s="1195"/>
      <c r="F116" s="1195"/>
      <c r="G116" s="406">
        <f t="shared" si="26"/>
        <v>0</v>
      </c>
      <c r="H116" s="406">
        <f t="shared" si="26"/>
        <v>0</v>
      </c>
      <c r="I116" s="406">
        <f t="shared" si="26"/>
        <v>0</v>
      </c>
      <c r="J116" s="406">
        <f t="shared" si="26"/>
        <v>0</v>
      </c>
      <c r="K116" s="406">
        <f t="shared" si="26"/>
        <v>1</v>
      </c>
      <c r="L116" s="406">
        <f t="shared" si="26"/>
        <v>1</v>
      </c>
      <c r="M116" s="406">
        <f t="shared" si="26"/>
        <v>1</v>
      </c>
      <c r="P116" s="391"/>
      <c r="Q116" s="391"/>
      <c r="R116" s="391"/>
    </row>
    <row r="117" spans="1:18" s="282" customFormat="1" x14ac:dyDescent="0.25">
      <c r="A117" s="276">
        <f>ROW()</f>
        <v>117</v>
      </c>
      <c r="B117" s="629" t="s">
        <v>454</v>
      </c>
      <c r="C117" s="630" t="s">
        <v>722</v>
      </c>
      <c r="D117" s="663">
        <v>0</v>
      </c>
      <c r="E117" s="1195"/>
      <c r="F117" s="1195"/>
      <c r="G117" s="406">
        <f t="shared" si="26"/>
        <v>0</v>
      </c>
      <c r="H117" s="406">
        <f t="shared" si="26"/>
        <v>0</v>
      </c>
      <c r="I117" s="406">
        <f t="shared" si="26"/>
        <v>0</v>
      </c>
      <c r="J117" s="406">
        <f t="shared" si="26"/>
        <v>0</v>
      </c>
      <c r="K117" s="406">
        <f t="shared" si="26"/>
        <v>0</v>
      </c>
      <c r="L117" s="406">
        <f t="shared" si="26"/>
        <v>0</v>
      </c>
      <c r="M117" s="406">
        <f t="shared" si="26"/>
        <v>0</v>
      </c>
      <c r="P117" s="391"/>
      <c r="Q117" s="391"/>
      <c r="R117" s="391"/>
    </row>
    <row r="118" spans="1:18" s="282" customFormat="1" x14ac:dyDescent="0.25">
      <c r="A118" s="276">
        <f>ROW()</f>
        <v>118</v>
      </c>
      <c r="B118" s="629" t="s">
        <v>455</v>
      </c>
      <c r="C118" s="630" t="s">
        <v>722</v>
      </c>
      <c r="D118" s="663">
        <v>0</v>
      </c>
      <c r="E118" s="1195"/>
      <c r="F118" s="1195"/>
      <c r="G118" s="406">
        <f t="shared" si="26"/>
        <v>0</v>
      </c>
      <c r="H118" s="406">
        <f t="shared" si="26"/>
        <v>0</v>
      </c>
      <c r="I118" s="406">
        <f t="shared" si="26"/>
        <v>0</v>
      </c>
      <c r="J118" s="406">
        <f t="shared" si="26"/>
        <v>0</v>
      </c>
      <c r="K118" s="406">
        <f t="shared" si="26"/>
        <v>0</v>
      </c>
      <c r="L118" s="406">
        <f t="shared" si="26"/>
        <v>0</v>
      </c>
      <c r="M118" s="406">
        <f t="shared" si="26"/>
        <v>0</v>
      </c>
    </row>
    <row r="119" spans="1:18" s="282" customFormat="1" x14ac:dyDescent="0.25">
      <c r="A119" s="276">
        <f>ROW()</f>
        <v>119</v>
      </c>
      <c r="B119" s="221"/>
      <c r="C119" s="233"/>
      <c r="D119" s="413"/>
      <c r="E119" s="413"/>
      <c r="F119" s="413"/>
      <c r="G119" s="406"/>
      <c r="H119" s="406"/>
      <c r="I119" s="406"/>
      <c r="J119" s="406"/>
      <c r="K119" s="406"/>
      <c r="L119" s="406"/>
      <c r="M119" s="406"/>
    </row>
    <row r="120" spans="1:18" s="282" customFormat="1" x14ac:dyDescent="0.25">
      <c r="A120" s="276">
        <f>ROW()</f>
        <v>120</v>
      </c>
      <c r="B120" s="362" t="s">
        <v>191</v>
      </c>
      <c r="C120" s="414"/>
      <c r="D120" s="415"/>
      <c r="E120" s="737"/>
      <c r="F120" s="737"/>
      <c r="G120" s="372">
        <f t="shared" ref="G120:M120" si="27">SUM(G114:G118)</f>
        <v>0</v>
      </c>
      <c r="H120" s="372">
        <f t="shared" si="27"/>
        <v>1</v>
      </c>
      <c r="I120" s="372">
        <f t="shared" si="27"/>
        <v>2</v>
      </c>
      <c r="J120" s="372">
        <f t="shared" si="27"/>
        <v>2</v>
      </c>
      <c r="K120" s="372">
        <f t="shared" si="27"/>
        <v>3</v>
      </c>
      <c r="L120" s="372">
        <f t="shared" si="27"/>
        <v>3</v>
      </c>
      <c r="M120" s="372">
        <f t="shared" si="27"/>
        <v>3</v>
      </c>
    </row>
    <row r="121" spans="1:18" s="282" customFormat="1" x14ac:dyDescent="0.25">
      <c r="A121" s="276">
        <f>ROW()</f>
        <v>121</v>
      </c>
      <c r="B121" s="731"/>
      <c r="C121" s="731"/>
      <c r="D121" s="732"/>
      <c r="E121" s="732"/>
      <c r="F121" s="732"/>
      <c r="G121" s="729"/>
      <c r="H121" s="729"/>
      <c r="I121" s="714"/>
      <c r="J121" s="714"/>
      <c r="K121" s="714"/>
      <c r="L121" s="714"/>
      <c r="M121" s="714"/>
      <c r="N121" s="406"/>
      <c r="P121" s="406"/>
      <c r="Q121" s="406"/>
      <c r="R121" s="406"/>
    </row>
    <row r="122" spans="1:18" s="282" customFormat="1" x14ac:dyDescent="0.25">
      <c r="A122" s="276">
        <f>ROW()</f>
        <v>122</v>
      </c>
      <c r="B122" s="728" t="s">
        <v>216</v>
      </c>
      <c r="C122" s="289"/>
      <c r="D122" s="817"/>
      <c r="E122" s="817"/>
      <c r="F122" s="817"/>
      <c r="G122" s="818"/>
      <c r="H122" s="818"/>
      <c r="I122" s="745"/>
      <c r="J122" s="745"/>
      <c r="K122" s="745"/>
      <c r="L122" s="745"/>
      <c r="M122" s="745"/>
      <c r="N122" s="406"/>
      <c r="P122" s="406"/>
      <c r="Q122" s="406"/>
      <c r="R122" s="406"/>
    </row>
    <row r="123" spans="1:18" s="282" customFormat="1" x14ac:dyDescent="0.25">
      <c r="A123" s="276">
        <f>ROW()</f>
        <v>123</v>
      </c>
      <c r="B123" s="813" t="s">
        <v>424</v>
      </c>
      <c r="C123" s="814">
        <v>2021</v>
      </c>
      <c r="D123" s="816">
        <v>45000</v>
      </c>
      <c r="E123" s="1196"/>
      <c r="F123" s="1196"/>
      <c r="G123" s="406">
        <f t="shared" ref="G123:M126" si="28">IF($C123&lt;=G$81,1,0)</f>
        <v>0</v>
      </c>
      <c r="H123" s="406">
        <f t="shared" si="28"/>
        <v>1</v>
      </c>
      <c r="I123" s="406">
        <f t="shared" si="28"/>
        <v>1</v>
      </c>
      <c r="J123" s="406">
        <f t="shared" si="28"/>
        <v>1</v>
      </c>
      <c r="K123" s="406">
        <f t="shared" si="28"/>
        <v>1</v>
      </c>
      <c r="L123" s="406">
        <f t="shared" si="28"/>
        <v>1</v>
      </c>
      <c r="M123" s="406">
        <f t="shared" si="28"/>
        <v>1</v>
      </c>
      <c r="N123" s="406"/>
    </row>
    <row r="124" spans="1:18" s="282" customFormat="1" x14ac:dyDescent="0.25">
      <c r="A124" s="276">
        <f>ROW()</f>
        <v>124</v>
      </c>
      <c r="B124" s="629" t="s">
        <v>962</v>
      </c>
      <c r="C124" s="630">
        <v>2023</v>
      </c>
      <c r="D124" s="663">
        <v>40000</v>
      </c>
      <c r="E124" s="1195"/>
      <c r="F124" s="1195"/>
      <c r="G124" s="406">
        <f t="shared" si="28"/>
        <v>0</v>
      </c>
      <c r="H124" s="406">
        <f t="shared" si="28"/>
        <v>0</v>
      </c>
      <c r="I124" s="406">
        <f t="shared" si="28"/>
        <v>0</v>
      </c>
      <c r="J124" s="406">
        <f t="shared" si="28"/>
        <v>1</v>
      </c>
      <c r="K124" s="406">
        <f t="shared" si="28"/>
        <v>1</v>
      </c>
      <c r="L124" s="406">
        <f t="shared" si="28"/>
        <v>1</v>
      </c>
      <c r="M124" s="406">
        <f t="shared" si="28"/>
        <v>1</v>
      </c>
      <c r="N124" s="406"/>
    </row>
    <row r="125" spans="1:18" s="282" customFormat="1" x14ac:dyDescent="0.25">
      <c r="A125" s="276">
        <f>ROW()</f>
        <v>125</v>
      </c>
      <c r="B125" s="629"/>
      <c r="C125" s="630" t="s">
        <v>722</v>
      </c>
      <c r="D125" s="663">
        <v>0</v>
      </c>
      <c r="E125" s="1195"/>
      <c r="F125" s="1195"/>
      <c r="G125" s="406">
        <f t="shared" si="28"/>
        <v>0</v>
      </c>
      <c r="H125" s="406">
        <f t="shared" si="28"/>
        <v>0</v>
      </c>
      <c r="I125" s="406">
        <f t="shared" si="28"/>
        <v>0</v>
      </c>
      <c r="J125" s="406">
        <f t="shared" si="28"/>
        <v>0</v>
      </c>
      <c r="K125" s="406">
        <f t="shared" si="28"/>
        <v>0</v>
      </c>
      <c r="L125" s="406">
        <f t="shared" si="28"/>
        <v>0</v>
      </c>
      <c r="M125" s="406">
        <f t="shared" si="28"/>
        <v>0</v>
      </c>
      <c r="N125" s="406"/>
    </row>
    <row r="126" spans="1:18" s="282" customFormat="1" x14ac:dyDescent="0.25">
      <c r="A126" s="276">
        <f>ROW()</f>
        <v>126</v>
      </c>
      <c r="B126" s="631" t="s">
        <v>456</v>
      </c>
      <c r="C126" s="632" t="s">
        <v>722</v>
      </c>
      <c r="D126" s="664">
        <v>0</v>
      </c>
      <c r="E126" s="1195"/>
      <c r="F126" s="1195"/>
      <c r="G126" s="406">
        <f t="shared" si="28"/>
        <v>0</v>
      </c>
      <c r="H126" s="406">
        <f t="shared" si="28"/>
        <v>0</v>
      </c>
      <c r="I126" s="406">
        <f t="shared" si="28"/>
        <v>0</v>
      </c>
      <c r="J126" s="406">
        <f t="shared" si="28"/>
        <v>0</v>
      </c>
      <c r="K126" s="406">
        <f t="shared" si="28"/>
        <v>0</v>
      </c>
      <c r="L126" s="406">
        <f t="shared" si="28"/>
        <v>0</v>
      </c>
      <c r="M126" s="406">
        <f t="shared" si="28"/>
        <v>0</v>
      </c>
      <c r="N126" s="406"/>
    </row>
    <row r="127" spans="1:18" s="282" customFormat="1" x14ac:dyDescent="0.25">
      <c r="A127" s="276">
        <f>ROW()</f>
        <v>127</v>
      </c>
      <c r="D127" s="416"/>
      <c r="E127" s="416"/>
      <c r="F127" s="416"/>
      <c r="G127" s="406"/>
      <c r="H127" s="406"/>
      <c r="I127" s="406"/>
      <c r="J127" s="406"/>
      <c r="K127" s="406"/>
      <c r="L127" s="406"/>
      <c r="M127" s="406"/>
      <c r="N127" s="406"/>
    </row>
    <row r="128" spans="1:18" s="282" customFormat="1" x14ac:dyDescent="0.25">
      <c r="A128" s="276">
        <f>ROW()</f>
        <v>128</v>
      </c>
      <c r="B128" s="362" t="s">
        <v>95</v>
      </c>
      <c r="C128" s="414"/>
      <c r="D128" s="417"/>
      <c r="E128" s="738"/>
      <c r="F128" s="738"/>
      <c r="G128" s="372">
        <f t="shared" ref="G128:M128" si="29">SUM(G123:G126)</f>
        <v>0</v>
      </c>
      <c r="H128" s="372">
        <f t="shared" si="29"/>
        <v>1</v>
      </c>
      <c r="I128" s="372">
        <f t="shared" si="29"/>
        <v>1</v>
      </c>
      <c r="J128" s="372">
        <f t="shared" si="29"/>
        <v>2</v>
      </c>
      <c r="K128" s="372">
        <f t="shared" si="29"/>
        <v>2</v>
      </c>
      <c r="L128" s="372">
        <f t="shared" si="29"/>
        <v>2</v>
      </c>
      <c r="M128" s="372">
        <f t="shared" si="29"/>
        <v>2</v>
      </c>
      <c r="N128" s="406"/>
    </row>
    <row r="129" spans="1:18" s="282" customFormat="1" x14ac:dyDescent="0.25">
      <c r="A129" s="276">
        <f>ROW()</f>
        <v>129</v>
      </c>
      <c r="B129" s="711"/>
      <c r="C129" s="711"/>
      <c r="D129" s="712"/>
      <c r="E129" s="712"/>
      <c r="F129" s="712"/>
      <c r="G129" s="713"/>
      <c r="H129" s="713"/>
      <c r="I129" s="713"/>
      <c r="J129" s="714"/>
      <c r="K129" s="714"/>
      <c r="L129" s="714"/>
      <c r="M129" s="714"/>
      <c r="N129" s="406"/>
      <c r="P129" s="406"/>
      <c r="Q129" s="406"/>
      <c r="R129" s="406"/>
    </row>
    <row r="130" spans="1:18" s="282" customFormat="1" x14ac:dyDescent="0.25">
      <c r="A130" s="276">
        <f>ROW()</f>
        <v>130</v>
      </c>
      <c r="B130" s="728" t="s">
        <v>717</v>
      </c>
      <c r="C130" s="289"/>
      <c r="D130" s="817"/>
      <c r="E130" s="817"/>
      <c r="F130" s="817"/>
      <c r="G130" s="461"/>
      <c r="H130" s="461"/>
      <c r="I130" s="461"/>
      <c r="J130" s="745"/>
      <c r="K130" s="745"/>
      <c r="L130" s="745"/>
      <c r="M130" s="745"/>
      <c r="N130" s="406"/>
      <c r="P130" s="406"/>
      <c r="Q130" s="406"/>
      <c r="R130" s="406"/>
    </row>
    <row r="131" spans="1:18" s="282" customFormat="1" outlineLevel="1" x14ac:dyDescent="0.25">
      <c r="A131" s="276">
        <f>ROW()</f>
        <v>131</v>
      </c>
      <c r="B131" s="819" t="s">
        <v>964</v>
      </c>
      <c r="C131" s="820">
        <v>2021</v>
      </c>
      <c r="D131" s="821">
        <v>42000</v>
      </c>
      <c r="E131" s="1196"/>
      <c r="F131" s="1196"/>
      <c r="G131" s="406">
        <f t="shared" ref="G131:M139" si="30">IF($C131&lt;=G$81,1,0)</f>
        <v>0</v>
      </c>
      <c r="H131" s="406">
        <f t="shared" si="30"/>
        <v>1</v>
      </c>
      <c r="I131" s="406">
        <f t="shared" si="30"/>
        <v>1</v>
      </c>
      <c r="J131" s="406">
        <f t="shared" si="30"/>
        <v>1</v>
      </c>
      <c r="K131" s="406">
        <f t="shared" si="30"/>
        <v>1</v>
      </c>
      <c r="L131" s="406">
        <f t="shared" si="30"/>
        <v>1</v>
      </c>
      <c r="M131" s="406">
        <f t="shared" si="30"/>
        <v>1</v>
      </c>
      <c r="N131" s="406"/>
    </row>
    <row r="132" spans="1:18" s="282" customFormat="1" outlineLevel="1" x14ac:dyDescent="0.25">
      <c r="A132" s="276">
        <f>ROW()</f>
        <v>132</v>
      </c>
      <c r="B132" s="617" t="s">
        <v>964</v>
      </c>
      <c r="C132" s="618">
        <v>2021</v>
      </c>
      <c r="D132" s="665">
        <v>42000</v>
      </c>
      <c r="E132" s="1195"/>
      <c r="F132" s="1195"/>
      <c r="G132" s="406">
        <f t="shared" si="30"/>
        <v>0</v>
      </c>
      <c r="H132" s="406">
        <f t="shared" si="30"/>
        <v>1</v>
      </c>
      <c r="I132" s="406">
        <f t="shared" si="30"/>
        <v>1</v>
      </c>
      <c r="J132" s="406">
        <f t="shared" si="30"/>
        <v>1</v>
      </c>
      <c r="K132" s="406">
        <f t="shared" si="30"/>
        <v>1</v>
      </c>
      <c r="L132" s="406">
        <f t="shared" si="30"/>
        <v>1</v>
      </c>
      <c r="M132" s="406">
        <f t="shared" si="30"/>
        <v>1</v>
      </c>
      <c r="N132" s="406"/>
    </row>
    <row r="133" spans="1:18" s="282" customFormat="1" outlineLevel="1" x14ac:dyDescent="0.25">
      <c r="A133" s="276">
        <f>ROW()</f>
        <v>133</v>
      </c>
      <c r="B133" s="617" t="s">
        <v>964</v>
      </c>
      <c r="C133" s="618">
        <v>2022</v>
      </c>
      <c r="D133" s="665">
        <v>42630</v>
      </c>
      <c r="E133" s="1195"/>
      <c r="F133" s="1195"/>
      <c r="G133" s="406">
        <f t="shared" si="30"/>
        <v>0</v>
      </c>
      <c r="H133" s="406">
        <f t="shared" si="30"/>
        <v>0</v>
      </c>
      <c r="I133" s="406">
        <f t="shared" si="30"/>
        <v>1</v>
      </c>
      <c r="J133" s="406">
        <f t="shared" si="30"/>
        <v>1</v>
      </c>
      <c r="K133" s="406">
        <f t="shared" si="30"/>
        <v>1</v>
      </c>
      <c r="L133" s="406">
        <f t="shared" si="30"/>
        <v>1</v>
      </c>
      <c r="M133" s="406">
        <f t="shared" si="30"/>
        <v>1</v>
      </c>
      <c r="N133" s="406"/>
    </row>
    <row r="134" spans="1:18" s="282" customFormat="1" outlineLevel="1" x14ac:dyDescent="0.25">
      <c r="A134" s="276">
        <f>ROW()</f>
        <v>134</v>
      </c>
      <c r="B134" s="617" t="s">
        <v>964</v>
      </c>
      <c r="C134" s="618">
        <v>2023</v>
      </c>
      <c r="D134" s="665">
        <v>43300</v>
      </c>
      <c r="E134" s="1195"/>
      <c r="F134" s="1195"/>
      <c r="G134" s="406">
        <f t="shared" si="30"/>
        <v>0</v>
      </c>
      <c r="H134" s="406">
        <f t="shared" si="30"/>
        <v>0</v>
      </c>
      <c r="I134" s="406">
        <f t="shared" si="30"/>
        <v>0</v>
      </c>
      <c r="J134" s="406">
        <f t="shared" si="30"/>
        <v>1</v>
      </c>
      <c r="K134" s="406">
        <f t="shared" si="30"/>
        <v>1</v>
      </c>
      <c r="L134" s="406">
        <f t="shared" si="30"/>
        <v>1</v>
      </c>
      <c r="M134" s="406">
        <f t="shared" si="30"/>
        <v>1</v>
      </c>
      <c r="N134" s="406"/>
    </row>
    <row r="135" spans="1:18" s="282" customFormat="1" outlineLevel="1" x14ac:dyDescent="0.25">
      <c r="A135" s="276">
        <f>ROW()</f>
        <v>135</v>
      </c>
      <c r="B135" s="617" t="s">
        <v>964</v>
      </c>
      <c r="C135" s="618">
        <v>2024</v>
      </c>
      <c r="D135" s="665">
        <v>44000</v>
      </c>
      <c r="E135" s="1195"/>
      <c r="F135" s="1195"/>
      <c r="G135" s="406">
        <f t="shared" si="30"/>
        <v>0</v>
      </c>
      <c r="H135" s="406">
        <f t="shared" si="30"/>
        <v>0</v>
      </c>
      <c r="I135" s="406">
        <f t="shared" si="30"/>
        <v>0</v>
      </c>
      <c r="J135" s="406">
        <f t="shared" si="30"/>
        <v>0</v>
      </c>
      <c r="K135" s="406">
        <f t="shared" si="30"/>
        <v>1</v>
      </c>
      <c r="L135" s="406">
        <f t="shared" si="30"/>
        <v>1</v>
      </c>
      <c r="M135" s="406">
        <f t="shared" si="30"/>
        <v>1</v>
      </c>
      <c r="N135" s="406"/>
    </row>
    <row r="136" spans="1:18" s="282" customFormat="1" outlineLevel="1" x14ac:dyDescent="0.25">
      <c r="A136" s="276">
        <f>ROW()</f>
        <v>136</v>
      </c>
      <c r="B136" s="617" t="s">
        <v>964</v>
      </c>
      <c r="C136" s="618">
        <v>2025</v>
      </c>
      <c r="D136" s="665">
        <f>44700/2</f>
        <v>22350</v>
      </c>
      <c r="E136" s="1195"/>
      <c r="F136" s="1195"/>
      <c r="G136" s="406">
        <f t="shared" si="30"/>
        <v>0</v>
      </c>
      <c r="H136" s="406">
        <f t="shared" si="30"/>
        <v>0</v>
      </c>
      <c r="I136" s="406">
        <f t="shared" si="30"/>
        <v>0</v>
      </c>
      <c r="J136" s="406">
        <f t="shared" si="30"/>
        <v>0</v>
      </c>
      <c r="K136" s="406">
        <f t="shared" si="30"/>
        <v>0</v>
      </c>
      <c r="L136" s="406">
        <f t="shared" si="30"/>
        <v>1</v>
      </c>
      <c r="M136" s="406">
        <f t="shared" si="30"/>
        <v>1</v>
      </c>
      <c r="N136" s="406"/>
    </row>
    <row r="137" spans="1:18" s="282" customFormat="1" outlineLevel="1" x14ac:dyDescent="0.25">
      <c r="A137" s="276">
        <f>ROW()</f>
        <v>137</v>
      </c>
      <c r="B137" s="617" t="s">
        <v>964</v>
      </c>
      <c r="C137" s="618">
        <v>2026</v>
      </c>
      <c r="D137" s="665">
        <f>45350/2</f>
        <v>22675</v>
      </c>
      <c r="E137" s="1195"/>
      <c r="F137" s="1195"/>
      <c r="G137" s="406">
        <f t="shared" si="30"/>
        <v>0</v>
      </c>
      <c r="H137" s="406">
        <f t="shared" si="30"/>
        <v>0</v>
      </c>
      <c r="I137" s="406">
        <f t="shared" si="30"/>
        <v>0</v>
      </c>
      <c r="J137" s="406">
        <f t="shared" si="30"/>
        <v>0</v>
      </c>
      <c r="K137" s="406">
        <f t="shared" si="30"/>
        <v>0</v>
      </c>
      <c r="L137" s="406">
        <f t="shared" si="30"/>
        <v>0</v>
      </c>
      <c r="M137" s="406">
        <f t="shared" si="30"/>
        <v>1</v>
      </c>
      <c r="N137" s="406"/>
    </row>
    <row r="138" spans="1:18" s="282" customFormat="1" outlineLevel="1" x14ac:dyDescent="0.25">
      <c r="A138" s="276">
        <f>ROW()</f>
        <v>138</v>
      </c>
      <c r="B138" s="819" t="s">
        <v>972</v>
      </c>
      <c r="C138" s="618">
        <v>2025</v>
      </c>
      <c r="D138" s="665">
        <f>(13.5*8*180)</f>
        <v>19440</v>
      </c>
      <c r="E138" s="1195"/>
      <c r="F138" s="1195"/>
      <c r="G138" s="406">
        <f t="shared" si="30"/>
        <v>0</v>
      </c>
      <c r="H138" s="406">
        <f t="shared" si="30"/>
        <v>0</v>
      </c>
      <c r="I138" s="406">
        <f t="shared" si="30"/>
        <v>0</v>
      </c>
      <c r="J138" s="406">
        <f t="shared" si="30"/>
        <v>0</v>
      </c>
      <c r="K138" s="406">
        <f t="shared" si="30"/>
        <v>0</v>
      </c>
      <c r="L138" s="406">
        <f t="shared" si="30"/>
        <v>1</v>
      </c>
      <c r="M138" s="406">
        <f t="shared" si="30"/>
        <v>1</v>
      </c>
      <c r="N138" s="406"/>
    </row>
    <row r="139" spans="1:18" s="282" customFormat="1" outlineLevel="1" x14ac:dyDescent="0.25">
      <c r="A139" s="276">
        <f>ROW()</f>
        <v>139</v>
      </c>
      <c r="B139" s="617" t="s">
        <v>972</v>
      </c>
      <c r="C139" s="618">
        <v>2026</v>
      </c>
      <c r="D139" s="665">
        <f>(13.75*8*180)</f>
        <v>19800</v>
      </c>
      <c r="E139" s="1195"/>
      <c r="F139" s="1195"/>
      <c r="G139" s="406">
        <f t="shared" si="30"/>
        <v>0</v>
      </c>
      <c r="H139" s="406">
        <f t="shared" si="30"/>
        <v>0</v>
      </c>
      <c r="I139" s="406">
        <f t="shared" si="30"/>
        <v>0</v>
      </c>
      <c r="J139" s="406">
        <f t="shared" si="30"/>
        <v>0</v>
      </c>
      <c r="K139" s="406">
        <f t="shared" si="30"/>
        <v>0</v>
      </c>
      <c r="L139" s="406">
        <f t="shared" si="30"/>
        <v>0</v>
      </c>
      <c r="M139" s="406">
        <f t="shared" si="30"/>
        <v>1</v>
      </c>
      <c r="N139" s="406"/>
    </row>
    <row r="140" spans="1:18" s="282" customFormat="1" x14ac:dyDescent="0.25">
      <c r="A140" s="276"/>
      <c r="B140" s="362" t="s">
        <v>632</v>
      </c>
      <c r="C140" s="362"/>
      <c r="D140" s="545"/>
      <c r="E140" s="545"/>
      <c r="F140" s="545"/>
      <c r="G140" s="704">
        <f t="shared" ref="G140:M140" si="31">SUM(G131:G139)</f>
        <v>0</v>
      </c>
      <c r="H140" s="704">
        <f t="shared" si="31"/>
        <v>2</v>
      </c>
      <c r="I140" s="372">
        <f t="shared" si="31"/>
        <v>3</v>
      </c>
      <c r="J140" s="372">
        <f t="shared" si="31"/>
        <v>4</v>
      </c>
      <c r="K140" s="372">
        <f t="shared" si="31"/>
        <v>5</v>
      </c>
      <c r="L140" s="372">
        <f t="shared" si="31"/>
        <v>7</v>
      </c>
      <c r="M140" s="372">
        <f t="shared" si="31"/>
        <v>9</v>
      </c>
      <c r="N140" s="406"/>
    </row>
    <row r="141" spans="1:18" s="282" customFormat="1" x14ac:dyDescent="0.25">
      <c r="A141" s="276"/>
      <c r="B141" s="715"/>
      <c r="C141" s="715"/>
      <c r="D141" s="715"/>
      <c r="E141" s="715"/>
      <c r="F141" s="715"/>
      <c r="G141" s="729"/>
      <c r="H141" s="729"/>
      <c r="I141" s="730"/>
      <c r="J141" s="730"/>
      <c r="K141" s="730"/>
      <c r="L141" s="730"/>
      <c r="M141" s="730"/>
      <c r="N141" s="406"/>
    </row>
    <row r="142" spans="1:18" s="282" customFormat="1" ht="15.75" x14ac:dyDescent="0.25">
      <c r="A142" s="276"/>
      <c r="B142" s="742" t="s">
        <v>718</v>
      </c>
      <c r="C142" s="289"/>
      <c r="D142" s="817"/>
      <c r="E142" s="817"/>
      <c r="F142" s="817"/>
      <c r="G142" s="461"/>
      <c r="H142" s="461"/>
      <c r="I142" s="461"/>
      <c r="J142" s="745"/>
      <c r="K142" s="745"/>
      <c r="L142" s="745"/>
      <c r="M142" s="745"/>
      <c r="N142" s="406"/>
    </row>
    <row r="143" spans="1:18" s="282" customFormat="1" outlineLevel="2" x14ac:dyDescent="0.25">
      <c r="A143" s="276">
        <f>ROW()</f>
        <v>143</v>
      </c>
      <c r="B143" s="819" t="s">
        <v>963</v>
      </c>
      <c r="C143" s="820">
        <v>2021</v>
      </c>
      <c r="D143" s="821">
        <v>57000</v>
      </c>
      <c r="E143" s="1196"/>
      <c r="F143" s="1196"/>
      <c r="G143" s="406">
        <f t="shared" ref="G143:M151" si="32">IF($C143&lt;=G$81,1,0)</f>
        <v>0</v>
      </c>
      <c r="H143" s="406">
        <f t="shared" si="32"/>
        <v>1</v>
      </c>
      <c r="I143" s="406">
        <f t="shared" si="32"/>
        <v>1</v>
      </c>
      <c r="J143" s="406">
        <f t="shared" si="32"/>
        <v>1</v>
      </c>
      <c r="K143" s="406">
        <f t="shared" si="32"/>
        <v>1</v>
      </c>
      <c r="L143" s="406">
        <f t="shared" si="32"/>
        <v>1</v>
      </c>
      <c r="M143" s="406">
        <f t="shared" si="32"/>
        <v>1</v>
      </c>
      <c r="N143" s="406"/>
    </row>
    <row r="144" spans="1:18" s="282" customFormat="1" outlineLevel="2" x14ac:dyDescent="0.25">
      <c r="A144" s="276">
        <f>ROW()</f>
        <v>144</v>
      </c>
      <c r="B144" s="819" t="s">
        <v>972</v>
      </c>
      <c r="C144" s="618">
        <v>2021</v>
      </c>
      <c r="D144" s="665">
        <f>(12.5*8*180)</f>
        <v>18000</v>
      </c>
      <c r="E144" s="1195"/>
      <c r="F144" s="1195"/>
      <c r="G144" s="406">
        <f t="shared" si="32"/>
        <v>0</v>
      </c>
      <c r="H144" s="406">
        <f t="shared" si="32"/>
        <v>1</v>
      </c>
      <c r="I144" s="406">
        <f t="shared" si="32"/>
        <v>1</v>
      </c>
      <c r="J144" s="406">
        <f t="shared" si="32"/>
        <v>1</v>
      </c>
      <c r="K144" s="406">
        <f t="shared" si="32"/>
        <v>1</v>
      </c>
      <c r="L144" s="406">
        <f t="shared" si="32"/>
        <v>1</v>
      </c>
      <c r="M144" s="406">
        <f t="shared" si="32"/>
        <v>1</v>
      </c>
      <c r="N144" s="406"/>
    </row>
    <row r="145" spans="1:14" s="282" customFormat="1" outlineLevel="2" x14ac:dyDescent="0.25">
      <c r="A145" s="276">
        <f>ROW()</f>
        <v>145</v>
      </c>
      <c r="B145" s="819" t="s">
        <v>972</v>
      </c>
      <c r="C145" s="618">
        <v>2022</v>
      </c>
      <c r="D145" s="665">
        <f>(12.75*8*180)</f>
        <v>18360</v>
      </c>
      <c r="E145" s="1195"/>
      <c r="F145" s="1195"/>
      <c r="G145" s="406">
        <f t="shared" si="32"/>
        <v>0</v>
      </c>
      <c r="H145" s="406">
        <f t="shared" si="32"/>
        <v>0</v>
      </c>
      <c r="I145" s="406">
        <f t="shared" si="32"/>
        <v>1</v>
      </c>
      <c r="J145" s="406">
        <f t="shared" si="32"/>
        <v>1</v>
      </c>
      <c r="K145" s="406">
        <f t="shared" si="32"/>
        <v>1</v>
      </c>
      <c r="L145" s="406">
        <f t="shared" si="32"/>
        <v>1</v>
      </c>
      <c r="M145" s="406">
        <f t="shared" si="32"/>
        <v>1</v>
      </c>
      <c r="N145" s="406"/>
    </row>
    <row r="146" spans="1:14" s="282" customFormat="1" outlineLevel="2" x14ac:dyDescent="0.25">
      <c r="A146" s="276">
        <f>ROW()</f>
        <v>146</v>
      </c>
      <c r="B146" s="617" t="s">
        <v>972</v>
      </c>
      <c r="C146" s="618">
        <v>2022</v>
      </c>
      <c r="D146" s="665">
        <f>(12.75*8*180)</f>
        <v>18360</v>
      </c>
      <c r="E146" s="1195"/>
      <c r="F146" s="1195"/>
      <c r="G146" s="406">
        <f t="shared" si="32"/>
        <v>0</v>
      </c>
      <c r="H146" s="406">
        <f t="shared" si="32"/>
        <v>0</v>
      </c>
      <c r="I146" s="406">
        <f t="shared" si="32"/>
        <v>1</v>
      </c>
      <c r="J146" s="406">
        <f t="shared" si="32"/>
        <v>1</v>
      </c>
      <c r="K146" s="406">
        <f t="shared" si="32"/>
        <v>1</v>
      </c>
      <c r="L146" s="406">
        <f t="shared" si="32"/>
        <v>1</v>
      </c>
      <c r="M146" s="406">
        <f t="shared" si="32"/>
        <v>1</v>
      </c>
      <c r="N146" s="406"/>
    </row>
    <row r="147" spans="1:14" s="282" customFormat="1" outlineLevel="2" x14ac:dyDescent="0.25">
      <c r="A147" s="276">
        <f>ROW()</f>
        <v>147</v>
      </c>
      <c r="B147" s="617" t="s">
        <v>972</v>
      </c>
      <c r="C147" s="618">
        <v>2023</v>
      </c>
      <c r="D147" s="665">
        <f>(13*8*180)</f>
        <v>18720</v>
      </c>
      <c r="E147" s="1195"/>
      <c r="F147" s="1195"/>
      <c r="G147" s="406">
        <f t="shared" si="32"/>
        <v>0</v>
      </c>
      <c r="H147" s="406">
        <f t="shared" si="32"/>
        <v>0</v>
      </c>
      <c r="I147" s="406">
        <f t="shared" si="32"/>
        <v>0</v>
      </c>
      <c r="J147" s="406">
        <f t="shared" si="32"/>
        <v>1</v>
      </c>
      <c r="K147" s="406">
        <f t="shared" si="32"/>
        <v>1</v>
      </c>
      <c r="L147" s="406">
        <f t="shared" si="32"/>
        <v>1</v>
      </c>
      <c r="M147" s="406">
        <f t="shared" si="32"/>
        <v>1</v>
      </c>
      <c r="N147" s="406"/>
    </row>
    <row r="148" spans="1:14" s="282" customFormat="1" outlineLevel="2" x14ac:dyDescent="0.25">
      <c r="A148" s="276">
        <f>ROW()</f>
        <v>148</v>
      </c>
      <c r="B148" s="617" t="s">
        <v>972</v>
      </c>
      <c r="C148" s="618">
        <v>2023</v>
      </c>
      <c r="D148" s="665">
        <f>(13*8*180)</f>
        <v>18720</v>
      </c>
      <c r="E148" s="1195"/>
      <c r="F148" s="1195"/>
      <c r="G148" s="406">
        <f t="shared" si="32"/>
        <v>0</v>
      </c>
      <c r="H148" s="406">
        <f t="shared" si="32"/>
        <v>0</v>
      </c>
      <c r="I148" s="406">
        <f t="shared" si="32"/>
        <v>0</v>
      </c>
      <c r="J148" s="406">
        <f t="shared" si="32"/>
        <v>1</v>
      </c>
      <c r="K148" s="406">
        <f t="shared" si="32"/>
        <v>1</v>
      </c>
      <c r="L148" s="406">
        <f t="shared" si="32"/>
        <v>1</v>
      </c>
      <c r="M148" s="406">
        <f t="shared" si="32"/>
        <v>1</v>
      </c>
      <c r="N148" s="406"/>
    </row>
    <row r="149" spans="1:14" s="282" customFormat="1" outlineLevel="2" x14ac:dyDescent="0.25">
      <c r="A149" s="276">
        <f>ROW()</f>
        <v>149</v>
      </c>
      <c r="B149" s="617" t="s">
        <v>972</v>
      </c>
      <c r="C149" s="618">
        <v>2023</v>
      </c>
      <c r="D149" s="665">
        <f>(13*8*180)</f>
        <v>18720</v>
      </c>
      <c r="E149" s="1195"/>
      <c r="F149" s="1195"/>
      <c r="G149" s="406">
        <f t="shared" si="32"/>
        <v>0</v>
      </c>
      <c r="H149" s="406">
        <f t="shared" si="32"/>
        <v>0</v>
      </c>
      <c r="I149" s="406">
        <f t="shared" si="32"/>
        <v>0</v>
      </c>
      <c r="J149" s="406">
        <f t="shared" si="32"/>
        <v>1</v>
      </c>
      <c r="K149" s="406">
        <f t="shared" si="32"/>
        <v>1</v>
      </c>
      <c r="L149" s="406">
        <f t="shared" si="32"/>
        <v>1</v>
      </c>
      <c r="M149" s="406">
        <f t="shared" si="32"/>
        <v>1</v>
      </c>
      <c r="N149" s="406"/>
    </row>
    <row r="150" spans="1:14" s="282" customFormat="1" outlineLevel="2" x14ac:dyDescent="0.25">
      <c r="A150" s="276">
        <f>ROW()</f>
        <v>150</v>
      </c>
      <c r="B150" s="617" t="s">
        <v>972</v>
      </c>
      <c r="C150" s="618">
        <v>2024</v>
      </c>
      <c r="D150" s="665">
        <f>(13.25*8*180)</f>
        <v>19080</v>
      </c>
      <c r="E150" s="1195"/>
      <c r="F150" s="1195"/>
      <c r="G150" s="406">
        <f t="shared" si="32"/>
        <v>0</v>
      </c>
      <c r="H150" s="406">
        <f t="shared" si="32"/>
        <v>0</v>
      </c>
      <c r="I150" s="406">
        <f t="shared" si="32"/>
        <v>0</v>
      </c>
      <c r="J150" s="406">
        <f t="shared" si="32"/>
        <v>0</v>
      </c>
      <c r="K150" s="406">
        <f t="shared" si="32"/>
        <v>1</v>
      </c>
      <c r="L150" s="406">
        <f t="shared" si="32"/>
        <v>1</v>
      </c>
      <c r="M150" s="406">
        <f t="shared" si="32"/>
        <v>1</v>
      </c>
      <c r="N150" s="406"/>
    </row>
    <row r="151" spans="1:14" s="282" customFormat="1" outlineLevel="2" x14ac:dyDescent="0.25">
      <c r="A151" s="276">
        <f>ROW()</f>
        <v>151</v>
      </c>
      <c r="B151" s="617" t="s">
        <v>972</v>
      </c>
      <c r="C151" s="618">
        <v>2024</v>
      </c>
      <c r="D151" s="665">
        <f>(13.25*8*180)</f>
        <v>19080</v>
      </c>
      <c r="E151" s="1195"/>
      <c r="F151" s="1195"/>
      <c r="G151" s="406">
        <f t="shared" si="32"/>
        <v>0</v>
      </c>
      <c r="H151" s="406">
        <f t="shared" si="32"/>
        <v>0</v>
      </c>
      <c r="I151" s="406">
        <f t="shared" si="32"/>
        <v>0</v>
      </c>
      <c r="J151" s="406">
        <f t="shared" si="32"/>
        <v>0</v>
      </c>
      <c r="K151" s="406">
        <f t="shared" si="32"/>
        <v>1</v>
      </c>
      <c r="L151" s="406">
        <f t="shared" si="32"/>
        <v>1</v>
      </c>
      <c r="M151" s="406">
        <f t="shared" si="32"/>
        <v>1</v>
      </c>
      <c r="N151" s="406"/>
    </row>
    <row r="152" spans="1:14" s="282" customFormat="1" outlineLevel="1" x14ac:dyDescent="0.25">
      <c r="A152" s="276"/>
      <c r="B152" s="362" t="s">
        <v>719</v>
      </c>
      <c r="C152" s="362"/>
      <c r="D152" s="545"/>
      <c r="E152" s="545"/>
      <c r="F152" s="545"/>
      <c r="G152" s="704">
        <f t="shared" ref="G152:M152" si="33">SUM(G143:G151)</f>
        <v>0</v>
      </c>
      <c r="H152" s="704">
        <f t="shared" si="33"/>
        <v>2</v>
      </c>
      <c r="I152" s="372">
        <f t="shared" si="33"/>
        <v>4</v>
      </c>
      <c r="J152" s="372">
        <f t="shared" si="33"/>
        <v>7</v>
      </c>
      <c r="K152" s="372">
        <f t="shared" si="33"/>
        <v>9</v>
      </c>
      <c r="L152" s="372">
        <f t="shared" si="33"/>
        <v>9</v>
      </c>
      <c r="M152" s="372">
        <f t="shared" si="33"/>
        <v>9</v>
      </c>
      <c r="N152" s="406"/>
    </row>
    <row r="153" spans="1:14" s="282" customFormat="1" outlineLevel="1" x14ac:dyDescent="0.25">
      <c r="A153" s="276"/>
      <c r="B153" s="715"/>
      <c r="C153" s="715"/>
      <c r="D153" s="715"/>
      <c r="E153" s="715"/>
      <c r="F153" s="715"/>
      <c r="G153" s="729"/>
      <c r="H153" s="729"/>
      <c r="I153" s="729"/>
      <c r="J153" s="729"/>
      <c r="K153" s="729"/>
      <c r="L153" s="729"/>
      <c r="M153" s="729"/>
      <c r="N153" s="406"/>
    </row>
    <row r="154" spans="1:14" s="282" customFormat="1" ht="15.75" outlineLevel="1" x14ac:dyDescent="0.25">
      <c r="A154" s="276"/>
      <c r="B154" s="742" t="s">
        <v>727</v>
      </c>
      <c r="C154" s="289"/>
      <c r="D154" s="817"/>
      <c r="E154" s="817"/>
      <c r="F154" s="817"/>
      <c r="G154" s="818"/>
      <c r="H154" s="818"/>
      <c r="I154" s="818"/>
      <c r="J154" s="818"/>
      <c r="K154" s="818"/>
      <c r="L154" s="818"/>
      <c r="M154" s="818"/>
      <c r="N154" s="406"/>
    </row>
    <row r="155" spans="1:14" s="282" customFormat="1" outlineLevel="1" x14ac:dyDescent="0.25">
      <c r="A155" s="276">
        <f>ROW()</f>
        <v>155</v>
      </c>
      <c r="B155" s="819" t="s">
        <v>965</v>
      </c>
      <c r="C155" s="820">
        <v>2023</v>
      </c>
      <c r="D155" s="821">
        <v>55000</v>
      </c>
      <c r="E155" s="1195"/>
      <c r="F155" s="1195"/>
      <c r="G155" s="406">
        <f t="shared" ref="G155:M163" si="34">IF($C155&lt;=G$81,1,0)</f>
        <v>0</v>
      </c>
      <c r="H155" s="406">
        <f t="shared" si="34"/>
        <v>0</v>
      </c>
      <c r="I155" s="406">
        <f t="shared" si="34"/>
        <v>0</v>
      </c>
      <c r="J155" s="406">
        <f t="shared" si="34"/>
        <v>1</v>
      </c>
      <c r="K155" s="406">
        <f t="shared" si="34"/>
        <v>1</v>
      </c>
      <c r="L155" s="406">
        <f t="shared" si="34"/>
        <v>1</v>
      </c>
      <c r="M155" s="406">
        <f t="shared" si="34"/>
        <v>1</v>
      </c>
      <c r="N155" s="406"/>
    </row>
    <row r="156" spans="1:14" s="282" customFormat="1" outlineLevel="1" x14ac:dyDescent="0.25">
      <c r="A156" s="276">
        <f>ROW()</f>
        <v>156</v>
      </c>
      <c r="B156" s="617" t="s">
        <v>366</v>
      </c>
      <c r="C156" s="618">
        <v>2025</v>
      </c>
      <c r="D156" s="665">
        <v>55000</v>
      </c>
      <c r="E156" s="1195"/>
      <c r="F156" s="1195"/>
      <c r="G156" s="406">
        <f t="shared" si="34"/>
        <v>0</v>
      </c>
      <c r="H156" s="406">
        <f t="shared" si="34"/>
        <v>0</v>
      </c>
      <c r="I156" s="406">
        <f t="shared" si="34"/>
        <v>0</v>
      </c>
      <c r="J156" s="406">
        <f t="shared" si="34"/>
        <v>0</v>
      </c>
      <c r="K156" s="406">
        <f t="shared" si="34"/>
        <v>0</v>
      </c>
      <c r="L156" s="406">
        <f t="shared" si="34"/>
        <v>1</v>
      </c>
      <c r="M156" s="406">
        <f t="shared" si="34"/>
        <v>1</v>
      </c>
      <c r="N156" s="406"/>
    </row>
    <row r="157" spans="1:14" s="282" customFormat="1" outlineLevel="1" x14ac:dyDescent="0.25">
      <c r="A157" s="276">
        <f>ROW()</f>
        <v>157</v>
      </c>
      <c r="B157" s="617" t="s">
        <v>966</v>
      </c>
      <c r="C157" s="618">
        <v>2024</v>
      </c>
      <c r="D157" s="665">
        <v>57000</v>
      </c>
      <c r="E157" s="1195"/>
      <c r="F157" s="1195"/>
      <c r="G157" s="406">
        <f t="shared" si="34"/>
        <v>0</v>
      </c>
      <c r="H157" s="406">
        <f t="shared" si="34"/>
        <v>0</v>
      </c>
      <c r="I157" s="406">
        <f t="shared" si="34"/>
        <v>0</v>
      </c>
      <c r="J157" s="406">
        <f t="shared" si="34"/>
        <v>0</v>
      </c>
      <c r="K157" s="406">
        <f t="shared" si="34"/>
        <v>1</v>
      </c>
      <c r="L157" s="406">
        <f t="shared" si="34"/>
        <v>1</v>
      </c>
      <c r="M157" s="406">
        <f t="shared" si="34"/>
        <v>1</v>
      </c>
      <c r="N157" s="406"/>
    </row>
    <row r="158" spans="1:14" s="282" customFormat="1" outlineLevel="1" x14ac:dyDescent="0.25">
      <c r="A158" s="276">
        <f>ROW()</f>
        <v>158</v>
      </c>
      <c r="B158" s="617" t="s">
        <v>967</v>
      </c>
      <c r="C158" s="618">
        <v>2024</v>
      </c>
      <c r="D158" s="665">
        <v>40000</v>
      </c>
      <c r="E158" s="1195"/>
      <c r="F158" s="1195"/>
      <c r="G158" s="406">
        <f t="shared" si="34"/>
        <v>0</v>
      </c>
      <c r="H158" s="406">
        <f t="shared" si="34"/>
        <v>0</v>
      </c>
      <c r="I158" s="406">
        <f t="shared" si="34"/>
        <v>0</v>
      </c>
      <c r="J158" s="406">
        <f t="shared" si="34"/>
        <v>0</v>
      </c>
      <c r="K158" s="406">
        <f t="shared" si="34"/>
        <v>1</v>
      </c>
      <c r="L158" s="406">
        <f t="shared" si="34"/>
        <v>1</v>
      </c>
      <c r="M158" s="406">
        <f t="shared" si="34"/>
        <v>1</v>
      </c>
      <c r="N158" s="406"/>
    </row>
    <row r="159" spans="1:14" s="282" customFormat="1" outlineLevel="1" x14ac:dyDescent="0.25">
      <c r="A159" s="276">
        <f>ROW()</f>
        <v>159</v>
      </c>
      <c r="B159" s="617" t="s">
        <v>968</v>
      </c>
      <c r="C159" s="618">
        <v>2021</v>
      </c>
      <c r="D159" s="665">
        <f>(14*8*180)*1</f>
        <v>20160</v>
      </c>
      <c r="E159" s="1195"/>
      <c r="F159" s="1195"/>
      <c r="G159" s="406">
        <f t="shared" si="34"/>
        <v>0</v>
      </c>
      <c r="H159" s="406">
        <f t="shared" si="34"/>
        <v>1</v>
      </c>
      <c r="I159" s="406">
        <f t="shared" si="34"/>
        <v>1</v>
      </c>
      <c r="J159" s="406">
        <f t="shared" si="34"/>
        <v>1</v>
      </c>
      <c r="K159" s="406">
        <f t="shared" si="34"/>
        <v>1</v>
      </c>
      <c r="L159" s="406">
        <f t="shared" si="34"/>
        <v>1</v>
      </c>
      <c r="M159" s="406">
        <f t="shared" si="34"/>
        <v>1</v>
      </c>
      <c r="N159" s="406"/>
    </row>
    <row r="160" spans="1:14" s="282" customFormat="1" outlineLevel="1" x14ac:dyDescent="0.25">
      <c r="A160" s="276">
        <f>ROW()</f>
        <v>160</v>
      </c>
      <c r="B160" s="617" t="s">
        <v>969</v>
      </c>
      <c r="C160" s="618">
        <v>2022</v>
      </c>
      <c r="D160" s="665">
        <f>(13.5*8*240)*1</f>
        <v>25920</v>
      </c>
      <c r="E160" s="1195"/>
      <c r="F160" s="1195"/>
      <c r="G160" s="406">
        <f t="shared" si="34"/>
        <v>0</v>
      </c>
      <c r="H160" s="406">
        <f t="shared" si="34"/>
        <v>0</v>
      </c>
      <c r="I160" s="406">
        <f t="shared" si="34"/>
        <v>1</v>
      </c>
      <c r="J160" s="406">
        <f t="shared" si="34"/>
        <v>1</v>
      </c>
      <c r="K160" s="406">
        <f t="shared" si="34"/>
        <v>1</v>
      </c>
      <c r="L160" s="406">
        <f t="shared" si="34"/>
        <v>1</v>
      </c>
      <c r="M160" s="406">
        <f t="shared" si="34"/>
        <v>1</v>
      </c>
      <c r="N160" s="406"/>
    </row>
    <row r="161" spans="1:17" s="282" customFormat="1" outlineLevel="1" x14ac:dyDescent="0.25">
      <c r="A161" s="276">
        <f>ROW()</f>
        <v>161</v>
      </c>
      <c r="B161" s="617" t="s">
        <v>970</v>
      </c>
      <c r="C161" s="618">
        <v>2021</v>
      </c>
      <c r="D161" s="665">
        <f>(12.75*8*180)</f>
        <v>18360</v>
      </c>
      <c r="E161" s="1195"/>
      <c r="F161" s="1195"/>
      <c r="G161" s="406">
        <f t="shared" si="34"/>
        <v>0</v>
      </c>
      <c r="H161" s="406">
        <f t="shared" si="34"/>
        <v>1</v>
      </c>
      <c r="I161" s="406">
        <f t="shared" si="34"/>
        <v>1</v>
      </c>
      <c r="J161" s="406">
        <f t="shared" si="34"/>
        <v>1</v>
      </c>
      <c r="K161" s="406">
        <f t="shared" si="34"/>
        <v>1</v>
      </c>
      <c r="L161" s="406">
        <f t="shared" si="34"/>
        <v>1</v>
      </c>
      <c r="M161" s="406">
        <f t="shared" si="34"/>
        <v>1</v>
      </c>
      <c r="N161" s="406"/>
    </row>
    <row r="162" spans="1:17" s="282" customFormat="1" outlineLevel="1" x14ac:dyDescent="0.25">
      <c r="A162" s="276">
        <f>ROW()</f>
        <v>162</v>
      </c>
      <c r="B162" s="617" t="s">
        <v>971</v>
      </c>
      <c r="C162" s="618">
        <v>2023</v>
      </c>
      <c r="D162" s="665">
        <f>(13.25*8*180)</f>
        <v>19080</v>
      </c>
      <c r="E162" s="1195"/>
      <c r="F162" s="1195"/>
      <c r="G162" s="406">
        <f t="shared" si="34"/>
        <v>0</v>
      </c>
      <c r="H162" s="406">
        <f t="shared" si="34"/>
        <v>0</v>
      </c>
      <c r="I162" s="406">
        <f t="shared" si="34"/>
        <v>0</v>
      </c>
      <c r="J162" s="406">
        <f t="shared" si="34"/>
        <v>1</v>
      </c>
      <c r="K162" s="406">
        <f t="shared" si="34"/>
        <v>1</v>
      </c>
      <c r="L162" s="406">
        <f t="shared" si="34"/>
        <v>1</v>
      </c>
      <c r="M162" s="406">
        <f t="shared" si="34"/>
        <v>1</v>
      </c>
      <c r="N162" s="406"/>
    </row>
    <row r="163" spans="1:17" s="282" customFormat="1" outlineLevel="1" x14ac:dyDescent="0.25">
      <c r="A163" s="276">
        <f>ROW()</f>
        <v>163</v>
      </c>
      <c r="B163" s="617"/>
      <c r="C163" s="618" t="s">
        <v>722</v>
      </c>
      <c r="D163" s="665"/>
      <c r="E163" s="1195"/>
      <c r="F163" s="1195"/>
      <c r="G163" s="406">
        <f t="shared" si="34"/>
        <v>0</v>
      </c>
      <c r="H163" s="406">
        <f t="shared" si="34"/>
        <v>0</v>
      </c>
      <c r="I163" s="406">
        <f t="shared" si="34"/>
        <v>0</v>
      </c>
      <c r="J163" s="406">
        <f t="shared" si="34"/>
        <v>0</v>
      </c>
      <c r="K163" s="406">
        <f t="shared" si="34"/>
        <v>0</v>
      </c>
      <c r="L163" s="406">
        <f t="shared" si="34"/>
        <v>0</v>
      </c>
      <c r="M163" s="406">
        <f t="shared" si="34"/>
        <v>0</v>
      </c>
      <c r="N163" s="406"/>
    </row>
    <row r="164" spans="1:17" s="282" customFormat="1" outlineLevel="1" x14ac:dyDescent="0.25">
      <c r="A164" s="276">
        <f>ROW()</f>
        <v>164</v>
      </c>
      <c r="B164" s="362" t="s">
        <v>721</v>
      </c>
      <c r="C164" s="362"/>
      <c r="D164" s="545"/>
      <c r="E164" s="545"/>
      <c r="F164" s="545"/>
      <c r="G164" s="704">
        <f t="shared" ref="G164:M164" si="35">SUM(G155:G163)</f>
        <v>0</v>
      </c>
      <c r="H164" s="704">
        <f t="shared" si="35"/>
        <v>2</v>
      </c>
      <c r="I164" s="372">
        <f t="shared" si="35"/>
        <v>3</v>
      </c>
      <c r="J164" s="372">
        <f t="shared" si="35"/>
        <v>5</v>
      </c>
      <c r="K164" s="372">
        <f t="shared" si="35"/>
        <v>7</v>
      </c>
      <c r="L164" s="372">
        <f t="shared" si="35"/>
        <v>8</v>
      </c>
      <c r="M164" s="372">
        <f t="shared" si="35"/>
        <v>8</v>
      </c>
      <c r="N164" s="406"/>
    </row>
    <row r="165" spans="1:17" s="282" customFormat="1" x14ac:dyDescent="0.25">
      <c r="A165" s="276">
        <f>ROW()</f>
        <v>165</v>
      </c>
      <c r="B165" s="221"/>
      <c r="C165" s="221"/>
      <c r="D165" s="221"/>
      <c r="E165" s="221"/>
      <c r="F165" s="221"/>
      <c r="G165" s="406"/>
      <c r="H165" s="406"/>
      <c r="I165" s="406"/>
      <c r="J165" s="406"/>
      <c r="K165" s="406"/>
      <c r="L165" s="406"/>
      <c r="M165" s="406"/>
      <c r="N165" s="406"/>
    </row>
    <row r="166" spans="1:17" s="282" customFormat="1" x14ac:dyDescent="0.25">
      <c r="A166" s="276">
        <f>ROW()</f>
        <v>166</v>
      </c>
      <c r="B166" s="362" t="s">
        <v>720</v>
      </c>
      <c r="C166" s="362"/>
      <c r="D166" s="545"/>
      <c r="E166" s="545"/>
      <c r="F166" s="545"/>
      <c r="G166" s="704">
        <f t="shared" ref="G166:M166" si="36">+G140+G152+G164</f>
        <v>0</v>
      </c>
      <c r="H166" s="704">
        <f t="shared" si="36"/>
        <v>6</v>
      </c>
      <c r="I166" s="372">
        <f t="shared" si="36"/>
        <v>10</v>
      </c>
      <c r="J166" s="372">
        <f t="shared" si="36"/>
        <v>16</v>
      </c>
      <c r="K166" s="372">
        <f t="shared" si="36"/>
        <v>21</v>
      </c>
      <c r="L166" s="372">
        <f t="shared" si="36"/>
        <v>24</v>
      </c>
      <c r="M166" s="372">
        <f t="shared" si="36"/>
        <v>26</v>
      </c>
      <c r="N166" s="406"/>
    </row>
    <row r="167" spans="1:17" s="282" customFormat="1" x14ac:dyDescent="0.25">
      <c r="A167" s="276">
        <f>ROW()</f>
        <v>167</v>
      </c>
      <c r="B167" s="711"/>
      <c r="C167" s="711"/>
      <c r="D167" s="711"/>
      <c r="E167" s="711"/>
      <c r="F167" s="711"/>
      <c r="G167" s="715"/>
      <c r="H167" s="713"/>
      <c r="I167" s="713"/>
      <c r="J167" s="713"/>
      <c r="K167" s="713"/>
      <c r="L167" s="713"/>
      <c r="M167" s="714"/>
      <c r="N167" s="406"/>
      <c r="O167" s="406"/>
      <c r="P167" s="406"/>
      <c r="Q167" s="406"/>
    </row>
    <row r="168" spans="1:17" s="282" customFormat="1" ht="15.75" x14ac:dyDescent="0.25">
      <c r="A168" s="276">
        <f>ROW()</f>
        <v>168</v>
      </c>
      <c r="B168" s="742" t="s">
        <v>633</v>
      </c>
      <c r="C168" s="289"/>
      <c r="D168" s="289"/>
      <c r="E168" s="289"/>
      <c r="F168" s="289"/>
      <c r="G168" s="728"/>
      <c r="H168" s="461"/>
      <c r="I168" s="461"/>
      <c r="J168" s="461"/>
      <c r="K168" s="461"/>
      <c r="L168" s="461"/>
      <c r="M168" s="745"/>
      <c r="N168" s="406"/>
      <c r="O168" s="406"/>
      <c r="P168" s="406"/>
      <c r="Q168" s="406"/>
    </row>
    <row r="169" spans="1:17" s="282" customFormat="1" ht="30" x14ac:dyDescent="0.25">
      <c r="A169" s="276">
        <f>ROW()</f>
        <v>169</v>
      </c>
      <c r="B169" s="373" t="s">
        <v>96</v>
      </c>
      <c r="C169" s="278" t="s">
        <v>343</v>
      </c>
      <c r="D169" s="278" t="s">
        <v>931</v>
      </c>
      <c r="E169" s="229" t="s">
        <v>193</v>
      </c>
      <c r="F169" s="373" t="s">
        <v>344</v>
      </c>
      <c r="G169" s="373" t="s">
        <v>342</v>
      </c>
      <c r="H169" s="411" t="s">
        <v>23</v>
      </c>
      <c r="I169" s="373"/>
      <c r="J169" s="373"/>
      <c r="L169" s="406"/>
      <c r="N169" s="406"/>
      <c r="O169" s="406"/>
      <c r="P169" s="406"/>
      <c r="Q169" s="406"/>
    </row>
    <row r="170" spans="1:17" s="282" customFormat="1" x14ac:dyDescent="0.25">
      <c r="A170" s="276">
        <f>ROW()</f>
        <v>170</v>
      </c>
      <c r="B170" s="302" t="s">
        <v>435</v>
      </c>
      <c r="C170" s="230"/>
      <c r="D170" s="230">
        <f>$H$10</f>
        <v>2020</v>
      </c>
      <c r="E170" s="728"/>
      <c r="F170" s="728"/>
      <c r="G170" s="289"/>
      <c r="H170" s="289"/>
      <c r="I170" s="633"/>
      <c r="J170" s="633"/>
      <c r="K170" s="633"/>
      <c r="L170" s="745"/>
      <c r="M170" s="289"/>
      <c r="N170" s="406"/>
      <c r="O170" s="406"/>
      <c r="P170" s="406"/>
      <c r="Q170" s="406"/>
    </row>
    <row r="171" spans="1:17" s="282" customFormat="1" ht="15" customHeight="1" x14ac:dyDescent="0.25">
      <c r="A171" s="276">
        <f>ROW()</f>
        <v>171</v>
      </c>
      <c r="C171" s="232"/>
      <c r="D171" s="721"/>
      <c r="E171" s="244"/>
      <c r="F171" s="585"/>
      <c r="G171" s="221"/>
      <c r="I171" s="221"/>
      <c r="J171" s="221"/>
      <c r="K171" s="221"/>
      <c r="L171" s="406"/>
      <c r="N171" s="406"/>
      <c r="O171" s="406"/>
      <c r="P171" s="406"/>
      <c r="Q171" s="406"/>
    </row>
    <row r="172" spans="1:17" s="282" customFormat="1" ht="15" customHeight="1" outlineLevel="1" x14ac:dyDescent="0.25">
      <c r="A172" s="276">
        <f>ROW()</f>
        <v>172</v>
      </c>
      <c r="B172" s="705" t="s">
        <v>934</v>
      </c>
      <c r="C172" s="611" t="s">
        <v>722</v>
      </c>
      <c r="D172" s="611">
        <v>2021</v>
      </c>
      <c r="E172" s="949">
        <v>42000</v>
      </c>
      <c r="F172" s="612" t="s">
        <v>736</v>
      </c>
      <c r="G172" s="1054">
        <f t="shared" ref="G172:M174" si="37">IF($D172&lt;=G$81,1,0)</f>
        <v>0</v>
      </c>
      <c r="H172" s="1054">
        <f t="shared" si="37"/>
        <v>1</v>
      </c>
      <c r="I172" s="1054">
        <f t="shared" si="37"/>
        <v>1</v>
      </c>
      <c r="J172" s="1054">
        <f t="shared" si="37"/>
        <v>1</v>
      </c>
      <c r="K172" s="1054">
        <f t="shared" si="37"/>
        <v>1</v>
      </c>
      <c r="L172" s="1054">
        <f t="shared" si="37"/>
        <v>1</v>
      </c>
      <c r="M172" s="1054">
        <f t="shared" si="37"/>
        <v>1</v>
      </c>
      <c r="O172" s="406"/>
    </row>
    <row r="173" spans="1:17" s="282" customFormat="1" ht="15" customHeight="1" outlineLevel="1" x14ac:dyDescent="0.25">
      <c r="A173" s="276">
        <f>ROW()</f>
        <v>173</v>
      </c>
      <c r="B173" s="705" t="s">
        <v>934</v>
      </c>
      <c r="C173" s="611" t="s">
        <v>722</v>
      </c>
      <c r="D173" s="611">
        <v>2021</v>
      </c>
      <c r="E173" s="665">
        <v>42000</v>
      </c>
      <c r="F173" s="612" t="s">
        <v>736</v>
      </c>
      <c r="G173" s="1054">
        <f t="shared" si="37"/>
        <v>0</v>
      </c>
      <c r="H173" s="1054">
        <f t="shared" si="37"/>
        <v>1</v>
      </c>
      <c r="I173" s="1054">
        <f t="shared" si="37"/>
        <v>1</v>
      </c>
      <c r="J173" s="1054">
        <f t="shared" si="37"/>
        <v>1</v>
      </c>
      <c r="K173" s="1054">
        <f t="shared" si="37"/>
        <v>1</v>
      </c>
      <c r="L173" s="1054">
        <f t="shared" si="37"/>
        <v>1</v>
      </c>
      <c r="M173" s="1054">
        <f t="shared" si="37"/>
        <v>1</v>
      </c>
      <c r="O173" s="406"/>
    </row>
    <row r="174" spans="1:17" s="282" customFormat="1" ht="15" customHeight="1" outlineLevel="1" x14ac:dyDescent="0.25">
      <c r="A174" s="276">
        <f>ROW()</f>
        <v>174</v>
      </c>
      <c r="B174" s="705" t="s">
        <v>934</v>
      </c>
      <c r="C174" s="611" t="s">
        <v>722</v>
      </c>
      <c r="D174" s="611">
        <v>2021</v>
      </c>
      <c r="E174" s="665">
        <v>42000</v>
      </c>
      <c r="F174" s="612" t="s">
        <v>736</v>
      </c>
      <c r="G174" s="1054">
        <f t="shared" si="37"/>
        <v>0</v>
      </c>
      <c r="H174" s="1054">
        <f t="shared" si="37"/>
        <v>1</v>
      </c>
      <c r="I174" s="1054">
        <f t="shared" si="37"/>
        <v>1</v>
      </c>
      <c r="J174" s="1054">
        <f t="shared" si="37"/>
        <v>1</v>
      </c>
      <c r="K174" s="1054">
        <f t="shared" si="37"/>
        <v>1</v>
      </c>
      <c r="L174" s="1054">
        <f t="shared" si="37"/>
        <v>1</v>
      </c>
      <c r="M174" s="1054">
        <f t="shared" si="37"/>
        <v>1</v>
      </c>
      <c r="O174" s="406"/>
    </row>
    <row r="175" spans="1:17" s="282" customFormat="1" ht="15" customHeight="1" outlineLevel="1" x14ac:dyDescent="0.25">
      <c r="A175" s="276">
        <f>ROW()</f>
        <v>175</v>
      </c>
      <c r="B175" s="603"/>
      <c r="C175" s="614"/>
      <c r="D175" s="614"/>
      <c r="E175" s="1376"/>
      <c r="F175" s="613"/>
      <c r="G175" s="1054"/>
      <c r="H175" s="1054"/>
      <c r="I175" s="1054"/>
      <c r="J175" s="1054"/>
      <c r="K175" s="1054"/>
      <c r="L175" s="1054"/>
      <c r="M175" s="1054"/>
      <c r="O175" s="406"/>
    </row>
    <row r="176" spans="1:17" s="282" customFormat="1" ht="15" customHeight="1" outlineLevel="1" x14ac:dyDescent="0.25">
      <c r="A176" s="276">
        <f>ROW()</f>
        <v>176</v>
      </c>
      <c r="B176" s="705" t="s">
        <v>934</v>
      </c>
      <c r="C176" s="611" t="s">
        <v>722</v>
      </c>
      <c r="D176" s="611">
        <v>2021</v>
      </c>
      <c r="E176" s="949">
        <v>42000</v>
      </c>
      <c r="F176" s="612" t="s">
        <v>736</v>
      </c>
      <c r="G176" s="1054">
        <f t="shared" ref="G176:M180" si="38">IF($D176&lt;=G$81,1,0)</f>
        <v>0</v>
      </c>
      <c r="H176" s="1054">
        <f t="shared" si="38"/>
        <v>1</v>
      </c>
      <c r="I176" s="1054">
        <f t="shared" si="38"/>
        <v>1</v>
      </c>
      <c r="J176" s="1054">
        <f t="shared" si="38"/>
        <v>1</v>
      </c>
      <c r="K176" s="1054">
        <f t="shared" si="38"/>
        <v>1</v>
      </c>
      <c r="L176" s="1054">
        <f t="shared" si="38"/>
        <v>1</v>
      </c>
      <c r="M176" s="1054">
        <f t="shared" si="38"/>
        <v>1</v>
      </c>
      <c r="O176" s="406"/>
    </row>
    <row r="177" spans="1:27" s="282" customFormat="1" ht="15" customHeight="1" outlineLevel="1" x14ac:dyDescent="0.25">
      <c r="A177" s="276">
        <f>ROW()</f>
        <v>177</v>
      </c>
      <c r="B177" s="705" t="s">
        <v>935</v>
      </c>
      <c r="C177" s="611" t="s">
        <v>722</v>
      </c>
      <c r="D177" s="611">
        <v>2021</v>
      </c>
      <c r="E177" s="665">
        <v>42000</v>
      </c>
      <c r="F177" s="612" t="s">
        <v>736</v>
      </c>
      <c r="G177" s="1054">
        <f t="shared" si="38"/>
        <v>0</v>
      </c>
      <c r="H177" s="1054">
        <f t="shared" si="38"/>
        <v>1</v>
      </c>
      <c r="I177" s="1054">
        <f t="shared" si="38"/>
        <v>1</v>
      </c>
      <c r="J177" s="1054">
        <f t="shared" si="38"/>
        <v>1</v>
      </c>
      <c r="K177" s="1054">
        <f t="shared" si="38"/>
        <v>1</v>
      </c>
      <c r="L177" s="1054">
        <f t="shared" si="38"/>
        <v>1</v>
      </c>
      <c r="M177" s="1054">
        <f t="shared" si="38"/>
        <v>1</v>
      </c>
      <c r="O177" s="406"/>
    </row>
    <row r="178" spans="1:27" s="282" customFormat="1" ht="15" customHeight="1" outlineLevel="1" x14ac:dyDescent="0.25">
      <c r="A178" s="276">
        <f>ROW()</f>
        <v>178</v>
      </c>
      <c r="B178" s="705" t="s">
        <v>935</v>
      </c>
      <c r="C178" s="611" t="s">
        <v>722</v>
      </c>
      <c r="D178" s="611">
        <v>2021</v>
      </c>
      <c r="E178" s="665">
        <v>42000</v>
      </c>
      <c r="F178" s="612" t="s">
        <v>736</v>
      </c>
      <c r="G178" s="1054">
        <f t="shared" si="38"/>
        <v>0</v>
      </c>
      <c r="H178" s="1054">
        <f t="shared" si="38"/>
        <v>1</v>
      </c>
      <c r="I178" s="1054">
        <f t="shared" si="38"/>
        <v>1</v>
      </c>
      <c r="J178" s="1054">
        <f t="shared" si="38"/>
        <v>1</v>
      </c>
      <c r="K178" s="1054">
        <f t="shared" si="38"/>
        <v>1</v>
      </c>
      <c r="L178" s="1054">
        <f t="shared" si="38"/>
        <v>1</v>
      </c>
      <c r="M178" s="1054">
        <f t="shared" si="38"/>
        <v>1</v>
      </c>
      <c r="O178" s="406"/>
    </row>
    <row r="179" spans="1:27" s="282" customFormat="1" ht="15" customHeight="1" outlineLevel="1" x14ac:dyDescent="0.25">
      <c r="A179" s="276">
        <f>ROW()</f>
        <v>179</v>
      </c>
      <c r="B179" s="705" t="s">
        <v>935</v>
      </c>
      <c r="C179" s="611" t="s">
        <v>722</v>
      </c>
      <c r="D179" s="611">
        <v>2022</v>
      </c>
      <c r="E179" s="665">
        <v>42630</v>
      </c>
      <c r="F179" s="612" t="s">
        <v>736</v>
      </c>
      <c r="G179" s="1054">
        <f t="shared" si="38"/>
        <v>0</v>
      </c>
      <c r="H179" s="1054">
        <f t="shared" si="38"/>
        <v>0</v>
      </c>
      <c r="I179" s="1054">
        <f t="shared" si="38"/>
        <v>1</v>
      </c>
      <c r="J179" s="1054">
        <f t="shared" si="38"/>
        <v>1</v>
      </c>
      <c r="K179" s="1054">
        <f t="shared" si="38"/>
        <v>1</v>
      </c>
      <c r="L179" s="1054">
        <f t="shared" si="38"/>
        <v>1</v>
      </c>
      <c r="M179" s="1054">
        <f t="shared" si="38"/>
        <v>1</v>
      </c>
      <c r="O179" s="406"/>
    </row>
    <row r="180" spans="1:27" ht="15" customHeight="1" outlineLevel="1" x14ac:dyDescent="0.25">
      <c r="A180" s="276">
        <f>ROW()</f>
        <v>180</v>
      </c>
      <c r="B180" s="705" t="s">
        <v>935</v>
      </c>
      <c r="C180" s="611" t="s">
        <v>722</v>
      </c>
      <c r="D180" s="611">
        <v>2022</v>
      </c>
      <c r="E180" s="665">
        <v>42630</v>
      </c>
      <c r="F180" s="612" t="s">
        <v>736</v>
      </c>
      <c r="G180" s="1054">
        <f t="shared" si="38"/>
        <v>0</v>
      </c>
      <c r="H180" s="1054">
        <f t="shared" si="38"/>
        <v>0</v>
      </c>
      <c r="I180" s="1054">
        <f t="shared" si="38"/>
        <v>1</v>
      </c>
      <c r="J180" s="1054">
        <f t="shared" si="38"/>
        <v>1</v>
      </c>
      <c r="K180" s="1054">
        <f t="shared" si="38"/>
        <v>1</v>
      </c>
      <c r="L180" s="1054">
        <f t="shared" si="38"/>
        <v>1</v>
      </c>
      <c r="M180" s="1054">
        <f t="shared" si="38"/>
        <v>1</v>
      </c>
      <c r="O180" s="406"/>
      <c r="R180" s="282"/>
      <c r="S180" s="282"/>
      <c r="T180" s="282"/>
      <c r="U180" s="282"/>
      <c r="V180" s="282"/>
      <c r="W180" s="282"/>
      <c r="X180" s="282"/>
      <c r="Y180" s="282"/>
      <c r="Z180" s="282"/>
      <c r="AA180" s="282"/>
    </row>
    <row r="181" spans="1:27" ht="15" customHeight="1" outlineLevel="1" x14ac:dyDescent="0.25">
      <c r="A181" s="276">
        <f>ROW()</f>
        <v>181</v>
      </c>
      <c r="B181" s="603"/>
      <c r="C181" s="614"/>
      <c r="D181" s="722"/>
      <c r="E181" s="616"/>
      <c r="F181" s="616"/>
      <c r="G181" s="1054"/>
      <c r="H181" s="1054"/>
      <c r="I181" s="1054"/>
      <c r="J181" s="1054"/>
      <c r="K181" s="1054"/>
      <c r="L181" s="1054"/>
      <c r="M181" s="1054"/>
      <c r="O181" s="406"/>
      <c r="R181" s="282"/>
      <c r="S181" s="282"/>
      <c r="T181" s="282"/>
      <c r="U181" s="282"/>
      <c r="V181" s="282"/>
      <c r="W181" s="282"/>
      <c r="X181" s="282"/>
      <c r="Y181" s="282"/>
      <c r="Z181" s="282"/>
      <c r="AA181" s="282"/>
    </row>
    <row r="182" spans="1:27" s="282" customFormat="1" ht="15" customHeight="1" outlineLevel="1" x14ac:dyDescent="0.25">
      <c r="A182" s="276">
        <f>ROW()</f>
        <v>182</v>
      </c>
      <c r="B182" s="705" t="s">
        <v>936</v>
      </c>
      <c r="C182" s="611" t="s">
        <v>722</v>
      </c>
      <c r="D182" s="611">
        <v>2021</v>
      </c>
      <c r="E182" s="949">
        <v>42000</v>
      </c>
      <c r="F182" s="612" t="s">
        <v>736</v>
      </c>
      <c r="G182" s="1054">
        <f t="shared" ref="G182:M186" si="39">IF($D182&lt;=G$81,1,0)</f>
        <v>0</v>
      </c>
      <c r="H182" s="1054">
        <f t="shared" si="39"/>
        <v>1</v>
      </c>
      <c r="I182" s="1054">
        <f t="shared" si="39"/>
        <v>1</v>
      </c>
      <c r="J182" s="1054">
        <f t="shared" si="39"/>
        <v>1</v>
      </c>
      <c r="K182" s="1054">
        <f t="shared" si="39"/>
        <v>1</v>
      </c>
      <c r="L182" s="1054">
        <f t="shared" si="39"/>
        <v>1</v>
      </c>
      <c r="M182" s="1054">
        <f t="shared" si="39"/>
        <v>1</v>
      </c>
      <c r="O182" s="406"/>
    </row>
    <row r="183" spans="1:27" s="282" customFormat="1" ht="15" customHeight="1" outlineLevel="1" x14ac:dyDescent="0.25">
      <c r="A183" s="276">
        <f>ROW()</f>
        <v>183</v>
      </c>
      <c r="B183" s="705" t="s">
        <v>936</v>
      </c>
      <c r="C183" s="611" t="s">
        <v>722</v>
      </c>
      <c r="D183" s="611">
        <v>2021</v>
      </c>
      <c r="E183" s="665">
        <v>42000</v>
      </c>
      <c r="F183" s="612" t="s">
        <v>736</v>
      </c>
      <c r="G183" s="1054">
        <f t="shared" si="39"/>
        <v>0</v>
      </c>
      <c r="H183" s="1054">
        <f t="shared" si="39"/>
        <v>1</v>
      </c>
      <c r="I183" s="1054">
        <f t="shared" si="39"/>
        <v>1</v>
      </c>
      <c r="J183" s="1054">
        <f t="shared" si="39"/>
        <v>1</v>
      </c>
      <c r="K183" s="1054">
        <f t="shared" si="39"/>
        <v>1</v>
      </c>
      <c r="L183" s="1054">
        <f t="shared" si="39"/>
        <v>1</v>
      </c>
      <c r="M183" s="1054">
        <f t="shared" si="39"/>
        <v>1</v>
      </c>
      <c r="O183" s="406"/>
    </row>
    <row r="184" spans="1:27" s="282" customFormat="1" ht="15" customHeight="1" outlineLevel="1" x14ac:dyDescent="0.25">
      <c r="A184" s="276">
        <f>ROW()</f>
        <v>184</v>
      </c>
      <c r="B184" s="705" t="s">
        <v>936</v>
      </c>
      <c r="C184" s="611" t="s">
        <v>722</v>
      </c>
      <c r="D184" s="611">
        <v>2022</v>
      </c>
      <c r="E184" s="665">
        <v>42630</v>
      </c>
      <c r="F184" s="612" t="s">
        <v>736</v>
      </c>
      <c r="G184" s="1054">
        <f t="shared" si="39"/>
        <v>0</v>
      </c>
      <c r="H184" s="1054">
        <f t="shared" si="39"/>
        <v>0</v>
      </c>
      <c r="I184" s="1054">
        <f t="shared" si="39"/>
        <v>1</v>
      </c>
      <c r="J184" s="1054">
        <f t="shared" si="39"/>
        <v>1</v>
      </c>
      <c r="K184" s="1054">
        <f t="shared" si="39"/>
        <v>1</v>
      </c>
      <c r="L184" s="1054">
        <f t="shared" si="39"/>
        <v>1</v>
      </c>
      <c r="M184" s="1054">
        <f t="shared" si="39"/>
        <v>1</v>
      </c>
      <c r="O184" s="406"/>
    </row>
    <row r="185" spans="1:27" s="282" customFormat="1" ht="15" customHeight="1" outlineLevel="1" x14ac:dyDescent="0.25">
      <c r="A185" s="276">
        <f>ROW()</f>
        <v>185</v>
      </c>
      <c r="B185" s="705" t="s">
        <v>936</v>
      </c>
      <c r="C185" s="611" t="s">
        <v>722</v>
      </c>
      <c r="D185" s="611">
        <v>2022</v>
      </c>
      <c r="E185" s="665">
        <v>42630</v>
      </c>
      <c r="F185" s="612" t="s">
        <v>736</v>
      </c>
      <c r="G185" s="1054">
        <f t="shared" si="39"/>
        <v>0</v>
      </c>
      <c r="H185" s="1054">
        <f t="shared" si="39"/>
        <v>0</v>
      </c>
      <c r="I185" s="1054">
        <f t="shared" si="39"/>
        <v>1</v>
      </c>
      <c r="J185" s="1054">
        <f t="shared" si="39"/>
        <v>1</v>
      </c>
      <c r="K185" s="1054">
        <f t="shared" si="39"/>
        <v>1</v>
      </c>
      <c r="L185" s="1054">
        <f t="shared" si="39"/>
        <v>1</v>
      </c>
      <c r="M185" s="1054">
        <f t="shared" si="39"/>
        <v>1</v>
      </c>
      <c r="O185" s="406"/>
    </row>
    <row r="186" spans="1:27" s="282" customFormat="1" ht="15" customHeight="1" outlineLevel="1" x14ac:dyDescent="0.25">
      <c r="A186" s="276">
        <f>ROW()</f>
        <v>186</v>
      </c>
      <c r="B186" s="705" t="s">
        <v>937</v>
      </c>
      <c r="C186" s="611" t="s">
        <v>722</v>
      </c>
      <c r="D186" s="611">
        <v>2021</v>
      </c>
      <c r="E186" s="665">
        <v>42000</v>
      </c>
      <c r="F186" s="612" t="s">
        <v>736</v>
      </c>
      <c r="G186" s="1054">
        <f t="shared" si="39"/>
        <v>0</v>
      </c>
      <c r="H186" s="1054">
        <f t="shared" si="39"/>
        <v>1</v>
      </c>
      <c r="I186" s="1054">
        <f t="shared" si="39"/>
        <v>1</v>
      </c>
      <c r="J186" s="1054">
        <f t="shared" si="39"/>
        <v>1</v>
      </c>
      <c r="K186" s="1054">
        <f t="shared" si="39"/>
        <v>1</v>
      </c>
      <c r="L186" s="1054">
        <f t="shared" si="39"/>
        <v>1</v>
      </c>
      <c r="M186" s="1054">
        <f t="shared" si="39"/>
        <v>1</v>
      </c>
      <c r="O186" s="406"/>
    </row>
    <row r="187" spans="1:27" s="282" customFormat="1" ht="15" customHeight="1" outlineLevel="1" x14ac:dyDescent="0.25">
      <c r="A187" s="276">
        <f>ROW()</f>
        <v>187</v>
      </c>
      <c r="B187" s="603"/>
      <c r="C187" s="614"/>
      <c r="D187" s="613"/>
      <c r="E187" s="616"/>
      <c r="F187" s="616"/>
      <c r="G187" s="1054"/>
      <c r="H187" s="1054"/>
      <c r="I187" s="1054"/>
      <c r="J187" s="1054"/>
      <c r="K187" s="1054"/>
      <c r="L187" s="1054"/>
      <c r="M187" s="1054"/>
      <c r="O187" s="406"/>
    </row>
    <row r="188" spans="1:27" s="282" customFormat="1" ht="15" customHeight="1" outlineLevel="1" x14ac:dyDescent="0.25">
      <c r="A188" s="276">
        <f>ROW()</f>
        <v>188</v>
      </c>
      <c r="B188" s="705" t="s">
        <v>937</v>
      </c>
      <c r="C188" s="611" t="s">
        <v>722</v>
      </c>
      <c r="D188" s="611">
        <v>2021</v>
      </c>
      <c r="E188" s="949">
        <v>42000</v>
      </c>
      <c r="F188" s="612" t="s">
        <v>736</v>
      </c>
      <c r="G188" s="1054">
        <f t="shared" ref="G188:M192" si="40">IF($D188&lt;=G$81,1,0)</f>
        <v>0</v>
      </c>
      <c r="H188" s="1054">
        <f t="shared" si="40"/>
        <v>1</v>
      </c>
      <c r="I188" s="1054">
        <f t="shared" si="40"/>
        <v>1</v>
      </c>
      <c r="J188" s="1054">
        <f t="shared" si="40"/>
        <v>1</v>
      </c>
      <c r="K188" s="1054">
        <f t="shared" si="40"/>
        <v>1</v>
      </c>
      <c r="L188" s="1054">
        <f t="shared" si="40"/>
        <v>1</v>
      </c>
      <c r="M188" s="1054">
        <f t="shared" si="40"/>
        <v>1</v>
      </c>
      <c r="O188" s="406"/>
    </row>
    <row r="189" spans="1:27" s="282" customFormat="1" ht="15" customHeight="1" outlineLevel="1" x14ac:dyDescent="0.25">
      <c r="A189" s="276">
        <f>ROW()</f>
        <v>189</v>
      </c>
      <c r="B189" s="705" t="s">
        <v>937</v>
      </c>
      <c r="C189" s="611" t="s">
        <v>722</v>
      </c>
      <c r="D189" s="611">
        <v>2022</v>
      </c>
      <c r="E189" s="665">
        <v>42630</v>
      </c>
      <c r="F189" s="612" t="s">
        <v>736</v>
      </c>
      <c r="G189" s="1054">
        <f t="shared" si="40"/>
        <v>0</v>
      </c>
      <c r="H189" s="1054">
        <f t="shared" si="40"/>
        <v>0</v>
      </c>
      <c r="I189" s="1054">
        <f t="shared" si="40"/>
        <v>1</v>
      </c>
      <c r="J189" s="1054">
        <f t="shared" si="40"/>
        <v>1</v>
      </c>
      <c r="K189" s="1054">
        <f t="shared" si="40"/>
        <v>1</v>
      </c>
      <c r="L189" s="1054">
        <f t="shared" si="40"/>
        <v>1</v>
      </c>
      <c r="M189" s="1054">
        <f t="shared" si="40"/>
        <v>1</v>
      </c>
      <c r="O189" s="406"/>
    </row>
    <row r="190" spans="1:27" s="282" customFormat="1" ht="15" customHeight="1" outlineLevel="1" x14ac:dyDescent="0.25">
      <c r="A190" s="276">
        <f>ROW()</f>
        <v>190</v>
      </c>
      <c r="B190" s="705" t="s">
        <v>937</v>
      </c>
      <c r="C190" s="611" t="s">
        <v>722</v>
      </c>
      <c r="D190" s="611">
        <v>2022</v>
      </c>
      <c r="E190" s="665">
        <v>42630</v>
      </c>
      <c r="F190" s="612" t="s">
        <v>736</v>
      </c>
      <c r="G190" s="1054">
        <f t="shared" si="40"/>
        <v>0</v>
      </c>
      <c r="H190" s="1054">
        <f t="shared" si="40"/>
        <v>0</v>
      </c>
      <c r="I190" s="1054">
        <f t="shared" si="40"/>
        <v>1</v>
      </c>
      <c r="J190" s="1054">
        <f t="shared" si="40"/>
        <v>1</v>
      </c>
      <c r="K190" s="1054">
        <f t="shared" si="40"/>
        <v>1</v>
      </c>
      <c r="L190" s="1054">
        <f t="shared" si="40"/>
        <v>1</v>
      </c>
      <c r="M190" s="1054">
        <f t="shared" si="40"/>
        <v>1</v>
      </c>
      <c r="O190" s="406"/>
    </row>
    <row r="191" spans="1:27" s="282" customFormat="1" ht="15" customHeight="1" outlineLevel="1" x14ac:dyDescent="0.25">
      <c r="A191" s="276">
        <f>ROW()</f>
        <v>191</v>
      </c>
      <c r="B191" s="705" t="s">
        <v>938</v>
      </c>
      <c r="C191" s="611" t="s">
        <v>722</v>
      </c>
      <c r="D191" s="611">
        <v>2021</v>
      </c>
      <c r="E191" s="665">
        <v>42000</v>
      </c>
      <c r="F191" s="612" t="s">
        <v>736</v>
      </c>
      <c r="G191" s="1054">
        <f t="shared" si="40"/>
        <v>0</v>
      </c>
      <c r="H191" s="1054">
        <f t="shared" si="40"/>
        <v>1</v>
      </c>
      <c r="I191" s="1054">
        <f t="shared" si="40"/>
        <v>1</v>
      </c>
      <c r="J191" s="1054">
        <f t="shared" si="40"/>
        <v>1</v>
      </c>
      <c r="K191" s="1054">
        <f t="shared" si="40"/>
        <v>1</v>
      </c>
      <c r="L191" s="1054">
        <f t="shared" si="40"/>
        <v>1</v>
      </c>
      <c r="M191" s="1054">
        <f t="shared" si="40"/>
        <v>1</v>
      </c>
      <c r="O191" s="406"/>
    </row>
    <row r="192" spans="1:27" ht="15" customHeight="1" outlineLevel="1" x14ac:dyDescent="0.25">
      <c r="A192" s="276">
        <f>ROW()</f>
        <v>192</v>
      </c>
      <c r="B192" s="705" t="s">
        <v>938</v>
      </c>
      <c r="C192" s="611" t="s">
        <v>722</v>
      </c>
      <c r="D192" s="611">
        <v>2022</v>
      </c>
      <c r="E192" s="665">
        <v>42630</v>
      </c>
      <c r="F192" s="612" t="s">
        <v>736</v>
      </c>
      <c r="G192" s="1054">
        <f t="shared" si="40"/>
        <v>0</v>
      </c>
      <c r="H192" s="1054">
        <f t="shared" si="40"/>
        <v>0</v>
      </c>
      <c r="I192" s="1054">
        <f t="shared" si="40"/>
        <v>1</v>
      </c>
      <c r="J192" s="1054">
        <f t="shared" si="40"/>
        <v>1</v>
      </c>
      <c r="K192" s="1054">
        <f t="shared" si="40"/>
        <v>1</v>
      </c>
      <c r="L192" s="1054">
        <f t="shared" si="40"/>
        <v>1</v>
      </c>
      <c r="M192" s="1054">
        <f t="shared" si="40"/>
        <v>1</v>
      </c>
      <c r="O192" s="406"/>
      <c r="R192" s="282"/>
      <c r="S192" s="282"/>
      <c r="T192" s="282"/>
      <c r="U192" s="282"/>
      <c r="V192" s="282"/>
      <c r="W192" s="282"/>
      <c r="X192" s="282"/>
      <c r="Y192" s="282"/>
      <c r="Z192" s="282"/>
      <c r="AA192" s="282"/>
    </row>
    <row r="193" spans="1:27" ht="15" customHeight="1" outlineLevel="1" x14ac:dyDescent="0.25">
      <c r="A193" s="276">
        <f>ROW()</f>
        <v>193</v>
      </c>
      <c r="B193" s="603"/>
      <c r="C193" s="614"/>
      <c r="D193" s="614"/>
      <c r="E193" s="615"/>
      <c r="F193" s="615"/>
      <c r="G193" s="1054"/>
      <c r="H193" s="1054"/>
      <c r="I193" s="1054"/>
      <c r="J193" s="1054"/>
      <c r="K193" s="1054"/>
      <c r="L193" s="1054"/>
      <c r="M193" s="1054"/>
      <c r="O193" s="406"/>
      <c r="R193" s="282"/>
      <c r="S193" s="282"/>
      <c r="T193" s="282"/>
      <c r="U193" s="282"/>
      <c r="V193" s="282"/>
      <c r="W193" s="282"/>
      <c r="X193" s="282"/>
      <c r="Y193" s="282"/>
      <c r="Z193" s="282"/>
      <c r="AA193" s="282"/>
    </row>
    <row r="194" spans="1:27" s="282" customFormat="1" ht="15" customHeight="1" outlineLevel="1" x14ac:dyDescent="0.25">
      <c r="A194" s="276">
        <f>ROW()</f>
        <v>194</v>
      </c>
      <c r="B194" s="705" t="s">
        <v>938</v>
      </c>
      <c r="C194" s="611" t="s">
        <v>722</v>
      </c>
      <c r="D194" s="611">
        <v>2023</v>
      </c>
      <c r="E194" s="949">
        <v>43300</v>
      </c>
      <c r="F194" s="612" t="s">
        <v>736</v>
      </c>
      <c r="G194" s="1054">
        <f t="shared" ref="G194:M198" si="41">IF($D194&lt;=G$81,1,0)</f>
        <v>0</v>
      </c>
      <c r="H194" s="1054">
        <f t="shared" si="41"/>
        <v>0</v>
      </c>
      <c r="I194" s="1054">
        <f t="shared" si="41"/>
        <v>0</v>
      </c>
      <c r="J194" s="1054">
        <f t="shared" si="41"/>
        <v>1</v>
      </c>
      <c r="K194" s="1054">
        <f t="shared" si="41"/>
        <v>1</v>
      </c>
      <c r="L194" s="1054">
        <f t="shared" si="41"/>
        <v>1</v>
      </c>
      <c r="M194" s="1054">
        <f t="shared" si="41"/>
        <v>1</v>
      </c>
      <c r="O194" s="406"/>
    </row>
    <row r="195" spans="1:27" s="282" customFormat="1" ht="15" customHeight="1" outlineLevel="1" x14ac:dyDescent="0.25">
      <c r="A195" s="276">
        <f>ROW()</f>
        <v>195</v>
      </c>
      <c r="B195" s="705" t="s">
        <v>938</v>
      </c>
      <c r="C195" s="611" t="s">
        <v>722</v>
      </c>
      <c r="D195" s="611">
        <v>2023</v>
      </c>
      <c r="E195" s="665">
        <v>43300</v>
      </c>
      <c r="F195" s="612" t="s">
        <v>736</v>
      </c>
      <c r="G195" s="1054">
        <f t="shared" si="41"/>
        <v>0</v>
      </c>
      <c r="H195" s="1054">
        <f t="shared" si="41"/>
        <v>0</v>
      </c>
      <c r="I195" s="1054">
        <f t="shared" si="41"/>
        <v>0</v>
      </c>
      <c r="J195" s="1054">
        <f t="shared" si="41"/>
        <v>1</v>
      </c>
      <c r="K195" s="1054">
        <f t="shared" si="41"/>
        <v>1</v>
      </c>
      <c r="L195" s="1054">
        <f t="shared" si="41"/>
        <v>1</v>
      </c>
      <c r="M195" s="1054">
        <f t="shared" si="41"/>
        <v>1</v>
      </c>
      <c r="O195" s="406"/>
    </row>
    <row r="196" spans="1:27" s="282" customFormat="1" ht="15" customHeight="1" outlineLevel="1" x14ac:dyDescent="0.25">
      <c r="A196" s="276">
        <f>ROW()</f>
        <v>196</v>
      </c>
      <c r="B196" s="705" t="s">
        <v>939</v>
      </c>
      <c r="C196" s="611" t="s">
        <v>722</v>
      </c>
      <c r="D196" s="611">
        <v>2021</v>
      </c>
      <c r="E196" s="665">
        <v>42000</v>
      </c>
      <c r="F196" s="612" t="s">
        <v>736</v>
      </c>
      <c r="G196" s="1054">
        <f t="shared" si="41"/>
        <v>0</v>
      </c>
      <c r="H196" s="1054">
        <f t="shared" si="41"/>
        <v>1</v>
      </c>
      <c r="I196" s="1054">
        <f t="shared" si="41"/>
        <v>1</v>
      </c>
      <c r="J196" s="1054">
        <f t="shared" si="41"/>
        <v>1</v>
      </c>
      <c r="K196" s="1054">
        <f t="shared" si="41"/>
        <v>1</v>
      </c>
      <c r="L196" s="1054">
        <f t="shared" si="41"/>
        <v>1</v>
      </c>
      <c r="M196" s="1054">
        <f t="shared" si="41"/>
        <v>1</v>
      </c>
      <c r="O196" s="406"/>
    </row>
    <row r="197" spans="1:27" s="282" customFormat="1" ht="15" customHeight="1" outlineLevel="1" x14ac:dyDescent="0.25">
      <c r="A197" s="276">
        <f>ROW()</f>
        <v>197</v>
      </c>
      <c r="B197" s="705" t="s">
        <v>939</v>
      </c>
      <c r="C197" s="611" t="s">
        <v>722</v>
      </c>
      <c r="D197" s="611">
        <v>2023</v>
      </c>
      <c r="E197" s="665">
        <v>43300</v>
      </c>
      <c r="F197" s="612" t="s">
        <v>736</v>
      </c>
      <c r="G197" s="1054">
        <f t="shared" si="41"/>
        <v>0</v>
      </c>
      <c r="H197" s="1054">
        <f t="shared" si="41"/>
        <v>0</v>
      </c>
      <c r="I197" s="1054">
        <f t="shared" si="41"/>
        <v>0</v>
      </c>
      <c r="J197" s="1054">
        <f t="shared" si="41"/>
        <v>1</v>
      </c>
      <c r="K197" s="1054">
        <f t="shared" si="41"/>
        <v>1</v>
      </c>
      <c r="L197" s="1054">
        <f t="shared" si="41"/>
        <v>1</v>
      </c>
      <c r="M197" s="1054">
        <f t="shared" si="41"/>
        <v>1</v>
      </c>
      <c r="O197" s="406"/>
    </row>
    <row r="198" spans="1:27" s="282" customFormat="1" ht="15" customHeight="1" outlineLevel="1" x14ac:dyDescent="0.25">
      <c r="A198" s="276">
        <f>ROW()</f>
        <v>198</v>
      </c>
      <c r="B198" s="705" t="s">
        <v>939</v>
      </c>
      <c r="C198" s="611" t="s">
        <v>722</v>
      </c>
      <c r="D198" s="611">
        <v>2024</v>
      </c>
      <c r="E198" s="665">
        <v>44000</v>
      </c>
      <c r="F198" s="612" t="s">
        <v>736</v>
      </c>
      <c r="G198" s="1054">
        <f t="shared" si="41"/>
        <v>0</v>
      </c>
      <c r="H198" s="1054">
        <f t="shared" si="41"/>
        <v>0</v>
      </c>
      <c r="I198" s="1054">
        <f t="shared" si="41"/>
        <v>0</v>
      </c>
      <c r="J198" s="1054">
        <f t="shared" si="41"/>
        <v>0</v>
      </c>
      <c r="K198" s="1054">
        <f t="shared" si="41"/>
        <v>1</v>
      </c>
      <c r="L198" s="1054">
        <f t="shared" si="41"/>
        <v>1</v>
      </c>
      <c r="M198" s="1054">
        <f t="shared" si="41"/>
        <v>1</v>
      </c>
      <c r="O198" s="406"/>
    </row>
    <row r="199" spans="1:27" s="282" customFormat="1" ht="15" customHeight="1" outlineLevel="1" x14ac:dyDescent="0.25">
      <c r="A199" s="276">
        <f>ROW()</f>
        <v>199</v>
      </c>
      <c r="B199" s="603"/>
      <c r="C199" s="614"/>
      <c r="D199" s="613"/>
      <c r="E199" s="616"/>
      <c r="F199" s="615"/>
      <c r="G199" s="1054"/>
      <c r="H199" s="1054"/>
      <c r="I199" s="1054"/>
      <c r="J199" s="1054"/>
      <c r="K199" s="1054"/>
      <c r="L199" s="1054"/>
      <c r="M199" s="1054"/>
      <c r="O199" s="406"/>
    </row>
    <row r="200" spans="1:27" s="282" customFormat="1" ht="15" customHeight="1" outlineLevel="1" x14ac:dyDescent="0.25">
      <c r="A200" s="276">
        <f>ROW()</f>
        <v>200</v>
      </c>
      <c r="B200" s="705" t="s">
        <v>939</v>
      </c>
      <c r="C200" s="611" t="s">
        <v>722</v>
      </c>
      <c r="D200" s="611">
        <v>2024</v>
      </c>
      <c r="E200" s="949">
        <v>44000</v>
      </c>
      <c r="F200" s="612" t="s">
        <v>736</v>
      </c>
      <c r="G200" s="1054">
        <f t="shared" ref="G200:M204" si="42">IF($D200&lt;=G$81,1,0)</f>
        <v>0</v>
      </c>
      <c r="H200" s="1054">
        <f t="shared" si="42"/>
        <v>0</v>
      </c>
      <c r="I200" s="1054">
        <f t="shared" si="42"/>
        <v>0</v>
      </c>
      <c r="J200" s="1054">
        <f t="shared" si="42"/>
        <v>0</v>
      </c>
      <c r="K200" s="1054">
        <f t="shared" si="42"/>
        <v>1</v>
      </c>
      <c r="L200" s="1054">
        <f t="shared" si="42"/>
        <v>1</v>
      </c>
      <c r="M200" s="1054">
        <f t="shared" si="42"/>
        <v>1</v>
      </c>
      <c r="O200" s="406"/>
    </row>
    <row r="201" spans="1:27" s="282" customFormat="1" ht="15" customHeight="1" outlineLevel="1" x14ac:dyDescent="0.25">
      <c r="A201" s="276">
        <f>ROW()</f>
        <v>201</v>
      </c>
      <c r="B201" s="705" t="s">
        <v>940</v>
      </c>
      <c r="C201" s="611" t="s">
        <v>722</v>
      </c>
      <c r="D201" s="611">
        <v>2021</v>
      </c>
      <c r="E201" s="665">
        <v>42000</v>
      </c>
      <c r="F201" s="612" t="s">
        <v>736</v>
      </c>
      <c r="G201" s="1054">
        <f t="shared" si="42"/>
        <v>0</v>
      </c>
      <c r="H201" s="1054">
        <f t="shared" si="42"/>
        <v>1</v>
      </c>
      <c r="I201" s="1054">
        <f t="shared" si="42"/>
        <v>1</v>
      </c>
      <c r="J201" s="1054">
        <f t="shared" si="42"/>
        <v>1</v>
      </c>
      <c r="K201" s="1054">
        <f t="shared" si="42"/>
        <v>1</v>
      </c>
      <c r="L201" s="1054">
        <f t="shared" si="42"/>
        <v>1</v>
      </c>
      <c r="M201" s="1054">
        <f t="shared" si="42"/>
        <v>1</v>
      </c>
      <c r="O201" s="406"/>
    </row>
    <row r="202" spans="1:27" s="282" customFormat="1" ht="15" customHeight="1" outlineLevel="1" x14ac:dyDescent="0.25">
      <c r="A202" s="276">
        <f>ROW()</f>
        <v>202</v>
      </c>
      <c r="B202" s="705" t="s">
        <v>940</v>
      </c>
      <c r="C202" s="611" t="s">
        <v>722</v>
      </c>
      <c r="D202" s="611">
        <v>2022</v>
      </c>
      <c r="E202" s="665">
        <v>42630</v>
      </c>
      <c r="F202" s="612" t="s">
        <v>736</v>
      </c>
      <c r="G202" s="1054">
        <f t="shared" si="42"/>
        <v>0</v>
      </c>
      <c r="H202" s="1054">
        <f t="shared" si="42"/>
        <v>0</v>
      </c>
      <c r="I202" s="1054">
        <f t="shared" si="42"/>
        <v>1</v>
      </c>
      <c r="J202" s="1054">
        <f t="shared" si="42"/>
        <v>1</v>
      </c>
      <c r="K202" s="1054">
        <f t="shared" si="42"/>
        <v>1</v>
      </c>
      <c r="L202" s="1054">
        <f t="shared" si="42"/>
        <v>1</v>
      </c>
      <c r="M202" s="1054">
        <f t="shared" si="42"/>
        <v>1</v>
      </c>
      <c r="O202" s="406"/>
    </row>
    <row r="203" spans="1:27" s="282" customFormat="1" ht="15" customHeight="1" outlineLevel="1" x14ac:dyDescent="0.25">
      <c r="A203" s="276">
        <f>ROW()</f>
        <v>203</v>
      </c>
      <c r="B203" s="705" t="s">
        <v>940</v>
      </c>
      <c r="C203" s="611" t="s">
        <v>722</v>
      </c>
      <c r="D203" s="611">
        <v>2024</v>
      </c>
      <c r="E203" s="665">
        <v>44000</v>
      </c>
      <c r="F203" s="612" t="s">
        <v>736</v>
      </c>
      <c r="G203" s="1054">
        <f t="shared" si="42"/>
        <v>0</v>
      </c>
      <c r="H203" s="1054">
        <f t="shared" si="42"/>
        <v>0</v>
      </c>
      <c r="I203" s="1054">
        <f t="shared" si="42"/>
        <v>0</v>
      </c>
      <c r="J203" s="1054">
        <f t="shared" si="42"/>
        <v>0</v>
      </c>
      <c r="K203" s="1054">
        <f t="shared" si="42"/>
        <v>1</v>
      </c>
      <c r="L203" s="1054">
        <f t="shared" si="42"/>
        <v>1</v>
      </c>
      <c r="M203" s="1054">
        <f t="shared" si="42"/>
        <v>1</v>
      </c>
      <c r="O203" s="406"/>
    </row>
    <row r="204" spans="1:27" ht="15" customHeight="1" outlineLevel="1" x14ac:dyDescent="0.25">
      <c r="A204" s="276">
        <f>ROW()</f>
        <v>204</v>
      </c>
      <c r="B204" s="705" t="s">
        <v>940</v>
      </c>
      <c r="C204" s="611" t="s">
        <v>722</v>
      </c>
      <c r="D204" s="611">
        <v>2024</v>
      </c>
      <c r="E204" s="665">
        <v>44000</v>
      </c>
      <c r="F204" s="612" t="s">
        <v>736</v>
      </c>
      <c r="G204" s="1054">
        <f t="shared" si="42"/>
        <v>0</v>
      </c>
      <c r="H204" s="1054">
        <f t="shared" si="42"/>
        <v>0</v>
      </c>
      <c r="I204" s="1054">
        <f t="shared" si="42"/>
        <v>0</v>
      </c>
      <c r="J204" s="1054">
        <f t="shared" si="42"/>
        <v>0</v>
      </c>
      <c r="K204" s="1054">
        <f t="shared" si="42"/>
        <v>1</v>
      </c>
      <c r="L204" s="1054">
        <f t="shared" si="42"/>
        <v>1</v>
      </c>
      <c r="M204" s="1054">
        <f t="shared" si="42"/>
        <v>1</v>
      </c>
      <c r="O204" s="406"/>
      <c r="R204" s="282"/>
      <c r="S204" s="282"/>
      <c r="T204" s="282"/>
      <c r="U204" s="282"/>
      <c r="V204" s="282"/>
      <c r="W204" s="282"/>
      <c r="X204" s="282"/>
      <c r="Y204" s="282"/>
      <c r="Z204" s="282"/>
      <c r="AA204" s="282"/>
    </row>
    <row r="205" spans="1:27" ht="15" customHeight="1" outlineLevel="1" x14ac:dyDescent="0.25">
      <c r="A205" s="276">
        <f>ROW()</f>
        <v>205</v>
      </c>
      <c r="B205" s="603"/>
      <c r="C205" s="614"/>
      <c r="D205" s="722"/>
      <c r="E205" s="616"/>
      <c r="F205" s="615"/>
      <c r="G205" s="1054"/>
      <c r="H205" s="1054"/>
      <c r="I205" s="1054"/>
      <c r="J205" s="1054"/>
      <c r="K205" s="1054"/>
      <c r="L205" s="1054"/>
      <c r="M205" s="1054"/>
      <c r="O205" s="406"/>
      <c r="R205" s="282"/>
      <c r="S205" s="282"/>
      <c r="T205" s="282"/>
      <c r="U205" s="282"/>
      <c r="V205" s="282"/>
      <c r="W205" s="282"/>
      <c r="X205" s="282"/>
      <c r="Y205" s="282"/>
      <c r="Z205" s="282"/>
      <c r="AA205" s="282"/>
    </row>
    <row r="206" spans="1:27" s="282" customFormat="1" ht="15" customHeight="1" outlineLevel="1" x14ac:dyDescent="0.25">
      <c r="A206" s="276">
        <f>ROW()</f>
        <v>206</v>
      </c>
      <c r="B206" s="705" t="s">
        <v>941</v>
      </c>
      <c r="C206" s="611" t="s">
        <v>722</v>
      </c>
      <c r="D206" s="611">
        <v>2022</v>
      </c>
      <c r="E206" s="949">
        <v>42630</v>
      </c>
      <c r="F206" s="612" t="s">
        <v>736</v>
      </c>
      <c r="G206" s="1054">
        <f t="shared" ref="G206:M210" si="43">IF($D206&lt;=G$81,1,0)</f>
        <v>0</v>
      </c>
      <c r="H206" s="1054">
        <f t="shared" si="43"/>
        <v>0</v>
      </c>
      <c r="I206" s="1054">
        <f t="shared" si="43"/>
        <v>1</v>
      </c>
      <c r="J206" s="1054">
        <f t="shared" si="43"/>
        <v>1</v>
      </c>
      <c r="K206" s="1054">
        <f t="shared" si="43"/>
        <v>1</v>
      </c>
      <c r="L206" s="1054">
        <f t="shared" si="43"/>
        <v>1</v>
      </c>
      <c r="M206" s="1054">
        <f t="shared" si="43"/>
        <v>1</v>
      </c>
      <c r="O206" s="406"/>
    </row>
    <row r="207" spans="1:27" s="282" customFormat="1" ht="15" customHeight="1" outlineLevel="1" x14ac:dyDescent="0.25">
      <c r="A207" s="276">
        <f>ROW()</f>
        <v>207</v>
      </c>
      <c r="B207" s="705" t="s">
        <v>941</v>
      </c>
      <c r="C207" s="611" t="s">
        <v>722</v>
      </c>
      <c r="D207" s="611">
        <v>2023</v>
      </c>
      <c r="E207" s="665">
        <v>43300</v>
      </c>
      <c r="F207" s="612" t="s">
        <v>736</v>
      </c>
      <c r="G207" s="1054">
        <f t="shared" si="43"/>
        <v>0</v>
      </c>
      <c r="H207" s="1054">
        <f t="shared" si="43"/>
        <v>0</v>
      </c>
      <c r="I207" s="1054">
        <f t="shared" si="43"/>
        <v>0</v>
      </c>
      <c r="J207" s="1054">
        <f t="shared" si="43"/>
        <v>1</v>
      </c>
      <c r="K207" s="1054">
        <f t="shared" si="43"/>
        <v>1</v>
      </c>
      <c r="L207" s="1054">
        <f t="shared" si="43"/>
        <v>1</v>
      </c>
      <c r="M207" s="1054">
        <f t="shared" si="43"/>
        <v>1</v>
      </c>
      <c r="O207" s="406"/>
    </row>
    <row r="208" spans="1:27" s="282" customFormat="1" ht="15" customHeight="1" outlineLevel="1" x14ac:dyDescent="0.25">
      <c r="A208" s="276">
        <f>ROW()</f>
        <v>208</v>
      </c>
      <c r="B208" s="705" t="s">
        <v>941</v>
      </c>
      <c r="C208" s="611" t="s">
        <v>722</v>
      </c>
      <c r="D208" s="611">
        <v>2025</v>
      </c>
      <c r="E208" s="665">
        <v>44700</v>
      </c>
      <c r="F208" s="612" t="s">
        <v>736</v>
      </c>
      <c r="G208" s="1054">
        <f t="shared" si="43"/>
        <v>0</v>
      </c>
      <c r="H208" s="1054">
        <f t="shared" si="43"/>
        <v>0</v>
      </c>
      <c r="I208" s="1054">
        <f t="shared" si="43"/>
        <v>0</v>
      </c>
      <c r="J208" s="1054">
        <f t="shared" si="43"/>
        <v>0</v>
      </c>
      <c r="K208" s="1054">
        <f t="shared" si="43"/>
        <v>0</v>
      </c>
      <c r="L208" s="1054">
        <f t="shared" si="43"/>
        <v>1</v>
      </c>
      <c r="M208" s="1054">
        <f t="shared" si="43"/>
        <v>1</v>
      </c>
      <c r="O208" s="406"/>
    </row>
    <row r="209" spans="1:27" s="282" customFormat="1" ht="15" customHeight="1" outlineLevel="1" x14ac:dyDescent="0.25">
      <c r="A209" s="276">
        <f>ROW()</f>
        <v>209</v>
      </c>
      <c r="B209" s="705" t="s">
        <v>941</v>
      </c>
      <c r="C209" s="611" t="s">
        <v>722</v>
      </c>
      <c r="D209" s="611">
        <v>2025</v>
      </c>
      <c r="E209" s="665">
        <v>44700</v>
      </c>
      <c r="F209" s="612" t="s">
        <v>736</v>
      </c>
      <c r="G209" s="1054">
        <f t="shared" si="43"/>
        <v>0</v>
      </c>
      <c r="H209" s="1054">
        <f t="shared" si="43"/>
        <v>0</v>
      </c>
      <c r="I209" s="1054">
        <f t="shared" si="43"/>
        <v>0</v>
      </c>
      <c r="J209" s="1054">
        <f t="shared" si="43"/>
        <v>0</v>
      </c>
      <c r="K209" s="1054">
        <f t="shared" si="43"/>
        <v>0</v>
      </c>
      <c r="L209" s="1054">
        <f t="shared" si="43"/>
        <v>1</v>
      </c>
      <c r="M209" s="1054">
        <f t="shared" si="43"/>
        <v>1</v>
      </c>
      <c r="O209" s="406"/>
    </row>
    <row r="210" spans="1:27" s="282" customFormat="1" ht="15" customHeight="1" outlineLevel="1" x14ac:dyDescent="0.25">
      <c r="A210" s="276">
        <f>ROW()</f>
        <v>210</v>
      </c>
      <c r="B210" s="705" t="s">
        <v>942</v>
      </c>
      <c r="C210" s="611" t="s">
        <v>722</v>
      </c>
      <c r="D210" s="611">
        <v>2023</v>
      </c>
      <c r="E210" s="665">
        <v>43300</v>
      </c>
      <c r="F210" s="612" t="s">
        <v>736</v>
      </c>
      <c r="G210" s="1054">
        <f t="shared" si="43"/>
        <v>0</v>
      </c>
      <c r="H210" s="1054">
        <f t="shared" si="43"/>
        <v>0</v>
      </c>
      <c r="I210" s="1054">
        <f t="shared" si="43"/>
        <v>0</v>
      </c>
      <c r="J210" s="1054">
        <f t="shared" si="43"/>
        <v>1</v>
      </c>
      <c r="K210" s="1054">
        <f t="shared" si="43"/>
        <v>1</v>
      </c>
      <c r="L210" s="1054">
        <f t="shared" si="43"/>
        <v>1</v>
      </c>
      <c r="M210" s="1054">
        <f t="shared" si="43"/>
        <v>1</v>
      </c>
      <c r="O210" s="406"/>
    </row>
    <row r="211" spans="1:27" s="282" customFormat="1" ht="15" customHeight="1" outlineLevel="1" x14ac:dyDescent="0.25">
      <c r="A211" s="276">
        <f>ROW()</f>
        <v>211</v>
      </c>
      <c r="B211" s="603"/>
      <c r="C211" s="592"/>
      <c r="D211" s="613"/>
      <c r="E211" s="616"/>
      <c r="F211" s="615"/>
      <c r="G211" s="1054"/>
      <c r="H211" s="1054"/>
      <c r="I211" s="1054"/>
      <c r="J211" s="1054"/>
      <c r="K211" s="1054"/>
      <c r="L211" s="1054"/>
      <c r="M211" s="1054"/>
      <c r="O211" s="406"/>
    </row>
    <row r="212" spans="1:27" s="282" customFormat="1" ht="15" customHeight="1" outlineLevel="1" x14ac:dyDescent="0.25">
      <c r="A212" s="276">
        <f>ROW()</f>
        <v>212</v>
      </c>
      <c r="B212" s="705" t="s">
        <v>942</v>
      </c>
      <c r="C212" s="611" t="s">
        <v>722</v>
      </c>
      <c r="D212" s="611">
        <v>2024</v>
      </c>
      <c r="E212" s="949">
        <v>44000</v>
      </c>
      <c r="F212" s="612" t="s">
        <v>736</v>
      </c>
      <c r="G212" s="1054">
        <f t="shared" ref="G212:M216" si="44">IF($D212&lt;=G$81,1,0)</f>
        <v>0</v>
      </c>
      <c r="H212" s="1054">
        <f t="shared" si="44"/>
        <v>0</v>
      </c>
      <c r="I212" s="1054">
        <f t="shared" si="44"/>
        <v>0</v>
      </c>
      <c r="J212" s="1054">
        <f t="shared" si="44"/>
        <v>0</v>
      </c>
      <c r="K212" s="1054">
        <f t="shared" si="44"/>
        <v>1</v>
      </c>
      <c r="L212" s="1054">
        <f t="shared" si="44"/>
        <v>1</v>
      </c>
      <c r="M212" s="1054">
        <f t="shared" si="44"/>
        <v>1</v>
      </c>
      <c r="O212" s="406"/>
    </row>
    <row r="213" spans="1:27" s="282" customFormat="1" ht="15" customHeight="1" outlineLevel="1" x14ac:dyDescent="0.25">
      <c r="A213" s="276">
        <f>ROW()</f>
        <v>213</v>
      </c>
      <c r="B213" s="705" t="s">
        <v>942</v>
      </c>
      <c r="C213" s="611" t="s">
        <v>722</v>
      </c>
      <c r="D213" s="611">
        <v>2026</v>
      </c>
      <c r="E213" s="665">
        <v>45350</v>
      </c>
      <c r="F213" s="612" t="s">
        <v>736</v>
      </c>
      <c r="G213" s="1054">
        <f t="shared" si="44"/>
        <v>0</v>
      </c>
      <c r="H213" s="1054">
        <f t="shared" si="44"/>
        <v>0</v>
      </c>
      <c r="I213" s="1054">
        <f t="shared" si="44"/>
        <v>0</v>
      </c>
      <c r="J213" s="1054">
        <f t="shared" si="44"/>
        <v>0</v>
      </c>
      <c r="K213" s="1054">
        <f t="shared" si="44"/>
        <v>0</v>
      </c>
      <c r="L213" s="1054">
        <f t="shared" si="44"/>
        <v>0</v>
      </c>
      <c r="M213" s="1054">
        <f t="shared" si="44"/>
        <v>1</v>
      </c>
      <c r="O213" s="406"/>
    </row>
    <row r="214" spans="1:27" s="282" customFormat="1" ht="15" customHeight="1" outlineLevel="1" x14ac:dyDescent="0.25">
      <c r="A214" s="276">
        <f>ROW()</f>
        <v>214</v>
      </c>
      <c r="B214" s="705" t="s">
        <v>942</v>
      </c>
      <c r="C214" s="611" t="s">
        <v>722</v>
      </c>
      <c r="D214" s="611">
        <v>2026</v>
      </c>
      <c r="E214" s="665">
        <v>45350</v>
      </c>
      <c r="F214" s="612" t="s">
        <v>736</v>
      </c>
      <c r="G214" s="1054">
        <f t="shared" si="44"/>
        <v>0</v>
      </c>
      <c r="H214" s="1054">
        <f t="shared" si="44"/>
        <v>0</v>
      </c>
      <c r="I214" s="1054">
        <f t="shared" si="44"/>
        <v>0</v>
      </c>
      <c r="J214" s="1054">
        <f t="shared" si="44"/>
        <v>0</v>
      </c>
      <c r="K214" s="1054">
        <f t="shared" si="44"/>
        <v>0</v>
      </c>
      <c r="L214" s="1054">
        <f t="shared" si="44"/>
        <v>0</v>
      </c>
      <c r="M214" s="1054">
        <f t="shared" si="44"/>
        <v>1</v>
      </c>
      <c r="O214" s="406"/>
    </row>
    <row r="215" spans="1:27" s="282" customFormat="1" ht="15" customHeight="1" outlineLevel="1" x14ac:dyDescent="0.25">
      <c r="A215" s="276">
        <f>ROW()</f>
        <v>215</v>
      </c>
      <c r="B215" s="705" t="s">
        <v>161</v>
      </c>
      <c r="C215" s="611" t="s">
        <v>722</v>
      </c>
      <c r="D215" s="611">
        <v>2022</v>
      </c>
      <c r="E215" s="665">
        <v>42630</v>
      </c>
      <c r="F215" s="612" t="s">
        <v>973</v>
      </c>
      <c r="G215" s="1054">
        <f t="shared" si="44"/>
        <v>0</v>
      </c>
      <c r="H215" s="1054">
        <f t="shared" si="44"/>
        <v>0</v>
      </c>
      <c r="I215" s="1054">
        <f t="shared" si="44"/>
        <v>1</v>
      </c>
      <c r="J215" s="1054">
        <f t="shared" si="44"/>
        <v>1</v>
      </c>
      <c r="K215" s="1054">
        <f t="shared" si="44"/>
        <v>1</v>
      </c>
      <c r="L215" s="1054">
        <f t="shared" si="44"/>
        <v>1</v>
      </c>
      <c r="M215" s="1054">
        <f t="shared" si="44"/>
        <v>1</v>
      </c>
      <c r="O215" s="406"/>
    </row>
    <row r="216" spans="1:27" ht="15" customHeight="1" outlineLevel="1" x14ac:dyDescent="0.25">
      <c r="A216" s="276">
        <f>ROW()</f>
        <v>216</v>
      </c>
      <c r="B216" s="705" t="s">
        <v>161</v>
      </c>
      <c r="C216" s="611" t="s">
        <v>722</v>
      </c>
      <c r="D216" s="611">
        <v>2022</v>
      </c>
      <c r="E216" s="665">
        <v>42630</v>
      </c>
      <c r="F216" s="612" t="s">
        <v>973</v>
      </c>
      <c r="G216" s="1054">
        <f t="shared" si="44"/>
        <v>0</v>
      </c>
      <c r="H216" s="1054">
        <f t="shared" si="44"/>
        <v>0</v>
      </c>
      <c r="I216" s="1054">
        <f t="shared" si="44"/>
        <v>1</v>
      </c>
      <c r="J216" s="1054">
        <f t="shared" si="44"/>
        <v>1</v>
      </c>
      <c r="K216" s="1054">
        <f t="shared" si="44"/>
        <v>1</v>
      </c>
      <c r="L216" s="1054">
        <f t="shared" si="44"/>
        <v>1</v>
      </c>
      <c r="M216" s="1054">
        <f t="shared" si="44"/>
        <v>1</v>
      </c>
      <c r="O216" s="406"/>
      <c r="R216" s="282"/>
      <c r="S216" s="282"/>
      <c r="T216" s="282"/>
      <c r="U216" s="282"/>
      <c r="V216" s="282"/>
      <c r="W216" s="282"/>
      <c r="X216" s="282"/>
      <c r="Y216" s="282"/>
      <c r="Z216" s="282"/>
      <c r="AA216" s="282"/>
    </row>
    <row r="217" spans="1:27" outlineLevel="1" x14ac:dyDescent="0.25">
      <c r="A217" s="276">
        <f>ROW()</f>
        <v>217</v>
      </c>
      <c r="B217" s="603"/>
      <c r="C217" s="614"/>
      <c r="D217" s="722"/>
      <c r="E217" s="616"/>
      <c r="F217" s="615"/>
      <c r="G217" s="1054"/>
      <c r="H217" s="1054"/>
      <c r="I217" s="1054"/>
      <c r="J217" s="1054"/>
      <c r="K217" s="1054"/>
      <c r="L217" s="1054"/>
      <c r="M217" s="1054"/>
      <c r="O217" s="406"/>
      <c r="R217" s="282"/>
      <c r="S217" s="282"/>
      <c r="T217" s="282"/>
      <c r="U217" s="282"/>
      <c r="V217" s="282"/>
      <c r="W217" s="282"/>
      <c r="X217" s="282"/>
      <c r="Y217" s="282"/>
      <c r="Z217" s="282"/>
      <c r="AA217" s="282"/>
    </row>
    <row r="218" spans="1:27" s="282" customFormat="1" outlineLevel="1" x14ac:dyDescent="0.25">
      <c r="A218" s="276">
        <f>ROW()</f>
        <v>218</v>
      </c>
      <c r="B218" s="705" t="s">
        <v>161</v>
      </c>
      <c r="C218" s="611" t="s">
        <v>722</v>
      </c>
      <c r="D218" s="611">
        <v>2022</v>
      </c>
      <c r="E218" s="949">
        <v>42630</v>
      </c>
      <c r="F218" s="612" t="s">
        <v>973</v>
      </c>
      <c r="G218" s="1054">
        <f t="shared" ref="G218:M223" si="45">IF($D218&lt;=G$81,1,0)</f>
        <v>0</v>
      </c>
      <c r="H218" s="1054">
        <f t="shared" si="45"/>
        <v>0</v>
      </c>
      <c r="I218" s="1054">
        <f t="shared" si="45"/>
        <v>1</v>
      </c>
      <c r="J218" s="1054">
        <f t="shared" si="45"/>
        <v>1</v>
      </c>
      <c r="K218" s="1054">
        <f t="shared" si="45"/>
        <v>1</v>
      </c>
      <c r="L218" s="1054">
        <f t="shared" si="45"/>
        <v>1</v>
      </c>
      <c r="M218" s="1054">
        <f t="shared" si="45"/>
        <v>1</v>
      </c>
      <c r="O218" s="406"/>
    </row>
    <row r="219" spans="1:27" s="282" customFormat="1" outlineLevel="1" x14ac:dyDescent="0.25">
      <c r="A219" s="276">
        <f>ROW()</f>
        <v>219</v>
      </c>
      <c r="B219" s="705" t="s">
        <v>161</v>
      </c>
      <c r="C219" s="611" t="s">
        <v>722</v>
      </c>
      <c r="D219" s="611">
        <v>2023</v>
      </c>
      <c r="E219" s="665">
        <v>43300</v>
      </c>
      <c r="F219" s="612" t="s">
        <v>973</v>
      </c>
      <c r="G219" s="1054">
        <f t="shared" si="45"/>
        <v>0</v>
      </c>
      <c r="H219" s="1054">
        <f t="shared" si="45"/>
        <v>0</v>
      </c>
      <c r="I219" s="1054">
        <f t="shared" si="45"/>
        <v>0</v>
      </c>
      <c r="J219" s="1054">
        <f t="shared" si="45"/>
        <v>1</v>
      </c>
      <c r="K219" s="1054">
        <f t="shared" si="45"/>
        <v>1</v>
      </c>
      <c r="L219" s="1054">
        <f t="shared" si="45"/>
        <v>1</v>
      </c>
      <c r="M219" s="1054">
        <f t="shared" si="45"/>
        <v>1</v>
      </c>
      <c r="O219" s="406"/>
    </row>
    <row r="220" spans="1:27" s="282" customFormat="1" outlineLevel="1" x14ac:dyDescent="0.25">
      <c r="A220" s="276">
        <f>ROW()</f>
        <v>220</v>
      </c>
      <c r="B220" s="705" t="s">
        <v>161</v>
      </c>
      <c r="C220" s="611" t="s">
        <v>722</v>
      </c>
      <c r="D220" s="611">
        <v>2024</v>
      </c>
      <c r="E220" s="665">
        <v>44000</v>
      </c>
      <c r="F220" s="612" t="s">
        <v>973</v>
      </c>
      <c r="G220" s="1054">
        <f t="shared" si="45"/>
        <v>0</v>
      </c>
      <c r="H220" s="1054">
        <f t="shared" si="45"/>
        <v>0</v>
      </c>
      <c r="I220" s="1054">
        <f t="shared" si="45"/>
        <v>0</v>
      </c>
      <c r="J220" s="1054">
        <f t="shared" si="45"/>
        <v>0</v>
      </c>
      <c r="K220" s="1054">
        <f t="shared" si="45"/>
        <v>1</v>
      </c>
      <c r="L220" s="1054">
        <f t="shared" si="45"/>
        <v>1</v>
      </c>
      <c r="M220" s="1054">
        <f t="shared" si="45"/>
        <v>1</v>
      </c>
      <c r="O220" s="406"/>
    </row>
    <row r="221" spans="1:27" s="282" customFormat="1" outlineLevel="1" x14ac:dyDescent="0.25">
      <c r="A221" s="276">
        <f>ROW()</f>
        <v>221</v>
      </c>
      <c r="B221" s="705" t="s">
        <v>161</v>
      </c>
      <c r="C221" s="611" t="s">
        <v>722</v>
      </c>
      <c r="D221" s="611">
        <v>2025</v>
      </c>
      <c r="E221" s="665">
        <v>44700</v>
      </c>
      <c r="F221" s="612" t="s">
        <v>973</v>
      </c>
      <c r="G221" s="1054">
        <f t="shared" si="45"/>
        <v>0</v>
      </c>
      <c r="H221" s="1054">
        <f t="shared" si="45"/>
        <v>0</v>
      </c>
      <c r="I221" s="1054">
        <f t="shared" si="45"/>
        <v>0</v>
      </c>
      <c r="J221" s="1054">
        <f t="shared" si="45"/>
        <v>0</v>
      </c>
      <c r="K221" s="1054">
        <f t="shared" si="45"/>
        <v>0</v>
      </c>
      <c r="L221" s="1054">
        <f t="shared" si="45"/>
        <v>1</v>
      </c>
      <c r="M221" s="1054">
        <f t="shared" si="45"/>
        <v>1</v>
      </c>
      <c r="O221" s="406"/>
    </row>
    <row r="222" spans="1:27" s="282" customFormat="1" outlineLevel="1" x14ac:dyDescent="0.25">
      <c r="A222" s="276">
        <f>ROW()</f>
        <v>222</v>
      </c>
      <c r="B222" s="705" t="s">
        <v>161</v>
      </c>
      <c r="C222" s="611" t="s">
        <v>722</v>
      </c>
      <c r="D222" s="611">
        <v>2026</v>
      </c>
      <c r="E222" s="665">
        <v>45350</v>
      </c>
      <c r="F222" s="612" t="s">
        <v>973</v>
      </c>
      <c r="G222" s="1054">
        <f t="shared" si="45"/>
        <v>0</v>
      </c>
      <c r="H222" s="1054">
        <f t="shared" si="45"/>
        <v>0</v>
      </c>
      <c r="I222" s="1054">
        <f t="shared" si="45"/>
        <v>0</v>
      </c>
      <c r="J222" s="1054">
        <f t="shared" si="45"/>
        <v>0</v>
      </c>
      <c r="K222" s="1054">
        <f t="shared" si="45"/>
        <v>0</v>
      </c>
      <c r="L222" s="1054">
        <f t="shared" si="45"/>
        <v>0</v>
      </c>
      <c r="M222" s="1054">
        <f t="shared" si="45"/>
        <v>1</v>
      </c>
      <c r="O222" s="406"/>
    </row>
    <row r="223" spans="1:27" s="282" customFormat="1" outlineLevel="1" x14ac:dyDescent="0.25">
      <c r="A223" s="276">
        <f>ROW()</f>
        <v>223</v>
      </c>
      <c r="B223" s="822" t="s">
        <v>161</v>
      </c>
      <c r="C223" s="630" t="s">
        <v>722</v>
      </c>
      <c r="D223" s="630" t="s">
        <v>722</v>
      </c>
      <c r="E223" s="823"/>
      <c r="F223" s="823" t="s">
        <v>973</v>
      </c>
      <c r="G223" s="1054">
        <f t="shared" si="45"/>
        <v>0</v>
      </c>
      <c r="H223" s="1054">
        <f t="shared" si="45"/>
        <v>0</v>
      </c>
      <c r="I223" s="1054">
        <f t="shared" si="45"/>
        <v>0</v>
      </c>
      <c r="J223" s="1054">
        <f t="shared" si="45"/>
        <v>0</v>
      </c>
      <c r="K223" s="1054">
        <f t="shared" si="45"/>
        <v>0</v>
      </c>
      <c r="L223" s="1054">
        <f t="shared" si="45"/>
        <v>0</v>
      </c>
      <c r="M223" s="1054">
        <f t="shared" si="45"/>
        <v>0</v>
      </c>
      <c r="O223" s="406"/>
    </row>
    <row r="224" spans="1:27" s="282" customFormat="1" outlineLevel="1" x14ac:dyDescent="0.25">
      <c r="A224" s="276">
        <f>ROW()</f>
        <v>224</v>
      </c>
      <c r="B224" s="285"/>
      <c r="C224" s="419"/>
      <c r="D224" s="419"/>
      <c r="E224" s="420"/>
      <c r="F224" s="592"/>
      <c r="G224" s="1341"/>
      <c r="H224" s="1341"/>
      <c r="I224" s="1341"/>
      <c r="J224" s="1341"/>
      <c r="K224" s="1054"/>
      <c r="L224" s="1054"/>
      <c r="M224" s="1054"/>
      <c r="O224" s="406"/>
      <c r="P224" s="406"/>
      <c r="Q224" s="406"/>
    </row>
    <row r="225" spans="1:15" s="282" customFormat="1" outlineLevel="1" x14ac:dyDescent="0.25">
      <c r="A225" s="276">
        <f>ROW()</f>
        <v>225</v>
      </c>
      <c r="B225" s="705" t="s">
        <v>942</v>
      </c>
      <c r="C225" s="611" t="s">
        <v>722</v>
      </c>
      <c r="D225" s="611" t="s">
        <v>722</v>
      </c>
      <c r="E225" s="949">
        <v>0</v>
      </c>
      <c r="F225" s="612" t="s">
        <v>736</v>
      </c>
      <c r="G225" s="1054">
        <f t="shared" ref="G225:M240" si="46">IF($D225&lt;=G$81,1,0)</f>
        <v>0</v>
      </c>
      <c r="H225" s="1054">
        <f t="shared" si="46"/>
        <v>0</v>
      </c>
      <c r="I225" s="1054">
        <f t="shared" si="46"/>
        <v>0</v>
      </c>
      <c r="J225" s="1054">
        <f t="shared" si="46"/>
        <v>0</v>
      </c>
      <c r="K225" s="1054">
        <f t="shared" si="46"/>
        <v>0</v>
      </c>
      <c r="L225" s="1054">
        <f t="shared" si="46"/>
        <v>0</v>
      </c>
      <c r="M225" s="1054">
        <f t="shared" si="46"/>
        <v>0</v>
      </c>
      <c r="O225" s="406"/>
    </row>
    <row r="226" spans="1:15" s="282" customFormat="1" outlineLevel="1" x14ac:dyDescent="0.25">
      <c r="A226" s="276">
        <f>ROW()</f>
        <v>226</v>
      </c>
      <c r="B226" s="705" t="s">
        <v>942</v>
      </c>
      <c r="C226" s="611" t="s">
        <v>722</v>
      </c>
      <c r="D226" s="611" t="s">
        <v>722</v>
      </c>
      <c r="E226" s="665">
        <v>0</v>
      </c>
      <c r="F226" s="612" t="s">
        <v>736</v>
      </c>
      <c r="G226" s="1054">
        <f t="shared" si="46"/>
        <v>0</v>
      </c>
      <c r="H226" s="1054">
        <f t="shared" si="46"/>
        <v>0</v>
      </c>
      <c r="I226" s="1054">
        <f t="shared" si="46"/>
        <v>0</v>
      </c>
      <c r="J226" s="1054">
        <f t="shared" si="46"/>
        <v>0</v>
      </c>
      <c r="K226" s="1054">
        <f t="shared" si="46"/>
        <v>0</v>
      </c>
      <c r="L226" s="1054">
        <f t="shared" si="46"/>
        <v>0</v>
      </c>
      <c r="M226" s="1054">
        <f t="shared" si="46"/>
        <v>0</v>
      </c>
      <c r="O226" s="406"/>
    </row>
    <row r="227" spans="1:15" s="282" customFormat="1" outlineLevel="1" x14ac:dyDescent="0.25">
      <c r="A227" s="276">
        <f>ROW()</f>
        <v>227</v>
      </c>
      <c r="B227" s="705" t="s">
        <v>942</v>
      </c>
      <c r="C227" s="611" t="s">
        <v>722</v>
      </c>
      <c r="D227" s="611" t="s">
        <v>722</v>
      </c>
      <c r="E227" s="665">
        <v>0</v>
      </c>
      <c r="F227" s="612" t="s">
        <v>736</v>
      </c>
      <c r="G227" s="1054">
        <f t="shared" si="46"/>
        <v>0</v>
      </c>
      <c r="H227" s="1054">
        <f t="shared" si="46"/>
        <v>0</v>
      </c>
      <c r="I227" s="1054">
        <f t="shared" si="46"/>
        <v>0</v>
      </c>
      <c r="J227" s="1054">
        <f t="shared" si="46"/>
        <v>0</v>
      </c>
      <c r="K227" s="1054">
        <f t="shared" si="46"/>
        <v>0</v>
      </c>
      <c r="L227" s="1054">
        <f t="shared" si="46"/>
        <v>0</v>
      </c>
      <c r="M227" s="1054">
        <f t="shared" si="46"/>
        <v>0</v>
      </c>
      <c r="O227" s="406"/>
    </row>
    <row r="228" spans="1:15" s="282" customFormat="1" outlineLevel="1" x14ac:dyDescent="0.25">
      <c r="A228" s="276">
        <f>ROW()</f>
        <v>228</v>
      </c>
      <c r="B228" s="705" t="s">
        <v>942</v>
      </c>
      <c r="C228" s="611" t="s">
        <v>722</v>
      </c>
      <c r="D228" s="611" t="s">
        <v>722</v>
      </c>
      <c r="E228" s="665">
        <v>0</v>
      </c>
      <c r="F228" s="612" t="s">
        <v>736</v>
      </c>
      <c r="G228" s="1054">
        <f t="shared" si="46"/>
        <v>0</v>
      </c>
      <c r="H228" s="1054">
        <f t="shared" si="46"/>
        <v>0</v>
      </c>
      <c r="I228" s="1054">
        <f t="shared" si="46"/>
        <v>0</v>
      </c>
      <c r="J228" s="1054">
        <f t="shared" si="46"/>
        <v>0</v>
      </c>
      <c r="K228" s="1054">
        <f t="shared" si="46"/>
        <v>0</v>
      </c>
      <c r="L228" s="1054">
        <f t="shared" si="46"/>
        <v>0</v>
      </c>
      <c r="M228" s="1054">
        <f t="shared" si="46"/>
        <v>0</v>
      </c>
      <c r="O228" s="406"/>
    </row>
    <row r="229" spans="1:15" s="282" customFormat="1" outlineLevel="1" x14ac:dyDescent="0.25">
      <c r="A229" s="276">
        <f>ROW()</f>
        <v>229</v>
      </c>
      <c r="B229" s="705"/>
      <c r="C229" s="611" t="s">
        <v>722</v>
      </c>
      <c r="D229" s="611" t="s">
        <v>722</v>
      </c>
      <c r="E229" s="665">
        <v>0</v>
      </c>
      <c r="F229" s="612" t="s">
        <v>736</v>
      </c>
      <c r="G229" s="1054">
        <f t="shared" si="46"/>
        <v>0</v>
      </c>
      <c r="H229" s="1054">
        <f t="shared" si="46"/>
        <v>0</v>
      </c>
      <c r="I229" s="1054">
        <f t="shared" si="46"/>
        <v>0</v>
      </c>
      <c r="J229" s="1054">
        <f t="shared" si="46"/>
        <v>0</v>
      </c>
      <c r="K229" s="1054">
        <f t="shared" si="46"/>
        <v>0</v>
      </c>
      <c r="L229" s="1054">
        <f t="shared" si="46"/>
        <v>0</v>
      </c>
      <c r="M229" s="1054">
        <f t="shared" si="46"/>
        <v>0</v>
      </c>
      <c r="O229" s="406"/>
    </row>
    <row r="230" spans="1:15" s="282" customFormat="1" outlineLevel="1" x14ac:dyDescent="0.25">
      <c r="A230" s="276">
        <f>ROW()</f>
        <v>230</v>
      </c>
      <c r="B230" s="221"/>
      <c r="C230" s="613"/>
      <c r="D230" s="613"/>
      <c r="E230" s="616"/>
      <c r="F230" s="615"/>
      <c r="G230" s="1290"/>
      <c r="H230" s="1054"/>
      <c r="I230" s="1054"/>
      <c r="J230" s="1054"/>
      <c r="K230" s="1054"/>
      <c r="L230" s="1054"/>
      <c r="M230" s="1054"/>
      <c r="O230" s="406"/>
    </row>
    <row r="231" spans="1:15" s="282" customFormat="1" outlineLevel="1" x14ac:dyDescent="0.25">
      <c r="A231" s="276">
        <f>ROW()</f>
        <v>231</v>
      </c>
      <c r="B231" s="705" t="s">
        <v>943</v>
      </c>
      <c r="C231" s="611" t="s">
        <v>722</v>
      </c>
      <c r="D231" s="611" t="s">
        <v>722</v>
      </c>
      <c r="E231" s="949">
        <v>0</v>
      </c>
      <c r="F231" s="612" t="s">
        <v>736</v>
      </c>
      <c r="G231" s="1054">
        <f t="shared" si="46"/>
        <v>0</v>
      </c>
      <c r="H231" s="1054">
        <f t="shared" si="46"/>
        <v>0</v>
      </c>
      <c r="I231" s="1054">
        <f t="shared" si="46"/>
        <v>0</v>
      </c>
      <c r="J231" s="1054">
        <f t="shared" si="46"/>
        <v>0</v>
      </c>
      <c r="K231" s="1054">
        <f t="shared" si="46"/>
        <v>0</v>
      </c>
      <c r="L231" s="1054">
        <f t="shared" si="46"/>
        <v>0</v>
      </c>
      <c r="M231" s="1054">
        <f t="shared" si="46"/>
        <v>0</v>
      </c>
      <c r="O231" s="406"/>
    </row>
    <row r="232" spans="1:15" s="282" customFormat="1" outlineLevel="1" x14ac:dyDescent="0.25">
      <c r="A232" s="276">
        <f>ROW()</f>
        <v>232</v>
      </c>
      <c r="B232" s="705" t="s">
        <v>943</v>
      </c>
      <c r="C232" s="611" t="s">
        <v>722</v>
      </c>
      <c r="D232" s="611" t="s">
        <v>722</v>
      </c>
      <c r="E232" s="665">
        <v>0</v>
      </c>
      <c r="F232" s="612" t="s">
        <v>736</v>
      </c>
      <c r="G232" s="1054">
        <f t="shared" si="46"/>
        <v>0</v>
      </c>
      <c r="H232" s="1054">
        <f t="shared" si="46"/>
        <v>0</v>
      </c>
      <c r="I232" s="1054">
        <f t="shared" si="46"/>
        <v>0</v>
      </c>
      <c r="J232" s="1054">
        <f t="shared" si="46"/>
        <v>0</v>
      </c>
      <c r="K232" s="1054">
        <f t="shared" si="46"/>
        <v>0</v>
      </c>
      <c r="L232" s="1054">
        <f t="shared" si="46"/>
        <v>0</v>
      </c>
      <c r="M232" s="1054">
        <f t="shared" si="46"/>
        <v>0</v>
      </c>
      <c r="O232" s="406"/>
    </row>
    <row r="233" spans="1:15" s="282" customFormat="1" outlineLevel="1" x14ac:dyDescent="0.25">
      <c r="A233" s="276">
        <f>ROW()</f>
        <v>233</v>
      </c>
      <c r="B233" s="705" t="s">
        <v>161</v>
      </c>
      <c r="C233" s="611" t="s">
        <v>722</v>
      </c>
      <c r="D233" s="611" t="s">
        <v>722</v>
      </c>
      <c r="E233" s="665">
        <v>0</v>
      </c>
      <c r="F233" s="612" t="s">
        <v>736</v>
      </c>
      <c r="G233" s="1054">
        <f t="shared" si="46"/>
        <v>0</v>
      </c>
      <c r="H233" s="1054">
        <f t="shared" si="46"/>
        <v>0</v>
      </c>
      <c r="I233" s="1054">
        <f t="shared" si="46"/>
        <v>0</v>
      </c>
      <c r="J233" s="1054">
        <f t="shared" si="46"/>
        <v>0</v>
      </c>
      <c r="K233" s="1054">
        <f t="shared" si="46"/>
        <v>0</v>
      </c>
      <c r="L233" s="1054">
        <f t="shared" si="46"/>
        <v>0</v>
      </c>
      <c r="M233" s="1054">
        <f t="shared" si="46"/>
        <v>0</v>
      </c>
      <c r="O233" s="406"/>
    </row>
    <row r="234" spans="1:15" s="282" customFormat="1" outlineLevel="1" x14ac:dyDescent="0.25">
      <c r="A234" s="276">
        <f>ROW()</f>
        <v>234</v>
      </c>
      <c r="B234" s="705" t="s">
        <v>161</v>
      </c>
      <c r="C234" s="611" t="s">
        <v>722</v>
      </c>
      <c r="D234" s="611" t="s">
        <v>722</v>
      </c>
      <c r="E234" s="665">
        <v>0</v>
      </c>
      <c r="F234" s="612" t="s">
        <v>736</v>
      </c>
      <c r="G234" s="1054">
        <f t="shared" si="46"/>
        <v>0</v>
      </c>
      <c r="H234" s="1054">
        <f t="shared" si="46"/>
        <v>0</v>
      </c>
      <c r="I234" s="1054">
        <f t="shared" si="46"/>
        <v>0</v>
      </c>
      <c r="J234" s="1054">
        <f t="shared" si="46"/>
        <v>0</v>
      </c>
      <c r="K234" s="1054">
        <f t="shared" si="46"/>
        <v>0</v>
      </c>
      <c r="L234" s="1054">
        <f t="shared" si="46"/>
        <v>0</v>
      </c>
      <c r="M234" s="1054">
        <f t="shared" si="46"/>
        <v>0</v>
      </c>
      <c r="O234" s="406"/>
    </row>
    <row r="235" spans="1:15" s="282" customFormat="1" outlineLevel="1" x14ac:dyDescent="0.25">
      <c r="A235" s="276">
        <f>ROW()</f>
        <v>235</v>
      </c>
      <c r="B235" s="705" t="s">
        <v>161</v>
      </c>
      <c r="C235" s="611" t="s">
        <v>722</v>
      </c>
      <c r="D235" s="611" t="s">
        <v>722</v>
      </c>
      <c r="E235" s="665">
        <v>0</v>
      </c>
      <c r="F235" s="612" t="s">
        <v>736</v>
      </c>
      <c r="G235" s="1054">
        <f t="shared" si="46"/>
        <v>0</v>
      </c>
      <c r="H235" s="1054">
        <f t="shared" si="46"/>
        <v>0</v>
      </c>
      <c r="I235" s="1054">
        <f t="shared" si="46"/>
        <v>0</v>
      </c>
      <c r="J235" s="1054">
        <f t="shared" si="46"/>
        <v>0</v>
      </c>
      <c r="K235" s="1054">
        <f t="shared" si="46"/>
        <v>0</v>
      </c>
      <c r="L235" s="1054">
        <f t="shared" si="46"/>
        <v>0</v>
      </c>
      <c r="M235" s="1054">
        <f t="shared" si="46"/>
        <v>0</v>
      </c>
      <c r="O235" s="406"/>
    </row>
    <row r="236" spans="1:15" s="282" customFormat="1" outlineLevel="1" x14ac:dyDescent="0.25">
      <c r="A236" s="276">
        <f>ROW()</f>
        <v>236</v>
      </c>
      <c r="B236" s="221"/>
      <c r="C236" s="613"/>
      <c r="D236" s="613"/>
      <c r="E236" s="616"/>
      <c r="F236" s="615"/>
      <c r="G236" s="1290"/>
      <c r="H236" s="1054"/>
      <c r="I236" s="1054"/>
      <c r="J236" s="1054"/>
      <c r="K236" s="1054"/>
      <c r="L236" s="1054"/>
      <c r="M236" s="1054"/>
      <c r="O236" s="406"/>
    </row>
    <row r="237" spans="1:15" s="282" customFormat="1" outlineLevel="1" x14ac:dyDescent="0.25">
      <c r="A237" s="276">
        <f>ROW()</f>
        <v>237</v>
      </c>
      <c r="B237" s="705" t="s">
        <v>944</v>
      </c>
      <c r="C237" s="611" t="s">
        <v>722</v>
      </c>
      <c r="D237" s="611" t="s">
        <v>722</v>
      </c>
      <c r="E237" s="949">
        <v>0</v>
      </c>
      <c r="F237" s="612" t="s">
        <v>736</v>
      </c>
      <c r="G237" s="1054">
        <f t="shared" si="46"/>
        <v>0</v>
      </c>
      <c r="H237" s="1054">
        <f t="shared" si="46"/>
        <v>0</v>
      </c>
      <c r="I237" s="1054">
        <f t="shared" si="46"/>
        <v>0</v>
      </c>
      <c r="J237" s="1054">
        <f t="shared" si="46"/>
        <v>0</v>
      </c>
      <c r="K237" s="1054">
        <f t="shared" si="46"/>
        <v>0</v>
      </c>
      <c r="L237" s="1054">
        <f t="shared" si="46"/>
        <v>0</v>
      </c>
      <c r="M237" s="1054">
        <f t="shared" si="46"/>
        <v>0</v>
      </c>
      <c r="O237" s="406"/>
    </row>
    <row r="238" spans="1:15" s="282" customFormat="1" outlineLevel="1" x14ac:dyDescent="0.25">
      <c r="A238" s="276">
        <f>ROW()</f>
        <v>238</v>
      </c>
      <c r="B238" s="705" t="s">
        <v>944</v>
      </c>
      <c r="C238" s="611" t="s">
        <v>722</v>
      </c>
      <c r="D238" s="611" t="s">
        <v>722</v>
      </c>
      <c r="E238" s="665">
        <v>0</v>
      </c>
      <c r="F238" s="612" t="s">
        <v>736</v>
      </c>
      <c r="G238" s="1054">
        <f t="shared" si="46"/>
        <v>0</v>
      </c>
      <c r="H238" s="1054">
        <f t="shared" si="46"/>
        <v>0</v>
      </c>
      <c r="I238" s="1054">
        <f t="shared" si="46"/>
        <v>0</v>
      </c>
      <c r="J238" s="1054">
        <f t="shared" si="46"/>
        <v>0</v>
      </c>
      <c r="K238" s="1054">
        <f t="shared" si="46"/>
        <v>0</v>
      </c>
      <c r="L238" s="1054">
        <f t="shared" si="46"/>
        <v>0</v>
      </c>
      <c r="M238" s="1054">
        <f t="shared" si="46"/>
        <v>0</v>
      </c>
      <c r="O238" s="406"/>
    </row>
    <row r="239" spans="1:15" s="282" customFormat="1" outlineLevel="1" x14ac:dyDescent="0.25">
      <c r="A239" s="276">
        <f>ROW()</f>
        <v>239</v>
      </c>
      <c r="B239" s="705" t="s">
        <v>161</v>
      </c>
      <c r="C239" s="611" t="s">
        <v>722</v>
      </c>
      <c r="D239" s="611" t="s">
        <v>722</v>
      </c>
      <c r="E239" s="665">
        <v>0</v>
      </c>
      <c r="F239" s="612" t="s">
        <v>736</v>
      </c>
      <c r="G239" s="1054">
        <f t="shared" si="46"/>
        <v>0</v>
      </c>
      <c r="H239" s="1054">
        <f t="shared" si="46"/>
        <v>0</v>
      </c>
      <c r="I239" s="1054">
        <f t="shared" si="46"/>
        <v>0</v>
      </c>
      <c r="J239" s="1054">
        <f t="shared" si="46"/>
        <v>0</v>
      </c>
      <c r="K239" s="1054">
        <f t="shared" si="46"/>
        <v>0</v>
      </c>
      <c r="L239" s="1054">
        <f t="shared" si="46"/>
        <v>0</v>
      </c>
      <c r="M239" s="1054">
        <f t="shared" si="46"/>
        <v>0</v>
      </c>
      <c r="O239" s="406"/>
    </row>
    <row r="240" spans="1:15" s="282" customFormat="1" outlineLevel="1" x14ac:dyDescent="0.25">
      <c r="A240" s="276">
        <f>ROW()</f>
        <v>240</v>
      </c>
      <c r="B240" s="705" t="s">
        <v>161</v>
      </c>
      <c r="C240" s="611" t="s">
        <v>722</v>
      </c>
      <c r="D240" s="611" t="s">
        <v>722</v>
      </c>
      <c r="E240" s="665">
        <v>0</v>
      </c>
      <c r="F240" s="612" t="s">
        <v>736</v>
      </c>
      <c r="G240" s="1054">
        <f t="shared" si="46"/>
        <v>0</v>
      </c>
      <c r="H240" s="1054">
        <f t="shared" si="46"/>
        <v>0</v>
      </c>
      <c r="I240" s="1054">
        <f t="shared" si="46"/>
        <v>0</v>
      </c>
      <c r="J240" s="1054">
        <f t="shared" si="46"/>
        <v>0</v>
      </c>
      <c r="K240" s="1054">
        <f t="shared" si="46"/>
        <v>0</v>
      </c>
      <c r="L240" s="1054">
        <f t="shared" si="46"/>
        <v>0</v>
      </c>
      <c r="M240" s="1054">
        <f t="shared" si="46"/>
        <v>0</v>
      </c>
      <c r="O240" s="406"/>
    </row>
    <row r="241" spans="1:27" s="282" customFormat="1" outlineLevel="1" x14ac:dyDescent="0.25">
      <c r="A241" s="276">
        <f>ROW()</f>
        <v>241</v>
      </c>
      <c r="B241" s="705" t="s">
        <v>161</v>
      </c>
      <c r="C241" s="611" t="s">
        <v>722</v>
      </c>
      <c r="D241" s="611" t="s">
        <v>722</v>
      </c>
      <c r="E241" s="665">
        <v>0</v>
      </c>
      <c r="F241" s="612" t="s">
        <v>736</v>
      </c>
      <c r="G241" s="1054">
        <f t="shared" ref="G241:M241" si="47">IF($D241&lt;=G$81,1,0)</f>
        <v>0</v>
      </c>
      <c r="H241" s="1054">
        <f t="shared" si="47"/>
        <v>0</v>
      </c>
      <c r="I241" s="1054">
        <f t="shared" si="47"/>
        <v>0</v>
      </c>
      <c r="J241" s="1054">
        <f t="shared" si="47"/>
        <v>0</v>
      </c>
      <c r="K241" s="1054">
        <f t="shared" si="47"/>
        <v>0</v>
      </c>
      <c r="L241" s="1054">
        <f t="shared" si="47"/>
        <v>0</v>
      </c>
      <c r="M241" s="1054">
        <f t="shared" si="47"/>
        <v>0</v>
      </c>
      <c r="O241" s="406"/>
    </row>
    <row r="242" spans="1:27" outlineLevel="1" x14ac:dyDescent="0.25">
      <c r="A242" s="276">
        <f>ROW()</f>
        <v>242</v>
      </c>
      <c r="B242" s="221"/>
      <c r="C242" s="615"/>
      <c r="D242" s="615"/>
      <c r="E242" s="739"/>
      <c r="F242" s="615"/>
      <c r="G242" s="1290"/>
      <c r="H242" s="1054"/>
      <c r="I242" s="1054"/>
      <c r="J242" s="1054"/>
      <c r="K242" s="1054"/>
      <c r="L242" s="1054"/>
      <c r="M242" s="1054"/>
      <c r="O242" s="406"/>
      <c r="R242" s="282"/>
      <c r="S242" s="282"/>
      <c r="T242" s="282"/>
      <c r="U242" s="282"/>
      <c r="V242" s="282"/>
      <c r="W242" s="282"/>
      <c r="X242" s="282"/>
      <c r="Y242" s="282"/>
      <c r="Z242" s="282"/>
      <c r="AA242" s="282"/>
    </row>
    <row r="243" spans="1:27" s="282" customFormat="1" outlineLevel="1" x14ac:dyDescent="0.25">
      <c r="A243" s="276">
        <f>ROW()</f>
        <v>243</v>
      </c>
      <c r="B243" s="705" t="s">
        <v>945</v>
      </c>
      <c r="C243" s="611" t="s">
        <v>722</v>
      </c>
      <c r="D243" s="611" t="s">
        <v>722</v>
      </c>
      <c r="E243" s="949">
        <v>0</v>
      </c>
      <c r="F243" s="612" t="s">
        <v>736</v>
      </c>
      <c r="G243" s="1054">
        <f t="shared" ref="G243:M247" si="48">IF($D243&lt;=G$81,1,0)</f>
        <v>0</v>
      </c>
      <c r="H243" s="1054">
        <f t="shared" si="48"/>
        <v>0</v>
      </c>
      <c r="I243" s="1054">
        <f t="shared" si="48"/>
        <v>0</v>
      </c>
      <c r="J243" s="1054">
        <f t="shared" si="48"/>
        <v>0</v>
      </c>
      <c r="K243" s="1054">
        <f t="shared" si="48"/>
        <v>0</v>
      </c>
      <c r="L243" s="1054">
        <f t="shared" si="48"/>
        <v>0</v>
      </c>
      <c r="M243" s="1054">
        <f t="shared" si="48"/>
        <v>0</v>
      </c>
      <c r="O243" s="406"/>
    </row>
    <row r="244" spans="1:27" s="282" customFormat="1" outlineLevel="1" x14ac:dyDescent="0.25">
      <c r="A244" s="276">
        <f>ROW()</f>
        <v>244</v>
      </c>
      <c r="B244" s="705" t="s">
        <v>946</v>
      </c>
      <c r="C244" s="611" t="s">
        <v>722</v>
      </c>
      <c r="D244" s="611" t="s">
        <v>722</v>
      </c>
      <c r="E244" s="665">
        <v>0</v>
      </c>
      <c r="F244" s="612" t="s">
        <v>736</v>
      </c>
      <c r="G244" s="1054">
        <f t="shared" si="48"/>
        <v>0</v>
      </c>
      <c r="H244" s="1054">
        <f t="shared" si="48"/>
        <v>0</v>
      </c>
      <c r="I244" s="1054">
        <f t="shared" si="48"/>
        <v>0</v>
      </c>
      <c r="J244" s="1054">
        <f t="shared" si="48"/>
        <v>0</v>
      </c>
      <c r="K244" s="1054">
        <f t="shared" si="48"/>
        <v>0</v>
      </c>
      <c r="L244" s="1054">
        <f t="shared" si="48"/>
        <v>0</v>
      </c>
      <c r="M244" s="1054">
        <f t="shared" si="48"/>
        <v>0</v>
      </c>
      <c r="O244" s="406"/>
    </row>
    <row r="245" spans="1:27" s="282" customFormat="1" outlineLevel="1" x14ac:dyDescent="0.25">
      <c r="A245" s="276">
        <f>ROW()</f>
        <v>245</v>
      </c>
      <c r="B245" s="705" t="s">
        <v>161</v>
      </c>
      <c r="C245" s="611" t="s">
        <v>722</v>
      </c>
      <c r="D245" s="611" t="s">
        <v>722</v>
      </c>
      <c r="E245" s="665">
        <v>0</v>
      </c>
      <c r="F245" s="612" t="s">
        <v>736</v>
      </c>
      <c r="G245" s="1054">
        <f t="shared" si="48"/>
        <v>0</v>
      </c>
      <c r="H245" s="1054">
        <f t="shared" si="48"/>
        <v>0</v>
      </c>
      <c r="I245" s="1054">
        <f t="shared" si="48"/>
        <v>0</v>
      </c>
      <c r="J245" s="1054">
        <f t="shared" si="48"/>
        <v>0</v>
      </c>
      <c r="K245" s="1054">
        <f t="shared" si="48"/>
        <v>0</v>
      </c>
      <c r="L245" s="1054">
        <f t="shared" si="48"/>
        <v>0</v>
      </c>
      <c r="M245" s="1054">
        <f t="shared" si="48"/>
        <v>0</v>
      </c>
      <c r="O245" s="406"/>
    </row>
    <row r="246" spans="1:27" s="282" customFormat="1" outlineLevel="1" x14ac:dyDescent="0.25">
      <c r="A246" s="276">
        <f>ROW()</f>
        <v>246</v>
      </c>
      <c r="B246" s="705" t="s">
        <v>161</v>
      </c>
      <c r="C246" s="611" t="s">
        <v>722</v>
      </c>
      <c r="D246" s="611" t="s">
        <v>722</v>
      </c>
      <c r="E246" s="665">
        <v>0</v>
      </c>
      <c r="F246" s="612" t="s">
        <v>736</v>
      </c>
      <c r="G246" s="1054">
        <f t="shared" si="48"/>
        <v>0</v>
      </c>
      <c r="H246" s="1054">
        <f t="shared" si="48"/>
        <v>0</v>
      </c>
      <c r="I246" s="1054">
        <f t="shared" si="48"/>
        <v>0</v>
      </c>
      <c r="J246" s="1054">
        <f t="shared" si="48"/>
        <v>0</v>
      </c>
      <c r="K246" s="1054">
        <f t="shared" si="48"/>
        <v>0</v>
      </c>
      <c r="L246" s="1054">
        <f t="shared" si="48"/>
        <v>0</v>
      </c>
      <c r="M246" s="1054">
        <f t="shared" si="48"/>
        <v>0</v>
      </c>
      <c r="O246" s="406"/>
    </row>
    <row r="247" spans="1:27" s="282" customFormat="1" outlineLevel="1" x14ac:dyDescent="0.25">
      <c r="A247" s="276">
        <f>ROW()</f>
        <v>247</v>
      </c>
      <c r="B247" s="705" t="s">
        <v>161</v>
      </c>
      <c r="C247" s="611" t="s">
        <v>722</v>
      </c>
      <c r="D247" s="611" t="s">
        <v>722</v>
      </c>
      <c r="E247" s="665">
        <v>0</v>
      </c>
      <c r="F247" s="612" t="s">
        <v>736</v>
      </c>
      <c r="G247" s="1054">
        <f t="shared" si="48"/>
        <v>0</v>
      </c>
      <c r="H247" s="1054">
        <f t="shared" si="48"/>
        <v>0</v>
      </c>
      <c r="I247" s="1054">
        <f t="shared" si="48"/>
        <v>0</v>
      </c>
      <c r="J247" s="1054">
        <f t="shared" si="48"/>
        <v>0</v>
      </c>
      <c r="K247" s="1054">
        <f t="shared" si="48"/>
        <v>0</v>
      </c>
      <c r="L247" s="1054">
        <f t="shared" si="48"/>
        <v>0</v>
      </c>
      <c r="M247" s="1054">
        <f t="shared" si="48"/>
        <v>0</v>
      </c>
      <c r="O247" s="406"/>
    </row>
    <row r="248" spans="1:27" outlineLevel="1" x14ac:dyDescent="0.25">
      <c r="A248" s="276">
        <f>ROW()</f>
        <v>248</v>
      </c>
      <c r="B248" s="282"/>
      <c r="C248" s="615"/>
      <c r="D248" s="615"/>
      <c r="E248" s="616"/>
      <c r="F248" s="615"/>
      <c r="G248" s="1290"/>
      <c r="H248" s="1054"/>
      <c r="I248" s="1054"/>
      <c r="J248" s="1054"/>
      <c r="K248" s="1054"/>
      <c r="L248" s="1054"/>
      <c r="M248" s="1054"/>
      <c r="O248" s="406"/>
      <c r="R248" s="282"/>
      <c r="S248" s="282"/>
      <c r="T248" s="282"/>
      <c r="U248" s="282"/>
      <c r="V248" s="282"/>
      <c r="W248" s="282"/>
      <c r="X248" s="282"/>
      <c r="Y248" s="282"/>
      <c r="Z248" s="282"/>
      <c r="AA248" s="282"/>
    </row>
    <row r="249" spans="1:27" s="282" customFormat="1" outlineLevel="1" x14ac:dyDescent="0.25">
      <c r="A249" s="276">
        <f>ROW()</f>
        <v>249</v>
      </c>
      <c r="B249" s="705" t="s">
        <v>161</v>
      </c>
      <c r="C249" s="611" t="s">
        <v>722</v>
      </c>
      <c r="D249" s="611" t="s">
        <v>722</v>
      </c>
      <c r="E249" s="949">
        <v>0</v>
      </c>
      <c r="F249" s="612" t="s">
        <v>736</v>
      </c>
      <c r="G249" s="1054">
        <f t="shared" ref="G249:M253" si="49">IF($D249&lt;=G$81,1,0)</f>
        <v>0</v>
      </c>
      <c r="H249" s="1054">
        <f t="shared" si="49"/>
        <v>0</v>
      </c>
      <c r="I249" s="1054">
        <f t="shared" si="49"/>
        <v>0</v>
      </c>
      <c r="J249" s="1054">
        <f t="shared" si="49"/>
        <v>0</v>
      </c>
      <c r="K249" s="1054">
        <f t="shared" si="49"/>
        <v>0</v>
      </c>
      <c r="L249" s="1054">
        <f t="shared" si="49"/>
        <v>0</v>
      </c>
      <c r="M249" s="1054">
        <f t="shared" si="49"/>
        <v>0</v>
      </c>
      <c r="O249" s="406"/>
    </row>
    <row r="250" spans="1:27" s="282" customFormat="1" outlineLevel="1" x14ac:dyDescent="0.25">
      <c r="A250" s="276">
        <f>ROW()</f>
        <v>250</v>
      </c>
      <c r="B250" s="705" t="s">
        <v>161</v>
      </c>
      <c r="C250" s="611" t="s">
        <v>722</v>
      </c>
      <c r="D250" s="611" t="s">
        <v>722</v>
      </c>
      <c r="E250" s="665">
        <v>0</v>
      </c>
      <c r="F250" s="612" t="s">
        <v>736</v>
      </c>
      <c r="G250" s="1054">
        <f t="shared" si="49"/>
        <v>0</v>
      </c>
      <c r="H250" s="1054">
        <f t="shared" si="49"/>
        <v>0</v>
      </c>
      <c r="I250" s="1054">
        <f t="shared" si="49"/>
        <v>0</v>
      </c>
      <c r="J250" s="1054">
        <f t="shared" si="49"/>
        <v>0</v>
      </c>
      <c r="K250" s="1054">
        <f t="shared" si="49"/>
        <v>0</v>
      </c>
      <c r="L250" s="1054">
        <f t="shared" si="49"/>
        <v>0</v>
      </c>
      <c r="M250" s="1054">
        <f t="shared" si="49"/>
        <v>0</v>
      </c>
      <c r="O250" s="406"/>
    </row>
    <row r="251" spans="1:27" s="282" customFormat="1" outlineLevel="1" x14ac:dyDescent="0.25">
      <c r="A251" s="276">
        <f>ROW()</f>
        <v>251</v>
      </c>
      <c r="B251" s="705" t="s">
        <v>161</v>
      </c>
      <c r="C251" s="611" t="s">
        <v>722</v>
      </c>
      <c r="D251" s="611" t="s">
        <v>722</v>
      </c>
      <c r="E251" s="665">
        <v>0</v>
      </c>
      <c r="F251" s="612" t="s">
        <v>736</v>
      </c>
      <c r="G251" s="1054">
        <f t="shared" si="49"/>
        <v>0</v>
      </c>
      <c r="H251" s="1054">
        <f t="shared" si="49"/>
        <v>0</v>
      </c>
      <c r="I251" s="1054">
        <f t="shared" si="49"/>
        <v>0</v>
      </c>
      <c r="J251" s="1054">
        <f t="shared" si="49"/>
        <v>0</v>
      </c>
      <c r="K251" s="1054">
        <f t="shared" si="49"/>
        <v>0</v>
      </c>
      <c r="L251" s="1054">
        <f t="shared" si="49"/>
        <v>0</v>
      </c>
      <c r="M251" s="1054">
        <f t="shared" si="49"/>
        <v>0</v>
      </c>
      <c r="O251" s="406"/>
    </row>
    <row r="252" spans="1:27" s="282" customFormat="1" outlineLevel="1" x14ac:dyDescent="0.25">
      <c r="A252" s="276">
        <f>ROW()</f>
        <v>252</v>
      </c>
      <c r="B252" s="705" t="s">
        <v>161</v>
      </c>
      <c r="C252" s="611" t="s">
        <v>722</v>
      </c>
      <c r="D252" s="611" t="s">
        <v>722</v>
      </c>
      <c r="E252" s="665">
        <v>0</v>
      </c>
      <c r="F252" s="612" t="s">
        <v>736</v>
      </c>
      <c r="G252" s="1054">
        <f t="shared" si="49"/>
        <v>0</v>
      </c>
      <c r="H252" s="1054">
        <f t="shared" si="49"/>
        <v>0</v>
      </c>
      <c r="I252" s="1054">
        <f t="shared" si="49"/>
        <v>0</v>
      </c>
      <c r="J252" s="1054">
        <f t="shared" si="49"/>
        <v>0</v>
      </c>
      <c r="K252" s="1054">
        <f t="shared" si="49"/>
        <v>0</v>
      </c>
      <c r="L252" s="1054">
        <f t="shared" si="49"/>
        <v>0</v>
      </c>
      <c r="M252" s="1054">
        <f t="shared" si="49"/>
        <v>0</v>
      </c>
      <c r="O252" s="406"/>
    </row>
    <row r="253" spans="1:27" s="282" customFormat="1" outlineLevel="1" x14ac:dyDescent="0.25">
      <c r="A253" s="276">
        <f>ROW()</f>
        <v>253</v>
      </c>
      <c r="B253" s="705" t="s">
        <v>161</v>
      </c>
      <c r="C253" s="611" t="s">
        <v>722</v>
      </c>
      <c r="D253" s="611" t="s">
        <v>722</v>
      </c>
      <c r="E253" s="665">
        <v>0</v>
      </c>
      <c r="F253" s="612" t="s">
        <v>736</v>
      </c>
      <c r="G253" s="1054">
        <f t="shared" si="49"/>
        <v>0</v>
      </c>
      <c r="H253" s="1054">
        <f t="shared" si="49"/>
        <v>0</v>
      </c>
      <c r="I253" s="1054">
        <f t="shared" si="49"/>
        <v>0</v>
      </c>
      <c r="J253" s="1054">
        <f t="shared" si="49"/>
        <v>0</v>
      </c>
      <c r="K253" s="1054">
        <f t="shared" si="49"/>
        <v>0</v>
      </c>
      <c r="L253" s="1054">
        <f t="shared" si="49"/>
        <v>0</v>
      </c>
      <c r="M253" s="1054">
        <f t="shared" si="49"/>
        <v>0</v>
      </c>
      <c r="O253" s="406"/>
    </row>
    <row r="254" spans="1:27" s="282" customFormat="1" outlineLevel="1" x14ac:dyDescent="0.25">
      <c r="A254" s="276">
        <f>ROW()</f>
        <v>254</v>
      </c>
      <c r="B254" s="221"/>
      <c r="C254" s="613"/>
      <c r="D254" s="613"/>
      <c r="E254" s="616"/>
      <c r="F254" s="615"/>
      <c r="G254" s="1290"/>
      <c r="H254" s="1054"/>
      <c r="I254" s="1054"/>
      <c r="J254" s="1054"/>
      <c r="K254" s="1054"/>
      <c r="L254" s="1054"/>
      <c r="M254" s="1054"/>
      <c r="O254" s="406"/>
    </row>
    <row r="255" spans="1:27" s="282" customFormat="1" outlineLevel="1" x14ac:dyDescent="0.25">
      <c r="A255" s="276">
        <f>ROW()</f>
        <v>255</v>
      </c>
      <c r="B255" s="705" t="s">
        <v>161</v>
      </c>
      <c r="C255" s="611" t="s">
        <v>722</v>
      </c>
      <c r="D255" s="611" t="s">
        <v>722</v>
      </c>
      <c r="E255" s="949">
        <v>0</v>
      </c>
      <c r="F255" s="612" t="s">
        <v>736</v>
      </c>
      <c r="G255" s="1054">
        <f t="shared" ref="G255:M259" si="50">IF($D255&lt;=G$81,1,0)</f>
        <v>0</v>
      </c>
      <c r="H255" s="1054">
        <f t="shared" si="50"/>
        <v>0</v>
      </c>
      <c r="I255" s="1054">
        <f t="shared" si="50"/>
        <v>0</v>
      </c>
      <c r="J255" s="1054">
        <f t="shared" si="50"/>
        <v>0</v>
      </c>
      <c r="K255" s="1054">
        <f t="shared" si="50"/>
        <v>0</v>
      </c>
      <c r="L255" s="1054">
        <f t="shared" si="50"/>
        <v>0</v>
      </c>
      <c r="M255" s="1054">
        <f t="shared" si="50"/>
        <v>0</v>
      </c>
      <c r="O255" s="406"/>
    </row>
    <row r="256" spans="1:27" s="282" customFormat="1" outlineLevel="1" x14ac:dyDescent="0.25">
      <c r="A256" s="276">
        <f>ROW()</f>
        <v>256</v>
      </c>
      <c r="B256" s="705" t="s">
        <v>161</v>
      </c>
      <c r="C256" s="611" t="s">
        <v>722</v>
      </c>
      <c r="D256" s="611" t="s">
        <v>722</v>
      </c>
      <c r="E256" s="665">
        <v>0</v>
      </c>
      <c r="F256" s="612" t="s">
        <v>736</v>
      </c>
      <c r="G256" s="1054">
        <f t="shared" si="50"/>
        <v>0</v>
      </c>
      <c r="H256" s="1054">
        <f t="shared" si="50"/>
        <v>0</v>
      </c>
      <c r="I256" s="1054">
        <f t="shared" si="50"/>
        <v>0</v>
      </c>
      <c r="J256" s="1054">
        <f t="shared" si="50"/>
        <v>0</v>
      </c>
      <c r="K256" s="1054">
        <f t="shared" si="50"/>
        <v>0</v>
      </c>
      <c r="L256" s="1054">
        <f t="shared" si="50"/>
        <v>0</v>
      </c>
      <c r="M256" s="1054">
        <f t="shared" si="50"/>
        <v>0</v>
      </c>
      <c r="O256" s="406"/>
    </row>
    <row r="257" spans="1:27" s="282" customFormat="1" outlineLevel="1" x14ac:dyDescent="0.25">
      <c r="A257" s="276">
        <f>ROW()</f>
        <v>257</v>
      </c>
      <c r="B257" s="705" t="s">
        <v>161</v>
      </c>
      <c r="C257" s="611" t="s">
        <v>722</v>
      </c>
      <c r="D257" s="611" t="s">
        <v>722</v>
      </c>
      <c r="E257" s="665">
        <v>0</v>
      </c>
      <c r="F257" s="612" t="s">
        <v>736</v>
      </c>
      <c r="G257" s="1054">
        <f t="shared" si="50"/>
        <v>0</v>
      </c>
      <c r="H257" s="1054">
        <f t="shared" si="50"/>
        <v>0</v>
      </c>
      <c r="I257" s="1054">
        <f t="shared" si="50"/>
        <v>0</v>
      </c>
      <c r="J257" s="1054">
        <f t="shared" si="50"/>
        <v>0</v>
      </c>
      <c r="K257" s="1054">
        <f t="shared" si="50"/>
        <v>0</v>
      </c>
      <c r="L257" s="1054">
        <f t="shared" si="50"/>
        <v>0</v>
      </c>
      <c r="M257" s="1054">
        <f t="shared" si="50"/>
        <v>0</v>
      </c>
      <c r="O257" s="406"/>
    </row>
    <row r="258" spans="1:27" s="282" customFormat="1" outlineLevel="1" x14ac:dyDescent="0.25">
      <c r="A258" s="276">
        <f>ROW()</f>
        <v>258</v>
      </c>
      <c r="B258" s="705" t="s">
        <v>161</v>
      </c>
      <c r="C258" s="611" t="s">
        <v>722</v>
      </c>
      <c r="D258" s="611" t="s">
        <v>722</v>
      </c>
      <c r="E258" s="665">
        <v>0</v>
      </c>
      <c r="F258" s="612" t="s">
        <v>736</v>
      </c>
      <c r="G258" s="1054">
        <f t="shared" si="50"/>
        <v>0</v>
      </c>
      <c r="H258" s="1054">
        <f t="shared" si="50"/>
        <v>0</v>
      </c>
      <c r="I258" s="1054">
        <f t="shared" si="50"/>
        <v>0</v>
      </c>
      <c r="J258" s="1054">
        <f t="shared" si="50"/>
        <v>0</v>
      </c>
      <c r="K258" s="1054">
        <f t="shared" si="50"/>
        <v>0</v>
      </c>
      <c r="L258" s="1054">
        <f t="shared" si="50"/>
        <v>0</v>
      </c>
      <c r="M258" s="1054">
        <f t="shared" si="50"/>
        <v>0</v>
      </c>
      <c r="O258" s="406"/>
    </row>
    <row r="259" spans="1:27" s="282" customFormat="1" outlineLevel="1" x14ac:dyDescent="0.25">
      <c r="A259" s="276">
        <f>ROW()</f>
        <v>259</v>
      </c>
      <c r="B259" s="705" t="s">
        <v>161</v>
      </c>
      <c r="C259" s="611" t="s">
        <v>722</v>
      </c>
      <c r="D259" s="611" t="s">
        <v>722</v>
      </c>
      <c r="E259" s="665">
        <v>0</v>
      </c>
      <c r="F259" s="612" t="s">
        <v>736</v>
      </c>
      <c r="G259" s="1054">
        <f t="shared" si="50"/>
        <v>0</v>
      </c>
      <c r="H259" s="1054">
        <f t="shared" si="50"/>
        <v>0</v>
      </c>
      <c r="I259" s="1054">
        <f t="shared" si="50"/>
        <v>0</v>
      </c>
      <c r="J259" s="1054">
        <f t="shared" si="50"/>
        <v>0</v>
      </c>
      <c r="K259" s="1054">
        <f t="shared" si="50"/>
        <v>0</v>
      </c>
      <c r="L259" s="1054">
        <f t="shared" si="50"/>
        <v>0</v>
      </c>
      <c r="M259" s="1054">
        <f t="shared" si="50"/>
        <v>0</v>
      </c>
      <c r="O259" s="406"/>
    </row>
    <row r="260" spans="1:27" s="282" customFormat="1" outlineLevel="1" x14ac:dyDescent="0.25">
      <c r="A260" s="276">
        <f>ROW()</f>
        <v>260</v>
      </c>
      <c r="B260" s="221"/>
      <c r="C260" s="613"/>
      <c r="D260" s="613"/>
      <c r="E260" s="616"/>
      <c r="F260" s="615"/>
      <c r="G260" s="1290"/>
      <c r="H260" s="1054"/>
      <c r="I260" s="1054"/>
      <c r="J260" s="1054"/>
      <c r="K260" s="1054"/>
      <c r="L260" s="1054"/>
      <c r="M260" s="1054"/>
      <c r="O260" s="406"/>
    </row>
    <row r="261" spans="1:27" s="282" customFormat="1" outlineLevel="1" x14ac:dyDescent="0.25">
      <c r="A261" s="276">
        <f>ROW()</f>
        <v>261</v>
      </c>
      <c r="B261" s="705" t="s">
        <v>161</v>
      </c>
      <c r="C261" s="611" t="s">
        <v>722</v>
      </c>
      <c r="D261" s="611" t="s">
        <v>722</v>
      </c>
      <c r="E261" s="949">
        <v>0</v>
      </c>
      <c r="F261" s="612" t="s">
        <v>736</v>
      </c>
      <c r="G261" s="1054">
        <f t="shared" ref="G261:M265" si="51">IF($D261&lt;=G$81,1,0)</f>
        <v>0</v>
      </c>
      <c r="H261" s="1054">
        <f t="shared" si="51"/>
        <v>0</v>
      </c>
      <c r="I261" s="1054">
        <f t="shared" si="51"/>
        <v>0</v>
      </c>
      <c r="J261" s="1054">
        <f t="shared" si="51"/>
        <v>0</v>
      </c>
      <c r="K261" s="1054">
        <f t="shared" si="51"/>
        <v>0</v>
      </c>
      <c r="L261" s="1054">
        <f t="shared" si="51"/>
        <v>0</v>
      </c>
      <c r="M261" s="1054">
        <f t="shared" si="51"/>
        <v>0</v>
      </c>
      <c r="O261" s="406"/>
    </row>
    <row r="262" spans="1:27" s="282" customFormat="1" outlineLevel="1" x14ac:dyDescent="0.25">
      <c r="A262" s="276">
        <f>ROW()</f>
        <v>262</v>
      </c>
      <c r="B262" s="705" t="s">
        <v>161</v>
      </c>
      <c r="C262" s="611" t="s">
        <v>722</v>
      </c>
      <c r="D262" s="611" t="s">
        <v>722</v>
      </c>
      <c r="E262" s="665">
        <v>0</v>
      </c>
      <c r="F262" s="612" t="s">
        <v>736</v>
      </c>
      <c r="G262" s="1054">
        <f t="shared" si="51"/>
        <v>0</v>
      </c>
      <c r="H262" s="1054">
        <f t="shared" si="51"/>
        <v>0</v>
      </c>
      <c r="I262" s="1054">
        <f t="shared" si="51"/>
        <v>0</v>
      </c>
      <c r="J262" s="1054">
        <f t="shared" si="51"/>
        <v>0</v>
      </c>
      <c r="K262" s="1054">
        <f t="shared" si="51"/>
        <v>0</v>
      </c>
      <c r="L262" s="1054">
        <f t="shared" si="51"/>
        <v>0</v>
      </c>
      <c r="M262" s="1054">
        <f t="shared" si="51"/>
        <v>0</v>
      </c>
      <c r="O262" s="406"/>
    </row>
    <row r="263" spans="1:27" s="282" customFormat="1" outlineLevel="1" x14ac:dyDescent="0.25">
      <c r="A263" s="276">
        <f>ROW()</f>
        <v>263</v>
      </c>
      <c r="B263" s="705" t="s">
        <v>161</v>
      </c>
      <c r="C263" s="611" t="s">
        <v>722</v>
      </c>
      <c r="D263" s="611" t="s">
        <v>722</v>
      </c>
      <c r="E263" s="665">
        <v>0</v>
      </c>
      <c r="F263" s="612" t="s">
        <v>736</v>
      </c>
      <c r="G263" s="1054">
        <f t="shared" si="51"/>
        <v>0</v>
      </c>
      <c r="H263" s="1054">
        <f t="shared" si="51"/>
        <v>0</v>
      </c>
      <c r="I263" s="1054">
        <f t="shared" si="51"/>
        <v>0</v>
      </c>
      <c r="J263" s="1054">
        <f t="shared" si="51"/>
        <v>0</v>
      </c>
      <c r="K263" s="1054">
        <f t="shared" si="51"/>
        <v>0</v>
      </c>
      <c r="L263" s="1054">
        <f t="shared" si="51"/>
        <v>0</v>
      </c>
      <c r="M263" s="1054">
        <f t="shared" si="51"/>
        <v>0</v>
      </c>
      <c r="O263" s="406"/>
    </row>
    <row r="264" spans="1:27" s="282" customFormat="1" outlineLevel="1" x14ac:dyDescent="0.25">
      <c r="A264" s="276">
        <f>ROW()</f>
        <v>264</v>
      </c>
      <c r="B264" s="705" t="s">
        <v>161</v>
      </c>
      <c r="C264" s="611" t="s">
        <v>722</v>
      </c>
      <c r="D264" s="611" t="s">
        <v>722</v>
      </c>
      <c r="E264" s="665">
        <v>0</v>
      </c>
      <c r="F264" s="612" t="s">
        <v>736</v>
      </c>
      <c r="G264" s="1054">
        <f t="shared" si="51"/>
        <v>0</v>
      </c>
      <c r="H264" s="1054">
        <f t="shared" si="51"/>
        <v>0</v>
      </c>
      <c r="I264" s="1054">
        <f t="shared" si="51"/>
        <v>0</v>
      </c>
      <c r="J264" s="1054">
        <f t="shared" si="51"/>
        <v>0</v>
      </c>
      <c r="K264" s="1054">
        <f t="shared" si="51"/>
        <v>0</v>
      </c>
      <c r="L264" s="1054">
        <f t="shared" si="51"/>
        <v>0</v>
      </c>
      <c r="M264" s="1054">
        <f t="shared" si="51"/>
        <v>0</v>
      </c>
      <c r="O264" s="406"/>
    </row>
    <row r="265" spans="1:27" s="282" customFormat="1" outlineLevel="1" x14ac:dyDescent="0.25">
      <c r="A265" s="276">
        <f>ROW()</f>
        <v>265</v>
      </c>
      <c r="B265" s="705" t="s">
        <v>161</v>
      </c>
      <c r="C265" s="611" t="s">
        <v>722</v>
      </c>
      <c r="D265" s="611" t="s">
        <v>722</v>
      </c>
      <c r="E265" s="665">
        <v>0</v>
      </c>
      <c r="F265" s="612" t="s">
        <v>736</v>
      </c>
      <c r="G265" s="1054">
        <f t="shared" si="51"/>
        <v>0</v>
      </c>
      <c r="H265" s="1054">
        <f t="shared" si="51"/>
        <v>0</v>
      </c>
      <c r="I265" s="1054">
        <f t="shared" si="51"/>
        <v>0</v>
      </c>
      <c r="J265" s="1054">
        <f t="shared" si="51"/>
        <v>0</v>
      </c>
      <c r="K265" s="1054">
        <f t="shared" si="51"/>
        <v>0</v>
      </c>
      <c r="L265" s="1054">
        <f t="shared" si="51"/>
        <v>0</v>
      </c>
      <c r="M265" s="1054">
        <f t="shared" si="51"/>
        <v>0</v>
      </c>
      <c r="O265" s="406"/>
    </row>
    <row r="266" spans="1:27" s="282" customFormat="1" x14ac:dyDescent="0.25">
      <c r="A266" s="276">
        <f>ROW()</f>
        <v>266</v>
      </c>
      <c r="B266" s="221"/>
      <c r="C266" s="421"/>
      <c r="D266" s="421"/>
      <c r="E266" s="379"/>
      <c r="F266" s="379"/>
      <c r="G266" s="1342"/>
      <c r="H266" s="1342"/>
      <c r="I266" s="1342"/>
      <c r="J266" s="1342"/>
      <c r="K266" s="1054"/>
      <c r="L266" s="1054"/>
      <c r="M266" s="1054"/>
      <c r="O266" s="406"/>
      <c r="P266" s="406"/>
      <c r="Q266" s="406"/>
    </row>
    <row r="267" spans="1:27" s="244" customFormat="1" x14ac:dyDescent="0.25">
      <c r="A267" s="276">
        <f>ROW()</f>
        <v>267</v>
      </c>
      <c r="B267" s="362" t="s">
        <v>213</v>
      </c>
      <c r="C267" s="422"/>
      <c r="D267" s="546"/>
      <c r="E267" s="545"/>
      <c r="F267" s="545"/>
      <c r="G267" s="704">
        <f t="shared" ref="G267:M267" si="52">SUM(G172:G265)</f>
        <v>0</v>
      </c>
      <c r="H267" s="1343">
        <f t="shared" si="52"/>
        <v>13</v>
      </c>
      <c r="I267" s="1343">
        <f t="shared" si="52"/>
        <v>25</v>
      </c>
      <c r="J267" s="1343">
        <f t="shared" si="52"/>
        <v>31</v>
      </c>
      <c r="K267" s="1343">
        <f t="shared" si="52"/>
        <v>37</v>
      </c>
      <c r="L267" s="1343">
        <f t="shared" si="52"/>
        <v>40</v>
      </c>
      <c r="M267" s="1343">
        <f t="shared" si="52"/>
        <v>43</v>
      </c>
      <c r="O267" s="406"/>
      <c r="P267" s="406"/>
      <c r="Q267" s="406"/>
      <c r="R267" s="282"/>
      <c r="S267" s="282"/>
      <c r="T267" s="282"/>
      <c r="U267" s="282"/>
      <c r="V267" s="282"/>
      <c r="W267" s="282"/>
      <c r="X267" s="282"/>
      <c r="Y267" s="282"/>
      <c r="Z267" s="282"/>
      <c r="AA267" s="282"/>
    </row>
    <row r="268" spans="1:27" x14ac:dyDescent="0.25">
      <c r="A268" s="276">
        <f>ROW()</f>
        <v>268</v>
      </c>
      <c r="B268" s="221" t="s">
        <v>735</v>
      </c>
      <c r="C268" s="221"/>
      <c r="D268" s="221"/>
      <c r="E268" s="282"/>
      <c r="F268" s="282"/>
      <c r="G268" s="1290">
        <f t="shared" ref="G268:M268" si="53">+G267+G166</f>
        <v>0</v>
      </c>
      <c r="H268" s="1290">
        <f t="shared" si="53"/>
        <v>19</v>
      </c>
      <c r="I268" s="1290">
        <f t="shared" si="53"/>
        <v>35</v>
      </c>
      <c r="J268" s="1290">
        <f t="shared" si="53"/>
        <v>47</v>
      </c>
      <c r="K268" s="1290">
        <f t="shared" si="53"/>
        <v>58</v>
      </c>
      <c r="L268" s="1290">
        <f t="shared" si="53"/>
        <v>64</v>
      </c>
      <c r="M268" s="1290">
        <f t="shared" si="53"/>
        <v>69</v>
      </c>
      <c r="O268" s="406"/>
      <c r="P268" s="406"/>
      <c r="Q268" s="406"/>
      <c r="R268" s="282"/>
      <c r="S268" s="282"/>
      <c r="T268" s="282"/>
      <c r="U268" s="282"/>
      <c r="V268" s="282"/>
      <c r="W268" s="282"/>
      <c r="X268" s="282"/>
      <c r="Y268" s="282"/>
      <c r="Z268" s="282"/>
      <c r="AA268" s="282"/>
    </row>
    <row r="269" spans="1:27" x14ac:dyDescent="0.25">
      <c r="A269" s="276">
        <f>ROW()</f>
        <v>269</v>
      </c>
      <c r="B269" s="221"/>
      <c r="C269" s="221"/>
      <c r="D269" s="221"/>
      <c r="E269" s="282"/>
      <c r="F269" s="282"/>
      <c r="G269" s="1342"/>
      <c r="H269" s="1342"/>
      <c r="I269" s="1342"/>
      <c r="J269" s="1342"/>
      <c r="K269" s="1342"/>
      <c r="L269" s="1290"/>
      <c r="M269" s="1290"/>
      <c r="O269" s="406"/>
      <c r="P269" s="406"/>
      <c r="Q269" s="406"/>
      <c r="R269" s="282"/>
      <c r="S269" s="282"/>
      <c r="T269" s="282"/>
      <c r="U269" s="282"/>
      <c r="V269" s="282"/>
      <c r="W269" s="282"/>
      <c r="X269" s="282"/>
      <c r="Y269" s="282"/>
      <c r="Z269" s="282"/>
      <c r="AA269" s="282"/>
    </row>
    <row r="270" spans="1:27" ht="15.75" x14ac:dyDescent="0.25">
      <c r="A270" s="276">
        <f>ROW()</f>
        <v>270</v>
      </c>
      <c r="B270" s="423" t="s">
        <v>97</v>
      </c>
      <c r="C270" s="423"/>
      <c r="D270" s="423"/>
      <c r="E270" s="423"/>
      <c r="F270" s="423"/>
      <c r="G270" s="1344"/>
      <c r="H270" s="1344"/>
      <c r="I270" s="1344"/>
      <c r="J270" s="1344"/>
      <c r="K270" s="1344"/>
      <c r="L270" s="1345"/>
      <c r="M270" s="1345"/>
      <c r="O270" s="406"/>
      <c r="P270" s="406"/>
      <c r="Q270" s="406"/>
      <c r="R270" s="282"/>
      <c r="S270" s="282"/>
      <c r="T270" s="282"/>
      <c r="U270" s="282"/>
      <c r="V270" s="282"/>
      <c r="W270" s="282"/>
      <c r="X270" s="282"/>
      <c r="Y270" s="282"/>
      <c r="Z270" s="282"/>
      <c r="AA270" s="282"/>
    </row>
    <row r="271" spans="1:27" x14ac:dyDescent="0.25">
      <c r="A271" s="276">
        <f>ROW()</f>
        <v>271</v>
      </c>
      <c r="B271" s="424"/>
      <c r="C271" s="221"/>
      <c r="D271" s="221"/>
      <c r="E271" s="221"/>
      <c r="F271" s="221"/>
      <c r="G271" s="1342"/>
      <c r="H271" s="1342"/>
      <c r="I271" s="1342"/>
      <c r="J271" s="1342"/>
      <c r="K271" s="1342"/>
      <c r="L271" s="1290"/>
      <c r="M271" s="141"/>
      <c r="N271" s="231"/>
      <c r="O271" s="406"/>
      <c r="P271" s="406"/>
      <c r="Q271" s="406"/>
      <c r="R271" s="282"/>
      <c r="S271" s="282"/>
      <c r="T271" s="282"/>
      <c r="U271" s="282"/>
      <c r="V271" s="282"/>
      <c r="W271" s="282"/>
      <c r="X271" s="282"/>
      <c r="Y271" s="282"/>
      <c r="Z271" s="282"/>
      <c r="AA271" s="282"/>
    </row>
    <row r="272" spans="1:27" x14ac:dyDescent="0.25">
      <c r="A272" s="276">
        <f>ROW()</f>
        <v>272</v>
      </c>
      <c r="B272" s="728" t="str">
        <f>$B$113</f>
        <v>Administrators</v>
      </c>
      <c r="C272" s="289"/>
      <c r="D272" s="289"/>
      <c r="E272" s="289"/>
      <c r="F272" s="289"/>
      <c r="G272" s="1342"/>
      <c r="H272" s="1342"/>
      <c r="I272" s="1342"/>
      <c r="J272" s="1342"/>
      <c r="K272" s="1342"/>
      <c r="L272" s="1290"/>
      <c r="M272" s="141"/>
      <c r="N272" s="231"/>
      <c r="O272" s="406"/>
      <c r="P272" s="406"/>
      <c r="Q272" s="406"/>
      <c r="R272" s="282"/>
      <c r="S272" s="282"/>
      <c r="T272" s="282"/>
      <c r="U272" s="282"/>
      <c r="V272" s="282"/>
      <c r="W272" s="282"/>
      <c r="X272" s="282"/>
      <c r="Y272" s="282"/>
      <c r="Z272" s="282"/>
      <c r="AA272" s="282"/>
    </row>
    <row r="273" spans="1:27" outlineLevel="1" x14ac:dyDescent="0.25">
      <c r="A273" s="276">
        <f>ROW()</f>
        <v>273</v>
      </c>
      <c r="B273" s="221" t="str">
        <f>$B$114</f>
        <v>Principal</v>
      </c>
      <c r="C273" s="564">
        <f t="shared" ref="C273:C278" si="54">SUM(G273:M273)</f>
        <v>646840.98843000003</v>
      </c>
      <c r="D273" s="425"/>
      <c r="E273" s="425"/>
      <c r="F273" s="425">
        <f>+J273*0.14625</f>
        <v>15515.662499999999</v>
      </c>
      <c r="G273" s="1296">
        <f>G114*$D114</f>
        <v>0</v>
      </c>
      <c r="H273" s="1296">
        <f>(H114*$D114)</f>
        <v>100000</v>
      </c>
      <c r="I273" s="1296">
        <f t="shared" ref="I273:M277" si="55">(I114*$D114)*$C$46^(I$11-$H$11)</f>
        <v>103000</v>
      </c>
      <c r="J273" s="1296">
        <f t="shared" si="55"/>
        <v>106090</v>
      </c>
      <c r="K273" s="1296">
        <f t="shared" si="55"/>
        <v>109272.7</v>
      </c>
      <c r="L273" s="1296">
        <f t="shared" si="55"/>
        <v>112550.88099999999</v>
      </c>
      <c r="M273" s="1296">
        <f t="shared" si="55"/>
        <v>115927.40742999998</v>
      </c>
      <c r="O273" s="406"/>
      <c r="P273" s="406"/>
      <c r="Q273" s="406"/>
      <c r="R273" s="282"/>
      <c r="S273" s="282"/>
      <c r="T273" s="282"/>
      <c r="U273" s="282"/>
      <c r="V273" s="282"/>
      <c r="W273" s="282"/>
      <c r="X273" s="282"/>
      <c r="Y273" s="282"/>
      <c r="Z273" s="282"/>
      <c r="AA273" s="282"/>
    </row>
    <row r="274" spans="1:27" outlineLevel="1" x14ac:dyDescent="0.25">
      <c r="A274" s="276">
        <f>ROW()</f>
        <v>274</v>
      </c>
      <c r="B274" s="221" t="str">
        <f>$B$115</f>
        <v>Assistant Principal</v>
      </c>
      <c r="C274" s="582">
        <f t="shared" si="54"/>
        <v>382788.69190099998</v>
      </c>
      <c r="D274" s="231"/>
      <c r="E274" s="231"/>
      <c r="F274" s="231">
        <f t="shared" ref="F274:F275" si="56">+J274*0.14625</f>
        <v>10860.963749999999</v>
      </c>
      <c r="G274" s="1290">
        <f>G115*$D115</f>
        <v>0</v>
      </c>
      <c r="H274" s="1290">
        <f>(H115*$D115)</f>
        <v>0</v>
      </c>
      <c r="I274" s="1290">
        <f t="shared" si="55"/>
        <v>72100</v>
      </c>
      <c r="J274" s="1290">
        <f t="shared" si="55"/>
        <v>74263</v>
      </c>
      <c r="K274" s="1290">
        <f t="shared" si="55"/>
        <v>76490.89</v>
      </c>
      <c r="L274" s="1290">
        <f t="shared" si="55"/>
        <v>78785.616699999999</v>
      </c>
      <c r="M274" s="1290">
        <f t="shared" si="55"/>
        <v>81149.185200999986</v>
      </c>
      <c r="O274" s="406"/>
      <c r="P274" s="406"/>
      <c r="Q274" s="406"/>
      <c r="R274" s="282"/>
      <c r="S274" s="282"/>
      <c r="T274" s="282"/>
      <c r="U274" s="282"/>
      <c r="V274" s="282"/>
      <c r="W274" s="282"/>
      <c r="X274" s="282"/>
      <c r="Y274" s="282"/>
      <c r="Z274" s="282"/>
      <c r="AA274" s="282"/>
    </row>
    <row r="275" spans="1:27" outlineLevel="1" x14ac:dyDescent="0.25">
      <c r="A275" s="276">
        <f>ROW()</f>
        <v>275</v>
      </c>
      <c r="B275" s="221" t="str">
        <f>$B$115</f>
        <v>Assistant Principal</v>
      </c>
      <c r="C275" s="582">
        <f t="shared" si="54"/>
        <v>236425.69190099998</v>
      </c>
      <c r="D275" s="231"/>
      <c r="E275" s="231"/>
      <c r="F275" s="231">
        <f t="shared" si="56"/>
        <v>0</v>
      </c>
      <c r="G275" s="1290">
        <f>G116*$D116</f>
        <v>0</v>
      </c>
      <c r="H275" s="1290">
        <f>(H116*$D116)</f>
        <v>0</v>
      </c>
      <c r="I275" s="1290">
        <f t="shared" si="55"/>
        <v>0</v>
      </c>
      <c r="J275" s="1290">
        <f t="shared" si="55"/>
        <v>0</v>
      </c>
      <c r="K275" s="1290">
        <f t="shared" si="55"/>
        <v>76490.89</v>
      </c>
      <c r="L275" s="1290">
        <f t="shared" si="55"/>
        <v>78785.616699999999</v>
      </c>
      <c r="M275" s="1290">
        <f t="shared" si="55"/>
        <v>81149.185200999986</v>
      </c>
      <c r="O275" s="406"/>
      <c r="P275" s="406"/>
      <c r="Q275" s="406"/>
      <c r="R275" s="282"/>
      <c r="S275" s="282"/>
      <c r="T275" s="282"/>
      <c r="U275" s="282"/>
      <c r="V275" s="282"/>
      <c r="W275" s="282"/>
      <c r="X275" s="282"/>
      <c r="Y275" s="282"/>
      <c r="Z275" s="282"/>
      <c r="AA275" s="282"/>
    </row>
    <row r="276" spans="1:27" outlineLevel="1" x14ac:dyDescent="0.25">
      <c r="A276" s="276">
        <f>ROW()</f>
        <v>276</v>
      </c>
      <c r="B276" s="221" t="str">
        <f>$B$116</f>
        <v>Assistant Principal</v>
      </c>
      <c r="C276" s="582">
        <f t="shared" si="54"/>
        <v>0</v>
      </c>
      <c r="D276" s="231"/>
      <c r="E276" s="231"/>
      <c r="F276" s="231"/>
      <c r="G276" s="1290">
        <f>G117*$D117</f>
        <v>0</v>
      </c>
      <c r="H276" s="1290">
        <f>(H117*$D117)</f>
        <v>0</v>
      </c>
      <c r="I276" s="1290">
        <f t="shared" si="55"/>
        <v>0</v>
      </c>
      <c r="J276" s="1290">
        <f t="shared" si="55"/>
        <v>0</v>
      </c>
      <c r="K276" s="1290">
        <f t="shared" si="55"/>
        <v>0</v>
      </c>
      <c r="L276" s="1290">
        <f t="shared" si="55"/>
        <v>0</v>
      </c>
      <c r="M276" s="1290">
        <f t="shared" si="55"/>
        <v>0</v>
      </c>
      <c r="O276" s="406"/>
      <c r="P276" s="406"/>
      <c r="Q276" s="406"/>
      <c r="R276" s="282"/>
      <c r="S276" s="282"/>
      <c r="T276" s="282"/>
      <c r="U276" s="282"/>
      <c r="V276" s="282"/>
      <c r="W276" s="282"/>
      <c r="X276" s="282"/>
      <c r="Y276" s="282"/>
      <c r="Z276" s="282"/>
      <c r="AA276" s="282"/>
    </row>
    <row r="277" spans="1:27" outlineLevel="1" x14ac:dyDescent="0.25">
      <c r="A277" s="276">
        <f>ROW()</f>
        <v>277</v>
      </c>
      <c r="B277" s="289" t="str">
        <f>$B$117</f>
        <v>Admin 4</v>
      </c>
      <c r="C277" s="583">
        <f t="shared" si="54"/>
        <v>0</v>
      </c>
      <c r="D277" s="426"/>
      <c r="E277" s="426"/>
      <c r="F277" s="426"/>
      <c r="G277" s="1295">
        <f>G118*$D118</f>
        <v>0</v>
      </c>
      <c r="H277" s="1290">
        <f>(H118*$D118)</f>
        <v>0</v>
      </c>
      <c r="I277" s="1290">
        <f t="shared" si="55"/>
        <v>0</v>
      </c>
      <c r="J277" s="1290">
        <f t="shared" si="55"/>
        <v>0</v>
      </c>
      <c r="K277" s="1290">
        <f t="shared" si="55"/>
        <v>0</v>
      </c>
      <c r="L277" s="1290">
        <f t="shared" si="55"/>
        <v>0</v>
      </c>
      <c r="M277" s="1290">
        <f t="shared" si="55"/>
        <v>0</v>
      </c>
      <c r="O277" s="406"/>
      <c r="P277" s="406"/>
      <c r="Q277" s="406"/>
      <c r="R277" s="282"/>
      <c r="S277" s="282"/>
      <c r="T277" s="282"/>
      <c r="U277" s="282"/>
      <c r="V277" s="282"/>
      <c r="W277" s="282"/>
      <c r="X277" s="282"/>
      <c r="Y277" s="282"/>
      <c r="Z277" s="282"/>
      <c r="AA277" s="282"/>
    </row>
    <row r="278" spans="1:27" x14ac:dyDescent="0.25">
      <c r="A278" s="276">
        <f>ROW()</f>
        <v>278</v>
      </c>
      <c r="B278" s="221" t="s">
        <v>390</v>
      </c>
      <c r="C278" s="582">
        <f t="shared" si="54"/>
        <v>1266055.3722319999</v>
      </c>
      <c r="D278" s="231"/>
      <c r="E278" s="231"/>
      <c r="F278" s="231">
        <f t="shared" ref="F278" si="57">+J278*0.14625</f>
        <v>26376.626249999998</v>
      </c>
      <c r="G278" s="1346">
        <f t="shared" ref="G278:M278" si="58">SUM(G273:G277)</f>
        <v>0</v>
      </c>
      <c r="H278" s="1346">
        <f t="shared" si="58"/>
        <v>100000</v>
      </c>
      <c r="I278" s="1346">
        <f t="shared" si="58"/>
        <v>175100</v>
      </c>
      <c r="J278" s="1346">
        <f t="shared" si="58"/>
        <v>180353</v>
      </c>
      <c r="K278" s="1346">
        <f t="shared" si="58"/>
        <v>262254.48</v>
      </c>
      <c r="L278" s="1346">
        <f t="shared" si="58"/>
        <v>270122.11440000002</v>
      </c>
      <c r="M278" s="1346">
        <f t="shared" si="58"/>
        <v>278225.77783199993</v>
      </c>
      <c r="O278" s="406"/>
      <c r="P278" s="406"/>
      <c r="Q278" s="406"/>
      <c r="R278" s="282"/>
      <c r="S278" s="282"/>
      <c r="T278" s="282"/>
      <c r="U278" s="282"/>
      <c r="V278" s="282"/>
      <c r="W278" s="282"/>
      <c r="X278" s="282"/>
      <c r="Y278" s="282"/>
      <c r="Z278" s="282"/>
      <c r="AA278" s="282"/>
    </row>
    <row r="279" spans="1:27" x14ac:dyDescent="0.25">
      <c r="A279" s="276">
        <f>ROW()</f>
        <v>279</v>
      </c>
      <c r="B279" s="728" t="str">
        <f>$B$122</f>
        <v>Office Staff</v>
      </c>
      <c r="C279" s="583"/>
      <c r="D279" s="426"/>
      <c r="E279" s="426"/>
      <c r="F279" s="426"/>
      <c r="G279" s="1295"/>
      <c r="H279" s="1295"/>
      <c r="I279" s="1295"/>
      <c r="J279" s="1295">
        <f>+J278*0.14625</f>
        <v>26376.626249999998</v>
      </c>
      <c r="K279" s="1295"/>
      <c r="L279" s="1295"/>
      <c r="M279" s="1295"/>
      <c r="O279" s="406"/>
      <c r="P279" s="406"/>
      <c r="Q279" s="406"/>
      <c r="R279" s="282"/>
      <c r="S279" s="282"/>
      <c r="T279" s="282"/>
      <c r="U279" s="282"/>
      <c r="V279" s="282"/>
      <c r="W279" s="282"/>
      <c r="X279" s="282"/>
      <c r="Y279" s="282"/>
      <c r="Z279" s="282"/>
      <c r="AA279" s="282"/>
    </row>
    <row r="280" spans="1:27" outlineLevel="1" x14ac:dyDescent="0.25">
      <c r="A280" s="276">
        <f>ROW()</f>
        <v>280</v>
      </c>
      <c r="B280" s="221" t="str">
        <f>$B$123</f>
        <v>Office Manager</v>
      </c>
      <c r="C280" s="582">
        <f>SUM(G280:M280)</f>
        <v>291078.44479350001</v>
      </c>
      <c r="D280" s="231"/>
      <c r="E280" s="231"/>
      <c r="F280" s="231">
        <f t="shared" ref="F280" si="59">+J280*0.14625</f>
        <v>6982.0481249999993</v>
      </c>
      <c r="G280" s="1290">
        <f>G123*$D123</f>
        <v>0</v>
      </c>
      <c r="H280" s="1290">
        <f>(H123*$D123)</f>
        <v>45000</v>
      </c>
      <c r="I280" s="1290">
        <f t="shared" ref="I280:M282" si="60">(I123*$D123)*$C$46^(I$11-$H$11)</f>
        <v>46350</v>
      </c>
      <c r="J280" s="1290">
        <f t="shared" si="60"/>
        <v>47740.5</v>
      </c>
      <c r="K280" s="1290">
        <f t="shared" si="60"/>
        <v>49172.715000000004</v>
      </c>
      <c r="L280" s="1290">
        <f t="shared" si="60"/>
        <v>50647.896449999993</v>
      </c>
      <c r="M280" s="1290">
        <f t="shared" si="60"/>
        <v>52167.333343499995</v>
      </c>
      <c r="O280" s="406"/>
      <c r="P280" s="406"/>
      <c r="Q280" s="406"/>
      <c r="R280" s="282"/>
      <c r="S280" s="282"/>
      <c r="T280" s="282"/>
      <c r="U280" s="282"/>
      <c r="V280" s="282"/>
      <c r="W280" s="282"/>
      <c r="X280" s="282"/>
      <c r="Y280" s="282"/>
      <c r="Z280" s="282"/>
      <c r="AA280" s="282"/>
    </row>
    <row r="281" spans="1:27" outlineLevel="1" x14ac:dyDescent="0.25">
      <c r="A281" s="276">
        <f>ROW()</f>
        <v>281</v>
      </c>
      <c r="B281" s="221" t="str">
        <f>$B$124</f>
        <v>Registrar</v>
      </c>
      <c r="C281" s="582">
        <f>SUM(G281:M281)</f>
        <v>177536.395372</v>
      </c>
      <c r="D281" s="231"/>
      <c r="E281" s="231"/>
      <c r="F281" s="231"/>
      <c r="G281" s="1290">
        <f>G124*$D124</f>
        <v>0</v>
      </c>
      <c r="H281" s="1290">
        <f>(H124*$D124)</f>
        <v>0</v>
      </c>
      <c r="I281" s="1290">
        <f t="shared" si="60"/>
        <v>0</v>
      </c>
      <c r="J281" s="1290">
        <f t="shared" si="60"/>
        <v>42436</v>
      </c>
      <c r="K281" s="1290">
        <f t="shared" si="60"/>
        <v>43709.08</v>
      </c>
      <c r="L281" s="1290">
        <f t="shared" si="60"/>
        <v>45020.352399999996</v>
      </c>
      <c r="M281" s="1290">
        <f t="shared" si="60"/>
        <v>46370.962971999994</v>
      </c>
      <c r="O281" s="406"/>
      <c r="P281" s="406"/>
      <c r="Q281" s="406"/>
      <c r="R281" s="282"/>
      <c r="S281" s="282"/>
      <c r="T281" s="282"/>
      <c r="U281" s="282"/>
      <c r="V281" s="282"/>
      <c r="W281" s="282"/>
      <c r="X281" s="282"/>
      <c r="Y281" s="282"/>
      <c r="Z281" s="282"/>
      <c r="AA281" s="282"/>
    </row>
    <row r="282" spans="1:27" outlineLevel="1" x14ac:dyDescent="0.25">
      <c r="A282" s="276">
        <f>ROW()</f>
        <v>282</v>
      </c>
      <c r="B282" s="289">
        <f>$B$125</f>
        <v>0</v>
      </c>
      <c r="C282" s="583">
        <f>SUM(G282:M282)</f>
        <v>0</v>
      </c>
      <c r="D282" s="426"/>
      <c r="E282" s="426"/>
      <c r="F282" s="426"/>
      <c r="G282" s="1290">
        <f>G125*$D125</f>
        <v>0</v>
      </c>
      <c r="H282" s="1290">
        <f>(H125*$D125)</f>
        <v>0</v>
      </c>
      <c r="I282" s="1290">
        <f t="shared" si="60"/>
        <v>0</v>
      </c>
      <c r="J282" s="1290">
        <f t="shared" si="60"/>
        <v>0</v>
      </c>
      <c r="K282" s="1290">
        <f t="shared" si="60"/>
        <v>0</v>
      </c>
      <c r="L282" s="1290">
        <f t="shared" si="60"/>
        <v>0</v>
      </c>
      <c r="M282" s="1290">
        <f t="shared" si="60"/>
        <v>0</v>
      </c>
      <c r="O282" s="406"/>
      <c r="P282" s="406"/>
      <c r="Q282" s="406"/>
      <c r="R282" s="282"/>
      <c r="S282" s="282"/>
      <c r="T282" s="282"/>
      <c r="U282" s="282"/>
      <c r="V282" s="282"/>
      <c r="W282" s="282"/>
      <c r="X282" s="282"/>
      <c r="Y282" s="282"/>
      <c r="Z282" s="282"/>
      <c r="AA282" s="282"/>
    </row>
    <row r="283" spans="1:27" outlineLevel="1" x14ac:dyDescent="0.25">
      <c r="A283" s="276">
        <f>ROW()</f>
        <v>283</v>
      </c>
      <c r="B283" s="221" t="s">
        <v>390</v>
      </c>
      <c r="C283" s="582">
        <f>SUM(G283:M283)</f>
        <v>468614.84016550001</v>
      </c>
      <c r="D283" s="231"/>
      <c r="E283" s="231"/>
      <c r="F283" s="231"/>
      <c r="G283" s="1346">
        <f t="shared" ref="G283:M283" si="61">SUM(G280:G282)</f>
        <v>0</v>
      </c>
      <c r="H283" s="1346">
        <f t="shared" si="61"/>
        <v>45000</v>
      </c>
      <c r="I283" s="1346">
        <f t="shared" si="61"/>
        <v>46350</v>
      </c>
      <c r="J283" s="1346">
        <f t="shared" si="61"/>
        <v>90176.5</v>
      </c>
      <c r="K283" s="1346">
        <f t="shared" si="61"/>
        <v>92881.795000000013</v>
      </c>
      <c r="L283" s="1346">
        <f t="shared" si="61"/>
        <v>95668.248849999989</v>
      </c>
      <c r="M283" s="1346">
        <f t="shared" si="61"/>
        <v>98538.296315499989</v>
      </c>
      <c r="O283" s="406"/>
      <c r="P283" s="406"/>
      <c r="Q283" s="406"/>
      <c r="R283" s="282"/>
      <c r="S283" s="282"/>
      <c r="T283" s="282"/>
      <c r="U283" s="282"/>
      <c r="V283" s="282"/>
      <c r="W283" s="282"/>
      <c r="X283" s="282"/>
      <c r="Y283" s="282"/>
      <c r="Z283" s="282"/>
      <c r="AA283" s="282"/>
    </row>
    <row r="284" spans="1:27" outlineLevel="1" x14ac:dyDescent="0.25">
      <c r="A284" s="276">
        <f>ROW()</f>
        <v>284</v>
      </c>
      <c r="B284" s="221"/>
      <c r="C284" s="582"/>
      <c r="D284" s="231"/>
      <c r="E284" s="231"/>
      <c r="F284" s="231"/>
      <c r="G284" s="1290"/>
      <c r="H284" s="1290"/>
      <c r="I284" s="1290"/>
      <c r="J284" s="1290"/>
      <c r="K284" s="1290"/>
      <c r="L284" s="1290"/>
      <c r="M284" s="1290"/>
      <c r="O284" s="406"/>
      <c r="P284" s="406"/>
      <c r="Q284" s="406"/>
      <c r="R284" s="282"/>
      <c r="S284" s="282"/>
      <c r="T284" s="282"/>
      <c r="U284" s="282"/>
      <c r="V284" s="282"/>
      <c r="W284" s="282"/>
      <c r="X284" s="282"/>
      <c r="Y284" s="282"/>
      <c r="Z284" s="282"/>
      <c r="AA284" s="282"/>
    </row>
    <row r="285" spans="1:27" x14ac:dyDescent="0.25">
      <c r="A285" s="276">
        <f>ROW()</f>
        <v>285</v>
      </c>
      <c r="B285" s="362" t="str">
        <f>$B$128</f>
        <v>Total Administrators and Office Staff</v>
      </c>
      <c r="C285" s="584">
        <f>SUM(G285:M285)</f>
        <v>1734670.2123974999</v>
      </c>
      <c r="D285" s="547"/>
      <c r="E285" s="547"/>
      <c r="F285" s="547"/>
      <c r="G285" s="704">
        <f>+G278+G283</f>
        <v>0</v>
      </c>
      <c r="H285" s="704">
        <f t="shared" ref="H285:M285" si="62">+H278+H283</f>
        <v>145000</v>
      </c>
      <c r="I285" s="704">
        <f t="shared" si="62"/>
        <v>221450</v>
      </c>
      <c r="J285" s="704">
        <f t="shared" si="62"/>
        <v>270529.5</v>
      </c>
      <c r="K285" s="704">
        <f t="shared" si="62"/>
        <v>355136.27500000002</v>
      </c>
      <c r="L285" s="704">
        <f t="shared" si="62"/>
        <v>365790.36324999999</v>
      </c>
      <c r="M285" s="704">
        <f t="shared" si="62"/>
        <v>376764.07414749992</v>
      </c>
      <c r="O285" s="406"/>
      <c r="R285" s="282"/>
      <c r="S285" s="282"/>
      <c r="T285" s="282"/>
      <c r="U285" s="282"/>
      <c r="V285" s="282"/>
      <c r="W285" s="282"/>
      <c r="X285" s="282"/>
      <c r="Y285" s="282"/>
      <c r="Z285" s="282"/>
      <c r="AA285" s="282"/>
    </row>
    <row r="286" spans="1:27" x14ac:dyDescent="0.25">
      <c r="A286" s="276">
        <f>ROW()</f>
        <v>286</v>
      </c>
      <c r="B286" s="219"/>
      <c r="C286" s="582"/>
      <c r="D286" s="231"/>
      <c r="E286" s="231"/>
      <c r="F286" s="231"/>
      <c r="G286" s="1290"/>
      <c r="H286" s="1290"/>
      <c r="I286" s="1290"/>
      <c r="J286" s="1290"/>
      <c r="K286" s="1290"/>
      <c r="L286" s="1290"/>
      <c r="M286" s="1290"/>
      <c r="O286" s="406"/>
      <c r="R286" s="282"/>
      <c r="S286" s="282"/>
      <c r="T286" s="282"/>
      <c r="U286" s="282"/>
      <c r="V286" s="282"/>
      <c r="W286" s="282"/>
      <c r="X286" s="282"/>
      <c r="Y286" s="282"/>
      <c r="Z286" s="282"/>
      <c r="AA286" s="282"/>
    </row>
    <row r="287" spans="1:27" x14ac:dyDescent="0.25">
      <c r="A287" s="276">
        <f>ROW(A130)</f>
        <v>130</v>
      </c>
      <c r="B287" s="596" t="str">
        <f>$B$130</f>
        <v>Special Education (SPED) Teachers</v>
      </c>
      <c r="C287" s="583"/>
      <c r="D287" s="426"/>
      <c r="E287" s="426"/>
      <c r="F287" s="426"/>
      <c r="G287" s="1295"/>
      <c r="H287" s="1295"/>
      <c r="I287" s="1295"/>
      <c r="J287" s="1295"/>
      <c r="K287" s="1295"/>
      <c r="L287" s="1295"/>
      <c r="M287" s="1295"/>
      <c r="O287" s="406"/>
      <c r="R287" s="282"/>
      <c r="S287" s="282"/>
      <c r="T287" s="282"/>
      <c r="U287" s="282"/>
      <c r="V287" s="282"/>
      <c r="W287" s="282"/>
      <c r="X287" s="282"/>
      <c r="Y287" s="282"/>
      <c r="Z287" s="282"/>
      <c r="AA287" s="282"/>
    </row>
    <row r="288" spans="1:27" outlineLevel="1" x14ac:dyDescent="0.25">
      <c r="A288" s="276">
        <f>+A287+1</f>
        <v>131</v>
      </c>
      <c r="B288" s="706" t="str">
        <f>$B$131</f>
        <v>Special Education (SPED) Teacher</v>
      </c>
      <c r="C288" s="582">
        <f t="shared" ref="C288:C297" si="63">SUM(G288:M288)</f>
        <v>271673.21514059999</v>
      </c>
      <c r="D288" s="231"/>
      <c r="E288" s="231"/>
      <c r="F288" s="231"/>
      <c r="G288" s="1290">
        <f t="shared" ref="G288:G296" si="64">G131*$D131</f>
        <v>0</v>
      </c>
      <c r="H288" s="1290">
        <f t="shared" ref="H288:H296" si="65">(H131*$D131)</f>
        <v>42000</v>
      </c>
      <c r="I288" s="1290">
        <f t="shared" ref="I288:M296" si="66">(I131*$D131)*$C$46^(I$11-$H$11)</f>
        <v>43260</v>
      </c>
      <c r="J288" s="1290">
        <f t="shared" si="66"/>
        <v>44557.799999999996</v>
      </c>
      <c r="K288" s="1290">
        <f t="shared" si="66"/>
        <v>45894.534</v>
      </c>
      <c r="L288" s="1290">
        <f t="shared" si="66"/>
        <v>47271.370019999995</v>
      </c>
      <c r="M288" s="1290">
        <f t="shared" si="66"/>
        <v>48689.511120599993</v>
      </c>
      <c r="O288" s="406"/>
      <c r="R288" s="282"/>
      <c r="S288" s="282"/>
      <c r="T288" s="282"/>
      <c r="U288" s="282"/>
      <c r="V288" s="282"/>
      <c r="W288" s="282"/>
      <c r="X288" s="282"/>
      <c r="Y288" s="282"/>
      <c r="Z288" s="282"/>
      <c r="AA288" s="282"/>
    </row>
    <row r="289" spans="1:27" outlineLevel="1" x14ac:dyDescent="0.25">
      <c r="A289" s="276">
        <f t="shared" ref="A289:A297" si="67">+A288+1</f>
        <v>132</v>
      </c>
      <c r="B289" s="706" t="str">
        <f>$B$132</f>
        <v>Special Education (SPED) Teacher</v>
      </c>
      <c r="C289" s="582">
        <f t="shared" si="63"/>
        <v>271673.21514059999</v>
      </c>
      <c r="D289" s="231"/>
      <c r="E289" s="231"/>
      <c r="F289" s="231"/>
      <c r="G289" s="1290">
        <f t="shared" si="64"/>
        <v>0</v>
      </c>
      <c r="H289" s="1290">
        <f t="shared" si="65"/>
        <v>42000</v>
      </c>
      <c r="I289" s="1290">
        <f t="shared" si="66"/>
        <v>43260</v>
      </c>
      <c r="J289" s="1290">
        <f t="shared" si="66"/>
        <v>44557.799999999996</v>
      </c>
      <c r="K289" s="1290">
        <f t="shared" si="66"/>
        <v>45894.534</v>
      </c>
      <c r="L289" s="1290">
        <f t="shared" si="66"/>
        <v>47271.370019999995</v>
      </c>
      <c r="M289" s="1290">
        <f t="shared" si="66"/>
        <v>48689.511120599993</v>
      </c>
      <c r="O289" s="406"/>
      <c r="R289" s="282"/>
      <c r="S289" s="282"/>
      <c r="T289" s="282"/>
      <c r="U289" s="282"/>
      <c r="V289" s="282"/>
      <c r="W289" s="282"/>
      <c r="X289" s="282"/>
      <c r="Y289" s="282"/>
      <c r="Z289" s="282"/>
      <c r="AA289" s="282"/>
    </row>
    <row r="290" spans="1:27" outlineLevel="1" x14ac:dyDescent="0.25">
      <c r="A290" s="276">
        <f t="shared" si="67"/>
        <v>133</v>
      </c>
      <c r="B290" s="706" t="str">
        <f>$B$133</f>
        <v>Special Education (SPED) Teacher</v>
      </c>
      <c r="C290" s="582">
        <f t="shared" si="63"/>
        <v>233118.31336770902</v>
      </c>
      <c r="D290" s="231"/>
      <c r="E290" s="231"/>
      <c r="F290" s="231"/>
      <c r="G290" s="1290">
        <f t="shared" si="64"/>
        <v>0</v>
      </c>
      <c r="H290" s="1290">
        <f t="shared" si="65"/>
        <v>0</v>
      </c>
      <c r="I290" s="1290">
        <f t="shared" si="66"/>
        <v>43908.9</v>
      </c>
      <c r="J290" s="1290">
        <f t="shared" si="66"/>
        <v>45226.167000000001</v>
      </c>
      <c r="K290" s="1290">
        <f t="shared" si="66"/>
        <v>46582.952010000001</v>
      </c>
      <c r="L290" s="1290">
        <f t="shared" si="66"/>
        <v>47980.440570299994</v>
      </c>
      <c r="M290" s="1290">
        <f t="shared" si="66"/>
        <v>49419.853787408996</v>
      </c>
      <c r="O290" s="406"/>
      <c r="R290" s="282"/>
      <c r="S290" s="282"/>
      <c r="T290" s="282"/>
      <c r="U290" s="282"/>
      <c r="V290" s="282"/>
      <c r="W290" s="282"/>
      <c r="X290" s="282"/>
      <c r="Y290" s="282"/>
      <c r="Z290" s="282"/>
      <c r="AA290" s="282"/>
    </row>
    <row r="291" spans="1:27" outlineLevel="1" x14ac:dyDescent="0.25">
      <c r="A291" s="276">
        <f t="shared" si="67"/>
        <v>134</v>
      </c>
      <c r="B291" s="706" t="str">
        <f>$B$134</f>
        <v>Special Education (SPED) Teacher</v>
      </c>
      <c r="C291" s="582">
        <f t="shared" si="63"/>
        <v>192183.14799019002</v>
      </c>
      <c r="D291" s="231"/>
      <c r="E291" s="231"/>
      <c r="F291" s="231"/>
      <c r="G291" s="1290">
        <f t="shared" si="64"/>
        <v>0</v>
      </c>
      <c r="H291" s="1290">
        <f t="shared" si="65"/>
        <v>0</v>
      </c>
      <c r="I291" s="1290">
        <f t="shared" si="66"/>
        <v>0</v>
      </c>
      <c r="J291" s="1290">
        <f t="shared" si="66"/>
        <v>45936.97</v>
      </c>
      <c r="K291" s="1290">
        <f t="shared" si="66"/>
        <v>47315.079100000003</v>
      </c>
      <c r="L291" s="1290">
        <f t="shared" si="66"/>
        <v>48734.531472999995</v>
      </c>
      <c r="M291" s="1290">
        <f t="shared" si="66"/>
        <v>50196.567417189995</v>
      </c>
      <c r="O291" s="406"/>
      <c r="R291" s="282"/>
      <c r="S291" s="282"/>
      <c r="T291" s="282"/>
      <c r="U291" s="282"/>
      <c r="V291" s="282"/>
      <c r="W291" s="282"/>
      <c r="X291" s="282"/>
      <c r="Y291" s="282"/>
      <c r="Z291" s="282"/>
      <c r="AA291" s="282"/>
    </row>
    <row r="292" spans="1:27" outlineLevel="1" x14ac:dyDescent="0.25">
      <c r="A292" s="276">
        <f t="shared" si="67"/>
        <v>135</v>
      </c>
      <c r="B292" s="706" t="str">
        <f>$B$135</f>
        <v>Special Education (SPED) Teacher</v>
      </c>
      <c r="C292" s="582">
        <f t="shared" si="63"/>
        <v>148610.43490919998</v>
      </c>
      <c r="D292" s="231"/>
      <c r="E292" s="231"/>
      <c r="F292" s="231"/>
      <c r="G292" s="1290">
        <f t="shared" si="64"/>
        <v>0</v>
      </c>
      <c r="H292" s="1290">
        <f t="shared" si="65"/>
        <v>0</v>
      </c>
      <c r="I292" s="1290">
        <f t="shared" si="66"/>
        <v>0</v>
      </c>
      <c r="J292" s="1290">
        <f t="shared" si="66"/>
        <v>0</v>
      </c>
      <c r="K292" s="1290">
        <f t="shared" si="66"/>
        <v>48079.987999999998</v>
      </c>
      <c r="L292" s="1290">
        <f t="shared" si="66"/>
        <v>49522.387639999994</v>
      </c>
      <c r="M292" s="1290">
        <f t="shared" si="66"/>
        <v>51008.059269199992</v>
      </c>
      <c r="O292" s="406"/>
      <c r="R292" s="282"/>
      <c r="S292" s="282"/>
      <c r="T292" s="282"/>
      <c r="U292" s="282"/>
      <c r="V292" s="282"/>
      <c r="W292" s="282"/>
      <c r="X292" s="282"/>
      <c r="Y292" s="282"/>
      <c r="Z292" s="282"/>
      <c r="AA292" s="282"/>
    </row>
    <row r="293" spans="1:27" outlineLevel="1" x14ac:dyDescent="0.25">
      <c r="A293" s="276">
        <f t="shared" si="67"/>
        <v>136</v>
      </c>
      <c r="B293" s="706" t="str">
        <f>$B136</f>
        <v>Special Education (SPED) Teacher</v>
      </c>
      <c r="C293" s="582">
        <f t="shared" si="63"/>
        <v>51064.897464105001</v>
      </c>
      <c r="D293" s="231"/>
      <c r="E293" s="231"/>
      <c r="F293" s="231"/>
      <c r="G293" s="1290">
        <f t="shared" si="64"/>
        <v>0</v>
      </c>
      <c r="H293" s="1290">
        <f t="shared" si="65"/>
        <v>0</v>
      </c>
      <c r="I293" s="1290">
        <f t="shared" si="66"/>
        <v>0</v>
      </c>
      <c r="J293" s="1290">
        <f t="shared" si="66"/>
        <v>0</v>
      </c>
      <c r="K293" s="1290">
        <f t="shared" si="66"/>
        <v>0</v>
      </c>
      <c r="L293" s="1290">
        <f t="shared" si="66"/>
        <v>25155.121903499999</v>
      </c>
      <c r="M293" s="1290">
        <f t="shared" si="66"/>
        <v>25909.775560604998</v>
      </c>
      <c r="O293" s="406"/>
      <c r="R293" s="282"/>
      <c r="S293" s="282"/>
      <c r="T293" s="282"/>
      <c r="U293" s="282"/>
      <c r="V293" s="282"/>
      <c r="W293" s="282"/>
      <c r="X293" s="282"/>
      <c r="Y293" s="282"/>
      <c r="Z293" s="282"/>
      <c r="AA293" s="282"/>
    </row>
    <row r="294" spans="1:27" outlineLevel="1" x14ac:dyDescent="0.25">
      <c r="A294" s="276">
        <f t="shared" si="67"/>
        <v>137</v>
      </c>
      <c r="B294" s="706" t="str">
        <f>$B137</f>
        <v>Special Education (SPED) Teacher</v>
      </c>
      <c r="C294" s="582">
        <f t="shared" si="63"/>
        <v>26286.539634752495</v>
      </c>
      <c r="D294" s="231"/>
      <c r="E294" s="231"/>
      <c r="F294" s="231"/>
      <c r="G294" s="1290">
        <f t="shared" si="64"/>
        <v>0</v>
      </c>
      <c r="H294" s="1290">
        <f t="shared" si="65"/>
        <v>0</v>
      </c>
      <c r="I294" s="1290">
        <f t="shared" si="66"/>
        <v>0</v>
      </c>
      <c r="J294" s="1290">
        <f t="shared" si="66"/>
        <v>0</v>
      </c>
      <c r="K294" s="1290">
        <f t="shared" si="66"/>
        <v>0</v>
      </c>
      <c r="L294" s="1290">
        <f t="shared" si="66"/>
        <v>0</v>
      </c>
      <c r="M294" s="1290">
        <f t="shared" si="66"/>
        <v>26286.539634752495</v>
      </c>
      <c r="O294" s="406"/>
      <c r="R294" s="282"/>
      <c r="S294" s="282"/>
      <c r="T294" s="282"/>
      <c r="U294" s="282"/>
      <c r="V294" s="282"/>
      <c r="W294" s="282"/>
      <c r="X294" s="282"/>
      <c r="Y294" s="282"/>
      <c r="Z294" s="282"/>
      <c r="AA294" s="282"/>
    </row>
    <row r="295" spans="1:27" outlineLevel="1" x14ac:dyDescent="0.25">
      <c r="A295" s="276">
        <f t="shared" si="67"/>
        <v>138</v>
      </c>
      <c r="B295" s="706" t="str">
        <f>$B138</f>
        <v>Teacher Assistant/Aide</v>
      </c>
      <c r="C295" s="582">
        <f t="shared" si="63"/>
        <v>44416.179270791996</v>
      </c>
      <c r="D295" s="231"/>
      <c r="E295" s="231"/>
      <c r="F295" s="231"/>
      <c r="G295" s="1290">
        <f t="shared" si="64"/>
        <v>0</v>
      </c>
      <c r="H295" s="1290">
        <f t="shared" si="65"/>
        <v>0</v>
      </c>
      <c r="I295" s="1290">
        <f t="shared" si="66"/>
        <v>0</v>
      </c>
      <c r="J295" s="1290">
        <f t="shared" si="66"/>
        <v>0</v>
      </c>
      <c r="K295" s="1290">
        <f t="shared" si="66"/>
        <v>0</v>
      </c>
      <c r="L295" s="1290">
        <f t="shared" si="66"/>
        <v>21879.891266399998</v>
      </c>
      <c r="M295" s="1290">
        <f t="shared" si="66"/>
        <v>22536.288004391998</v>
      </c>
      <c r="O295" s="406"/>
      <c r="R295" s="282"/>
      <c r="S295" s="282"/>
      <c r="T295" s="282"/>
      <c r="U295" s="282"/>
      <c r="V295" s="282"/>
      <c r="W295" s="282"/>
      <c r="X295" s="282"/>
      <c r="Y295" s="282"/>
      <c r="Z295" s="282"/>
      <c r="AA295" s="282"/>
    </row>
    <row r="296" spans="1:27" outlineLevel="1" x14ac:dyDescent="0.25">
      <c r="A296" s="276">
        <f t="shared" si="67"/>
        <v>139</v>
      </c>
      <c r="B296" s="706" t="str">
        <f>$B139</f>
        <v>Teacher Assistant/Aide</v>
      </c>
      <c r="C296" s="582">
        <f t="shared" si="63"/>
        <v>22953.626671139999</v>
      </c>
      <c r="D296" s="231"/>
      <c r="E296" s="231"/>
      <c r="F296" s="231"/>
      <c r="G296" s="1290">
        <f t="shared" si="64"/>
        <v>0</v>
      </c>
      <c r="H296" s="1290">
        <f t="shared" si="65"/>
        <v>0</v>
      </c>
      <c r="I296" s="1290">
        <f t="shared" si="66"/>
        <v>0</v>
      </c>
      <c r="J296" s="1290">
        <f t="shared" si="66"/>
        <v>0</v>
      </c>
      <c r="K296" s="1290">
        <f t="shared" si="66"/>
        <v>0</v>
      </c>
      <c r="L296" s="1290">
        <f t="shared" si="66"/>
        <v>0</v>
      </c>
      <c r="M296" s="1290">
        <f t="shared" si="66"/>
        <v>22953.626671139999</v>
      </c>
      <c r="O296" s="406"/>
      <c r="R296" s="282"/>
      <c r="S296" s="282"/>
      <c r="T296" s="282"/>
      <c r="U296" s="282"/>
      <c r="V296" s="282"/>
      <c r="W296" s="282"/>
      <c r="X296" s="282"/>
      <c r="Y296" s="282"/>
      <c r="Z296" s="282"/>
      <c r="AA296" s="282"/>
    </row>
    <row r="297" spans="1:27" x14ac:dyDescent="0.25">
      <c r="A297" s="276">
        <f t="shared" si="67"/>
        <v>140</v>
      </c>
      <c r="B297" s="545" t="str">
        <f>$B140</f>
        <v xml:space="preserve">Total Special EducationTeachers </v>
      </c>
      <c r="C297" s="708">
        <f t="shared" si="63"/>
        <v>1261979.5695890887</v>
      </c>
      <c r="D297" s="548"/>
      <c r="E297" s="548"/>
      <c r="F297" s="548"/>
      <c r="G297" s="1291">
        <f>SUM(G288:G296)</f>
        <v>0</v>
      </c>
      <c r="H297" s="1291">
        <f t="shared" ref="H297:M297" si="68">SUM(H288:H296)</f>
        <v>84000</v>
      </c>
      <c r="I297" s="1291">
        <f t="shared" si="68"/>
        <v>130428.9</v>
      </c>
      <c r="J297" s="1291">
        <f t="shared" si="68"/>
        <v>180278.73699999999</v>
      </c>
      <c r="K297" s="1291">
        <f t="shared" si="68"/>
        <v>233767.08711000002</v>
      </c>
      <c r="L297" s="1291">
        <f t="shared" si="68"/>
        <v>287815.11289320001</v>
      </c>
      <c r="M297" s="1291">
        <f t="shared" si="68"/>
        <v>345689.73258588853</v>
      </c>
      <c r="O297" s="406"/>
      <c r="R297" s="282"/>
      <c r="S297" s="282"/>
      <c r="T297" s="282"/>
      <c r="U297" s="282"/>
      <c r="V297" s="282"/>
      <c r="W297" s="282"/>
      <c r="X297" s="282"/>
      <c r="Y297" s="282"/>
      <c r="Z297" s="282"/>
      <c r="AA297" s="282"/>
    </row>
    <row r="298" spans="1:27" x14ac:dyDescent="0.25">
      <c r="A298" s="276"/>
      <c r="B298" s="221"/>
      <c r="C298" s="582"/>
      <c r="D298" s="231"/>
      <c r="E298" s="231"/>
      <c r="F298" s="231"/>
      <c r="G298" s="1290"/>
      <c r="H298" s="1290"/>
      <c r="I298" s="1290"/>
      <c r="J298" s="1290"/>
      <c r="K298" s="1290"/>
      <c r="L298" s="1290"/>
      <c r="M298" s="1290"/>
      <c r="O298" s="406"/>
      <c r="R298" s="282"/>
      <c r="S298" s="282"/>
      <c r="T298" s="282"/>
      <c r="U298" s="282"/>
      <c r="V298" s="282"/>
      <c r="W298" s="282"/>
      <c r="X298" s="282"/>
      <c r="Y298" s="282"/>
      <c r="Z298" s="282"/>
      <c r="AA298" s="282"/>
    </row>
    <row r="299" spans="1:27" x14ac:dyDescent="0.25">
      <c r="A299" s="276"/>
      <c r="B299" s="596" t="str">
        <f t="shared" ref="B299:B309" si="69">$B142</f>
        <v>English Language Learner (ELL) Teachers</v>
      </c>
      <c r="C299" s="583"/>
      <c r="D299" s="426"/>
      <c r="E299" s="426"/>
      <c r="F299" s="426"/>
      <c r="G299" s="1295"/>
      <c r="H299" s="1295"/>
      <c r="I299" s="1295"/>
      <c r="J299" s="1295"/>
      <c r="K299" s="1295"/>
      <c r="L299" s="1295"/>
      <c r="M299" s="1295"/>
      <c r="O299" s="406"/>
      <c r="R299" s="282"/>
      <c r="S299" s="282"/>
      <c r="T299" s="282"/>
      <c r="U299" s="282"/>
      <c r="V299" s="282"/>
      <c r="W299" s="282"/>
      <c r="X299" s="282"/>
      <c r="Y299" s="282"/>
      <c r="Z299" s="282"/>
      <c r="AA299" s="282"/>
    </row>
    <row r="300" spans="1:27" outlineLevel="1" x14ac:dyDescent="0.25">
      <c r="A300" s="276">
        <f>ROW(A143)</f>
        <v>143</v>
      </c>
      <c r="B300" s="706" t="str">
        <f t="shared" si="69"/>
        <v>ELL Coordinator</v>
      </c>
      <c r="C300" s="582">
        <f t="shared" ref="C300:C309" si="70">SUM(G300:M300)</f>
        <v>368699.36340509995</v>
      </c>
      <c r="D300" s="231"/>
      <c r="E300" s="231"/>
      <c r="F300" s="231"/>
      <c r="G300" s="1290">
        <f t="shared" ref="G300:G308" si="71">G143*$D143</f>
        <v>0</v>
      </c>
      <c r="H300" s="1290">
        <f t="shared" ref="H300:H308" si="72">(H143*$D143)</f>
        <v>57000</v>
      </c>
      <c r="I300" s="1290">
        <f t="shared" ref="I300:M308" si="73">(I143*$D143)*$C$46^(I$11-$H$11)</f>
        <v>58710</v>
      </c>
      <c r="J300" s="1290">
        <f t="shared" si="73"/>
        <v>60471.299999999996</v>
      </c>
      <c r="K300" s="1290">
        <f t="shared" si="73"/>
        <v>62285.438999999998</v>
      </c>
      <c r="L300" s="1290">
        <f t="shared" si="73"/>
        <v>64154.002169999992</v>
      </c>
      <c r="M300" s="1290">
        <f t="shared" si="73"/>
        <v>66078.622235099989</v>
      </c>
      <c r="O300" s="406"/>
      <c r="R300" s="282"/>
      <c r="S300" s="282"/>
      <c r="T300" s="282"/>
      <c r="U300" s="282"/>
      <c r="V300" s="282"/>
      <c r="W300" s="282"/>
      <c r="X300" s="282"/>
      <c r="Y300" s="282"/>
      <c r="Z300" s="282"/>
      <c r="AA300" s="282"/>
    </row>
    <row r="301" spans="1:27" outlineLevel="1" x14ac:dyDescent="0.25">
      <c r="A301" s="276">
        <f>+A300+1</f>
        <v>144</v>
      </c>
      <c r="B301" s="706" t="str">
        <f t="shared" si="69"/>
        <v>Teacher Assistant/Aide</v>
      </c>
      <c r="C301" s="582">
        <f t="shared" si="70"/>
        <v>116431.37791739999</v>
      </c>
      <c r="D301" s="231"/>
      <c r="E301" s="231"/>
      <c r="F301" s="231"/>
      <c r="G301" s="1290">
        <f t="shared" si="71"/>
        <v>0</v>
      </c>
      <c r="H301" s="1290">
        <f t="shared" si="72"/>
        <v>18000</v>
      </c>
      <c r="I301" s="1290">
        <f t="shared" si="73"/>
        <v>18540</v>
      </c>
      <c r="J301" s="1290">
        <f t="shared" si="73"/>
        <v>19096.2</v>
      </c>
      <c r="K301" s="1290">
        <f t="shared" si="73"/>
        <v>19669.085999999999</v>
      </c>
      <c r="L301" s="1290">
        <f t="shared" si="73"/>
        <v>20259.158579999999</v>
      </c>
      <c r="M301" s="1290">
        <f t="shared" si="73"/>
        <v>20866.933337399998</v>
      </c>
      <c r="O301" s="406"/>
      <c r="R301" s="282"/>
      <c r="S301" s="282"/>
      <c r="T301" s="282"/>
      <c r="U301" s="282"/>
      <c r="V301" s="282"/>
      <c r="W301" s="282"/>
      <c r="X301" s="282"/>
      <c r="Y301" s="282"/>
      <c r="Z301" s="282"/>
      <c r="AA301" s="282"/>
    </row>
    <row r="302" spans="1:27" outlineLevel="1" x14ac:dyDescent="0.25">
      <c r="A302" s="276">
        <f t="shared" ref="A302:A308" si="74">+A301+1</f>
        <v>145</v>
      </c>
      <c r="B302" s="706" t="str">
        <f t="shared" si="69"/>
        <v>Teacher Assistant/Aide</v>
      </c>
      <c r="C302" s="582">
        <f t="shared" si="70"/>
        <v>100400.00547574798</v>
      </c>
      <c r="D302" s="231"/>
      <c r="E302" s="231"/>
      <c r="F302" s="231"/>
      <c r="G302" s="1290">
        <f t="shared" si="71"/>
        <v>0</v>
      </c>
      <c r="H302" s="1290">
        <f t="shared" si="72"/>
        <v>0</v>
      </c>
      <c r="I302" s="1290">
        <f t="shared" si="73"/>
        <v>18910.8</v>
      </c>
      <c r="J302" s="1290">
        <f t="shared" si="73"/>
        <v>19478.124</v>
      </c>
      <c r="K302" s="1290">
        <f t="shared" si="73"/>
        <v>20062.467720000001</v>
      </c>
      <c r="L302" s="1290">
        <f t="shared" si="73"/>
        <v>20664.341751599997</v>
      </c>
      <c r="M302" s="1290">
        <f t="shared" si="73"/>
        <v>21284.272004147999</v>
      </c>
      <c r="O302" s="406"/>
      <c r="R302" s="282"/>
      <c r="S302" s="282"/>
      <c r="T302" s="282"/>
      <c r="U302" s="282"/>
      <c r="V302" s="282"/>
      <c r="W302" s="282"/>
      <c r="X302" s="282"/>
      <c r="Y302" s="282"/>
      <c r="Z302" s="282"/>
      <c r="AA302" s="282"/>
    </row>
    <row r="303" spans="1:27" outlineLevel="1" x14ac:dyDescent="0.25">
      <c r="A303" s="276">
        <f t="shared" si="74"/>
        <v>146</v>
      </c>
      <c r="B303" s="706" t="str">
        <f t="shared" si="69"/>
        <v>Teacher Assistant/Aide</v>
      </c>
      <c r="C303" s="582">
        <f t="shared" si="70"/>
        <v>100400.00547574798</v>
      </c>
      <c r="D303" s="231"/>
      <c r="E303" s="231"/>
      <c r="F303" s="231"/>
      <c r="G303" s="1290">
        <f t="shared" si="71"/>
        <v>0</v>
      </c>
      <c r="H303" s="1290">
        <f t="shared" si="72"/>
        <v>0</v>
      </c>
      <c r="I303" s="1290">
        <f t="shared" si="73"/>
        <v>18910.8</v>
      </c>
      <c r="J303" s="1290">
        <f t="shared" si="73"/>
        <v>19478.124</v>
      </c>
      <c r="K303" s="1290">
        <f t="shared" si="73"/>
        <v>20062.467720000001</v>
      </c>
      <c r="L303" s="1290">
        <f t="shared" si="73"/>
        <v>20664.341751599997</v>
      </c>
      <c r="M303" s="1290">
        <f t="shared" si="73"/>
        <v>21284.272004147999</v>
      </c>
      <c r="O303" s="406"/>
      <c r="R303" s="282"/>
      <c r="S303" s="282"/>
      <c r="T303" s="282"/>
      <c r="U303" s="282"/>
      <c r="V303" s="282"/>
      <c r="W303" s="282"/>
      <c r="X303" s="282"/>
      <c r="Y303" s="282"/>
      <c r="Z303" s="282"/>
      <c r="AA303" s="282"/>
    </row>
    <row r="304" spans="1:27" outlineLevel="1" x14ac:dyDescent="0.25">
      <c r="A304" s="276">
        <f t="shared" si="74"/>
        <v>147</v>
      </c>
      <c r="B304" s="706" t="str">
        <f t="shared" si="69"/>
        <v>Teacher Assistant/Aide</v>
      </c>
      <c r="C304" s="582">
        <f t="shared" si="70"/>
        <v>83087.033034095992</v>
      </c>
      <c r="D304" s="231"/>
      <c r="E304" s="231"/>
      <c r="F304" s="231"/>
      <c r="G304" s="1290">
        <f t="shared" si="71"/>
        <v>0</v>
      </c>
      <c r="H304" s="1290">
        <f t="shared" si="72"/>
        <v>0</v>
      </c>
      <c r="I304" s="1290">
        <f t="shared" si="73"/>
        <v>0</v>
      </c>
      <c r="J304" s="1290">
        <f t="shared" si="73"/>
        <v>19860.047999999999</v>
      </c>
      <c r="K304" s="1290">
        <f t="shared" si="73"/>
        <v>20455.849440000002</v>
      </c>
      <c r="L304" s="1290">
        <f t="shared" si="73"/>
        <v>21069.524923199999</v>
      </c>
      <c r="M304" s="1290">
        <f t="shared" si="73"/>
        <v>21701.610670895996</v>
      </c>
      <c r="O304" s="406"/>
      <c r="R304" s="282"/>
      <c r="S304" s="282"/>
      <c r="T304" s="282"/>
      <c r="U304" s="282"/>
      <c r="V304" s="282"/>
      <c r="W304" s="282"/>
      <c r="X304" s="282"/>
      <c r="Y304" s="282"/>
      <c r="Z304" s="282"/>
      <c r="AA304" s="282"/>
    </row>
    <row r="305" spans="1:27" outlineLevel="1" x14ac:dyDescent="0.25">
      <c r="A305" s="276">
        <f t="shared" si="74"/>
        <v>148</v>
      </c>
      <c r="B305" s="706" t="str">
        <f t="shared" si="69"/>
        <v>Teacher Assistant/Aide</v>
      </c>
      <c r="C305" s="582">
        <f t="shared" si="70"/>
        <v>83087.033034095992</v>
      </c>
      <c r="D305" s="231"/>
      <c r="E305" s="231"/>
      <c r="F305" s="231"/>
      <c r="G305" s="1290">
        <f t="shared" si="71"/>
        <v>0</v>
      </c>
      <c r="H305" s="1290">
        <f t="shared" si="72"/>
        <v>0</v>
      </c>
      <c r="I305" s="1290">
        <f t="shared" si="73"/>
        <v>0</v>
      </c>
      <c r="J305" s="1290">
        <f t="shared" si="73"/>
        <v>19860.047999999999</v>
      </c>
      <c r="K305" s="1290">
        <f t="shared" si="73"/>
        <v>20455.849440000002</v>
      </c>
      <c r="L305" s="1290">
        <f t="shared" si="73"/>
        <v>21069.524923199999</v>
      </c>
      <c r="M305" s="1290">
        <f t="shared" si="73"/>
        <v>21701.610670895996</v>
      </c>
      <c r="O305" s="406"/>
      <c r="R305" s="282"/>
      <c r="S305" s="282"/>
      <c r="T305" s="282"/>
      <c r="U305" s="282"/>
      <c r="V305" s="282"/>
      <c r="W305" s="282"/>
      <c r="X305" s="282"/>
      <c r="Y305" s="282"/>
      <c r="Z305" s="282"/>
      <c r="AA305" s="282"/>
    </row>
    <row r="306" spans="1:27" outlineLevel="1" x14ac:dyDescent="0.25">
      <c r="A306" s="276">
        <f t="shared" si="74"/>
        <v>149</v>
      </c>
      <c r="B306" s="706" t="str">
        <f t="shared" si="69"/>
        <v>Teacher Assistant/Aide</v>
      </c>
      <c r="C306" s="582">
        <f t="shared" si="70"/>
        <v>83087.033034095992</v>
      </c>
      <c r="D306" s="231"/>
      <c r="E306" s="231"/>
      <c r="F306" s="231"/>
      <c r="G306" s="1290">
        <f t="shared" si="71"/>
        <v>0</v>
      </c>
      <c r="H306" s="1290">
        <f t="shared" si="72"/>
        <v>0</v>
      </c>
      <c r="I306" s="1290">
        <f t="shared" si="73"/>
        <v>0</v>
      </c>
      <c r="J306" s="1290">
        <f t="shared" si="73"/>
        <v>19860.047999999999</v>
      </c>
      <c r="K306" s="1290">
        <f t="shared" si="73"/>
        <v>20455.849440000002</v>
      </c>
      <c r="L306" s="1290">
        <f t="shared" si="73"/>
        <v>21069.524923199999</v>
      </c>
      <c r="M306" s="1290">
        <f t="shared" si="73"/>
        <v>21701.610670895996</v>
      </c>
      <c r="O306" s="406"/>
      <c r="R306" s="282"/>
      <c r="S306" s="282"/>
      <c r="T306" s="282"/>
      <c r="U306" s="282"/>
      <c r="V306" s="282"/>
      <c r="W306" s="282"/>
      <c r="X306" s="282"/>
      <c r="Y306" s="282"/>
      <c r="Z306" s="282"/>
      <c r="AA306" s="282"/>
    </row>
    <row r="307" spans="1:27" outlineLevel="1" x14ac:dyDescent="0.25">
      <c r="A307" s="276">
        <f t="shared" si="74"/>
        <v>150</v>
      </c>
      <c r="B307" s="706" t="str">
        <f t="shared" si="69"/>
        <v>Teacher Assistant/Aide</v>
      </c>
      <c r="C307" s="582">
        <f t="shared" si="70"/>
        <v>64442.888592443996</v>
      </c>
      <c r="D307" s="231"/>
      <c r="E307" s="231"/>
      <c r="F307" s="231"/>
      <c r="G307" s="1290">
        <f t="shared" si="71"/>
        <v>0</v>
      </c>
      <c r="H307" s="1290">
        <f t="shared" si="72"/>
        <v>0</v>
      </c>
      <c r="I307" s="1290">
        <f t="shared" si="73"/>
        <v>0</v>
      </c>
      <c r="J307" s="1290">
        <f t="shared" si="73"/>
        <v>0</v>
      </c>
      <c r="K307" s="1290">
        <f t="shared" si="73"/>
        <v>20849.231159999999</v>
      </c>
      <c r="L307" s="1290">
        <f t="shared" si="73"/>
        <v>21474.708094799997</v>
      </c>
      <c r="M307" s="1290">
        <f t="shared" si="73"/>
        <v>22118.949337643997</v>
      </c>
      <c r="O307" s="406"/>
      <c r="R307" s="282"/>
      <c r="S307" s="282"/>
      <c r="T307" s="282"/>
      <c r="U307" s="282"/>
      <c r="V307" s="282"/>
      <c r="W307" s="282"/>
      <c r="X307" s="282"/>
      <c r="Y307" s="282"/>
      <c r="Z307" s="282"/>
      <c r="AA307" s="282"/>
    </row>
    <row r="308" spans="1:27" x14ac:dyDescent="0.25">
      <c r="A308" s="276">
        <f t="shared" si="74"/>
        <v>151</v>
      </c>
      <c r="B308" s="706" t="str">
        <f t="shared" si="69"/>
        <v>Teacher Assistant/Aide</v>
      </c>
      <c r="C308" s="582">
        <f t="shared" si="70"/>
        <v>64442.888592443996</v>
      </c>
      <c r="D308" s="231"/>
      <c r="E308" s="231"/>
      <c r="F308" s="231"/>
      <c r="G308" s="1290">
        <f t="shared" si="71"/>
        <v>0</v>
      </c>
      <c r="H308" s="1290">
        <f t="shared" si="72"/>
        <v>0</v>
      </c>
      <c r="I308" s="1290">
        <f t="shared" si="73"/>
        <v>0</v>
      </c>
      <c r="J308" s="1290">
        <f t="shared" si="73"/>
        <v>0</v>
      </c>
      <c r="K308" s="1290">
        <f t="shared" si="73"/>
        <v>20849.231159999999</v>
      </c>
      <c r="L308" s="1290">
        <f t="shared" si="73"/>
        <v>21474.708094799997</v>
      </c>
      <c r="M308" s="1290">
        <f t="shared" si="73"/>
        <v>22118.949337643997</v>
      </c>
      <c r="O308" s="406"/>
      <c r="R308" s="282"/>
      <c r="S308" s="282"/>
      <c r="T308" s="282"/>
      <c r="U308" s="282"/>
      <c r="V308" s="282"/>
      <c r="W308" s="282"/>
      <c r="X308" s="282"/>
      <c r="Y308" s="282"/>
      <c r="Z308" s="282"/>
      <c r="AA308" s="282"/>
    </row>
    <row r="309" spans="1:27" x14ac:dyDescent="0.25">
      <c r="A309" s="276"/>
      <c r="B309" s="362" t="str">
        <f t="shared" si="69"/>
        <v>Total ELL Teachers</v>
      </c>
      <c r="C309" s="710">
        <f t="shared" si="70"/>
        <v>1064077.6285611719</v>
      </c>
      <c r="D309" s="547"/>
      <c r="E309" s="547"/>
      <c r="F309" s="547"/>
      <c r="G309" s="704">
        <f>SUM(G300:G308)</f>
        <v>0</v>
      </c>
      <c r="H309" s="704">
        <f t="shared" ref="H309:M309" si="75">SUM(H300:H308)</f>
        <v>75000</v>
      </c>
      <c r="I309" s="704">
        <f t="shared" si="75"/>
        <v>115071.6</v>
      </c>
      <c r="J309" s="704">
        <f t="shared" si="75"/>
        <v>178103.89200000002</v>
      </c>
      <c r="K309" s="704">
        <f t="shared" si="75"/>
        <v>225145.47107999996</v>
      </c>
      <c r="L309" s="704">
        <f t="shared" si="75"/>
        <v>231899.83521239998</v>
      </c>
      <c r="M309" s="704">
        <f t="shared" si="75"/>
        <v>238856.83026877194</v>
      </c>
      <c r="R309" s="282"/>
      <c r="S309" s="282"/>
      <c r="T309" s="282"/>
      <c r="U309" s="282"/>
      <c r="V309" s="282"/>
      <c r="W309" s="282"/>
      <c r="X309" s="282"/>
      <c r="Y309" s="282"/>
      <c r="Z309" s="282"/>
      <c r="AA309" s="282"/>
    </row>
    <row r="310" spans="1:27" x14ac:dyDescent="0.25">
      <c r="A310" s="276"/>
      <c r="B310" s="221"/>
      <c r="C310" s="582"/>
      <c r="D310" s="231"/>
      <c r="E310" s="231"/>
      <c r="F310" s="231"/>
      <c r="G310" s="1290"/>
      <c r="H310" s="1290"/>
      <c r="I310" s="1290"/>
      <c r="J310" s="1290"/>
      <c r="K310" s="1290"/>
      <c r="L310" s="1290"/>
      <c r="M310" s="1290"/>
      <c r="R310" s="282"/>
      <c r="S310" s="282"/>
      <c r="T310" s="282"/>
      <c r="U310" s="282"/>
      <c r="V310" s="282"/>
      <c r="W310" s="282"/>
      <c r="X310" s="282"/>
      <c r="Y310" s="282"/>
      <c r="Z310" s="282"/>
      <c r="AA310" s="282"/>
    </row>
    <row r="311" spans="1:27" outlineLevel="1" x14ac:dyDescent="0.25">
      <c r="A311" s="276"/>
      <c r="B311" s="596" t="str">
        <f t="shared" ref="B311:B321" si="76">$B154</f>
        <v>Guidance Counselor &amp; Other</v>
      </c>
      <c r="C311" s="583"/>
      <c r="D311" s="426"/>
      <c r="E311" s="426"/>
      <c r="F311" s="426"/>
      <c r="G311" s="1295"/>
      <c r="H311" s="1295"/>
      <c r="I311" s="1295"/>
      <c r="J311" s="1295"/>
      <c r="K311" s="1295"/>
      <c r="L311" s="1295"/>
      <c r="M311" s="1295"/>
      <c r="R311" s="282"/>
      <c r="S311" s="282"/>
      <c r="T311" s="282"/>
      <c r="U311" s="282"/>
      <c r="V311" s="282"/>
      <c r="W311" s="282"/>
      <c r="X311" s="282"/>
      <c r="Y311" s="282"/>
      <c r="Z311" s="282"/>
      <c r="AA311" s="282"/>
    </row>
    <row r="312" spans="1:27" outlineLevel="1" x14ac:dyDescent="0.25">
      <c r="A312" s="276">
        <f>ROW(A155)</f>
        <v>155</v>
      </c>
      <c r="B312" s="706" t="str">
        <f t="shared" si="76"/>
        <v xml:space="preserve">Guidance Counselor </v>
      </c>
      <c r="C312" s="582">
        <f t="shared" ref="C312:C321" si="77">SUM(G312:M312)</f>
        <v>244112.54363649996</v>
      </c>
      <c r="D312" s="231"/>
      <c r="E312" s="231"/>
      <c r="F312" s="231"/>
      <c r="G312" s="1290">
        <f t="shared" ref="G312:G320" si="78">G155*$D155</f>
        <v>0</v>
      </c>
      <c r="H312" s="1290">
        <f t="shared" ref="H312:H320" si="79">(H155*$D155)</f>
        <v>0</v>
      </c>
      <c r="I312" s="1290">
        <f t="shared" ref="I312:M320" si="80">(I155*$D155)*$C$46^(I$11-$H$11)</f>
        <v>0</v>
      </c>
      <c r="J312" s="1290">
        <f t="shared" si="80"/>
        <v>58349.5</v>
      </c>
      <c r="K312" s="1290">
        <f t="shared" si="80"/>
        <v>60099.985000000001</v>
      </c>
      <c r="L312" s="1290">
        <f t="shared" si="80"/>
        <v>61902.984549999994</v>
      </c>
      <c r="M312" s="1290">
        <f t="shared" si="80"/>
        <v>63760.07408649999</v>
      </c>
      <c r="R312" s="282"/>
      <c r="S312" s="282"/>
      <c r="T312" s="282"/>
      <c r="U312" s="282"/>
      <c r="V312" s="282"/>
      <c r="W312" s="282"/>
      <c r="X312" s="282"/>
      <c r="Y312" s="282"/>
      <c r="Z312" s="282"/>
      <c r="AA312" s="282"/>
    </row>
    <row r="313" spans="1:27" outlineLevel="1" x14ac:dyDescent="0.25">
      <c r="A313" s="276">
        <f>+A312+1</f>
        <v>156</v>
      </c>
      <c r="B313" s="706" t="str">
        <f t="shared" si="76"/>
        <v>Guidance Counselor</v>
      </c>
      <c r="C313" s="582">
        <f t="shared" si="77"/>
        <v>125663.05863649998</v>
      </c>
      <c r="D313" s="231"/>
      <c r="E313" s="231"/>
      <c r="F313" s="231"/>
      <c r="G313" s="1290">
        <f t="shared" si="78"/>
        <v>0</v>
      </c>
      <c r="H313" s="1290">
        <f t="shared" si="79"/>
        <v>0</v>
      </c>
      <c r="I313" s="1290">
        <f t="shared" si="80"/>
        <v>0</v>
      </c>
      <c r="J313" s="1290">
        <f t="shared" si="80"/>
        <v>0</v>
      </c>
      <c r="K313" s="1290">
        <f t="shared" si="80"/>
        <v>0</v>
      </c>
      <c r="L313" s="1290">
        <f t="shared" si="80"/>
        <v>61902.984549999994</v>
      </c>
      <c r="M313" s="1290">
        <f t="shared" si="80"/>
        <v>63760.07408649999</v>
      </c>
      <c r="R313" s="282"/>
      <c r="S313" s="282"/>
      <c r="T313" s="282"/>
      <c r="U313" s="282"/>
      <c r="V313" s="282"/>
      <c r="W313" s="282"/>
      <c r="X313" s="282"/>
      <c r="Y313" s="282"/>
      <c r="Z313" s="282"/>
      <c r="AA313" s="282"/>
    </row>
    <row r="314" spans="1:27" outlineLevel="1" x14ac:dyDescent="0.25">
      <c r="A314" s="276">
        <f t="shared" ref="A314:A321" si="81">+A313+1</f>
        <v>157</v>
      </c>
      <c r="B314" s="706" t="str">
        <f t="shared" si="76"/>
        <v>Curriculum Coach</v>
      </c>
      <c r="C314" s="582">
        <f t="shared" si="77"/>
        <v>192518.06340509997</v>
      </c>
      <c r="D314" s="231"/>
      <c r="E314" s="231"/>
      <c r="F314" s="231"/>
      <c r="G314" s="1290">
        <f t="shared" si="78"/>
        <v>0</v>
      </c>
      <c r="H314" s="1290">
        <f t="shared" si="79"/>
        <v>0</v>
      </c>
      <c r="I314" s="1290">
        <f t="shared" si="80"/>
        <v>0</v>
      </c>
      <c r="J314" s="1290">
        <f t="shared" si="80"/>
        <v>0</v>
      </c>
      <c r="K314" s="1290">
        <f t="shared" si="80"/>
        <v>62285.438999999998</v>
      </c>
      <c r="L314" s="1290">
        <f t="shared" si="80"/>
        <v>64154.002169999992</v>
      </c>
      <c r="M314" s="1290">
        <f t="shared" si="80"/>
        <v>66078.622235099989</v>
      </c>
      <c r="R314" s="282"/>
      <c r="S314" s="282"/>
      <c r="T314" s="282"/>
      <c r="U314" s="282"/>
      <c r="V314" s="282"/>
      <c r="W314" s="282"/>
      <c r="X314" s="282"/>
      <c r="Y314" s="282"/>
      <c r="Z314" s="282"/>
      <c r="AA314" s="282"/>
    </row>
    <row r="315" spans="1:27" outlineLevel="1" x14ac:dyDescent="0.25">
      <c r="A315" s="276">
        <f t="shared" si="81"/>
        <v>158</v>
      </c>
      <c r="B315" s="706" t="str">
        <f t="shared" si="76"/>
        <v>School Nurse</v>
      </c>
      <c r="C315" s="582">
        <f t="shared" si="77"/>
        <v>135100.395372</v>
      </c>
      <c r="D315" s="231"/>
      <c r="E315" s="231"/>
      <c r="F315" s="231"/>
      <c r="G315" s="1290">
        <f t="shared" si="78"/>
        <v>0</v>
      </c>
      <c r="H315" s="1290">
        <f t="shared" si="79"/>
        <v>0</v>
      </c>
      <c r="I315" s="1290">
        <f t="shared" si="80"/>
        <v>0</v>
      </c>
      <c r="J315" s="1290">
        <f t="shared" si="80"/>
        <v>0</v>
      </c>
      <c r="K315" s="1290">
        <f t="shared" si="80"/>
        <v>43709.08</v>
      </c>
      <c r="L315" s="1290">
        <f t="shared" si="80"/>
        <v>45020.352399999996</v>
      </c>
      <c r="M315" s="1290">
        <f t="shared" si="80"/>
        <v>46370.962971999994</v>
      </c>
      <c r="R315" s="282"/>
      <c r="S315" s="282"/>
      <c r="T315" s="282"/>
      <c r="U315" s="282"/>
      <c r="V315" s="282"/>
      <c r="W315" s="282"/>
      <c r="X315" s="282"/>
      <c r="Y315" s="282"/>
      <c r="Z315" s="282"/>
      <c r="AA315" s="282"/>
    </row>
    <row r="316" spans="1:27" outlineLevel="1" x14ac:dyDescent="0.25">
      <c r="A316" s="276">
        <f t="shared" si="81"/>
        <v>159</v>
      </c>
      <c r="B316" s="706" t="str">
        <f t="shared" si="76"/>
        <v>NSLP/Cafeteria Manager</v>
      </c>
      <c r="C316" s="582">
        <f t="shared" si="77"/>
        <v>130403.14326748799</v>
      </c>
      <c r="D316" s="231"/>
      <c r="E316" s="231"/>
      <c r="F316" s="231"/>
      <c r="G316" s="1290">
        <f t="shared" si="78"/>
        <v>0</v>
      </c>
      <c r="H316" s="1290">
        <f t="shared" si="79"/>
        <v>20160</v>
      </c>
      <c r="I316" s="1290">
        <f t="shared" si="80"/>
        <v>20764.8</v>
      </c>
      <c r="J316" s="1290">
        <f t="shared" si="80"/>
        <v>21387.743999999999</v>
      </c>
      <c r="K316" s="1290">
        <f t="shared" si="80"/>
        <v>22029.376319999999</v>
      </c>
      <c r="L316" s="1290">
        <f t="shared" si="80"/>
        <v>22690.257609599998</v>
      </c>
      <c r="M316" s="1290">
        <f t="shared" si="80"/>
        <v>23370.965337887996</v>
      </c>
      <c r="R316" s="282"/>
      <c r="S316" s="282"/>
      <c r="T316" s="282"/>
      <c r="U316" s="282"/>
      <c r="V316" s="282"/>
      <c r="W316" s="282"/>
      <c r="X316" s="282"/>
      <c r="Y316" s="282"/>
      <c r="Z316" s="282"/>
      <c r="AA316" s="282"/>
    </row>
    <row r="317" spans="1:27" outlineLevel="1" x14ac:dyDescent="0.25">
      <c r="A317" s="276">
        <f t="shared" si="81"/>
        <v>160</v>
      </c>
      <c r="B317" s="706" t="str">
        <f t="shared" si="76"/>
        <v>Campus Monitor/Custodian</v>
      </c>
      <c r="C317" s="582">
        <f t="shared" si="77"/>
        <v>141741.18420105599</v>
      </c>
      <c r="D317" s="231"/>
      <c r="E317" s="231"/>
      <c r="F317" s="231"/>
      <c r="G317" s="1290">
        <f t="shared" si="78"/>
        <v>0</v>
      </c>
      <c r="H317" s="1290">
        <f t="shared" si="79"/>
        <v>0</v>
      </c>
      <c r="I317" s="1290">
        <f t="shared" si="80"/>
        <v>26697.600000000002</v>
      </c>
      <c r="J317" s="1290">
        <f t="shared" si="80"/>
        <v>27498.527999999998</v>
      </c>
      <c r="K317" s="1290">
        <f t="shared" si="80"/>
        <v>28323.483840000001</v>
      </c>
      <c r="L317" s="1290">
        <f t="shared" si="80"/>
        <v>29173.188355199996</v>
      </c>
      <c r="M317" s="1290">
        <f t="shared" si="80"/>
        <v>30048.384005855994</v>
      </c>
      <c r="R317" s="282"/>
      <c r="S317" s="282"/>
      <c r="T317" s="282"/>
      <c r="U317" s="282"/>
      <c r="V317" s="282"/>
      <c r="W317" s="282"/>
      <c r="X317" s="282"/>
      <c r="Y317" s="282"/>
      <c r="Z317" s="282"/>
      <c r="AA317" s="282"/>
    </row>
    <row r="318" spans="1:27" outlineLevel="1" x14ac:dyDescent="0.25">
      <c r="A318" s="276">
        <f t="shared" si="81"/>
        <v>161</v>
      </c>
      <c r="B318" s="706" t="str">
        <f t="shared" si="76"/>
        <v xml:space="preserve">Receptionist </v>
      </c>
      <c r="C318" s="582">
        <f t="shared" si="77"/>
        <v>118760.00547574798</v>
      </c>
      <c r="D318" s="231"/>
      <c r="E318" s="231"/>
      <c r="F318" s="231"/>
      <c r="G318" s="1290">
        <f t="shared" si="78"/>
        <v>0</v>
      </c>
      <c r="H318" s="1290">
        <f t="shared" si="79"/>
        <v>18360</v>
      </c>
      <c r="I318" s="1290">
        <f t="shared" si="80"/>
        <v>18910.8</v>
      </c>
      <c r="J318" s="1290">
        <f t="shared" si="80"/>
        <v>19478.124</v>
      </c>
      <c r="K318" s="1290">
        <f t="shared" si="80"/>
        <v>20062.467720000001</v>
      </c>
      <c r="L318" s="1290">
        <f t="shared" si="80"/>
        <v>20664.341751599997</v>
      </c>
      <c r="M318" s="1290">
        <f t="shared" si="80"/>
        <v>21284.272004147999</v>
      </c>
      <c r="R318" s="282"/>
      <c r="S318" s="282"/>
      <c r="T318" s="282"/>
      <c r="U318" s="282"/>
      <c r="V318" s="282"/>
      <c r="W318" s="282"/>
      <c r="X318" s="282"/>
      <c r="Y318" s="282"/>
      <c r="Z318" s="282"/>
      <c r="AA318" s="282"/>
    </row>
    <row r="319" spans="1:27" outlineLevel="1" x14ac:dyDescent="0.25">
      <c r="A319" s="276">
        <f t="shared" si="81"/>
        <v>162</v>
      </c>
      <c r="B319" s="706" t="str">
        <f t="shared" si="76"/>
        <v>Clinic Aide / FASA</v>
      </c>
      <c r="C319" s="582">
        <f t="shared" si="77"/>
        <v>84684.860592443991</v>
      </c>
      <c r="D319" s="231"/>
      <c r="E319" s="231"/>
      <c r="F319" s="231"/>
      <c r="G319" s="1290">
        <f t="shared" si="78"/>
        <v>0</v>
      </c>
      <c r="H319" s="1290">
        <f t="shared" si="79"/>
        <v>0</v>
      </c>
      <c r="I319" s="1290">
        <f t="shared" si="80"/>
        <v>0</v>
      </c>
      <c r="J319" s="1290">
        <f t="shared" si="80"/>
        <v>20241.971999999998</v>
      </c>
      <c r="K319" s="1290">
        <f t="shared" si="80"/>
        <v>20849.231159999999</v>
      </c>
      <c r="L319" s="1290">
        <f t="shared" si="80"/>
        <v>21474.708094799997</v>
      </c>
      <c r="M319" s="1290">
        <f t="shared" si="80"/>
        <v>22118.949337643997</v>
      </c>
      <c r="R319" s="282"/>
      <c r="S319" s="282"/>
      <c r="T319" s="282"/>
      <c r="U319" s="282"/>
      <c r="V319" s="282"/>
      <c r="W319" s="282"/>
      <c r="X319" s="282"/>
      <c r="Y319" s="282"/>
      <c r="Z319" s="282"/>
      <c r="AA319" s="282"/>
    </row>
    <row r="320" spans="1:27" outlineLevel="1" x14ac:dyDescent="0.25">
      <c r="A320" s="276">
        <f t="shared" si="81"/>
        <v>163</v>
      </c>
      <c r="B320" s="706">
        <f t="shared" si="76"/>
        <v>0</v>
      </c>
      <c r="C320" s="582">
        <f t="shared" si="77"/>
        <v>0</v>
      </c>
      <c r="D320" s="231"/>
      <c r="E320" s="231"/>
      <c r="F320" s="231"/>
      <c r="G320" s="1290">
        <f t="shared" si="78"/>
        <v>0</v>
      </c>
      <c r="H320" s="1290">
        <f t="shared" si="79"/>
        <v>0</v>
      </c>
      <c r="I320" s="1290">
        <f t="shared" si="80"/>
        <v>0</v>
      </c>
      <c r="J320" s="1290">
        <f t="shared" si="80"/>
        <v>0</v>
      </c>
      <c r="K320" s="1290">
        <f t="shared" si="80"/>
        <v>0</v>
      </c>
      <c r="L320" s="1290">
        <f t="shared" si="80"/>
        <v>0</v>
      </c>
      <c r="M320" s="1290">
        <f t="shared" si="80"/>
        <v>0</v>
      </c>
      <c r="R320" s="282"/>
      <c r="S320" s="282"/>
      <c r="T320" s="282"/>
      <c r="U320" s="282"/>
      <c r="V320" s="282"/>
      <c r="W320" s="282"/>
      <c r="X320" s="282"/>
      <c r="Y320" s="282"/>
      <c r="Z320" s="282"/>
      <c r="AA320" s="282"/>
    </row>
    <row r="321" spans="1:27" x14ac:dyDescent="0.25">
      <c r="A321" s="276">
        <f t="shared" si="81"/>
        <v>164</v>
      </c>
      <c r="B321" s="709" t="str">
        <f t="shared" si="76"/>
        <v>Total Guidance Counselors/Other</v>
      </c>
      <c r="C321" s="708">
        <f t="shared" si="77"/>
        <v>1172983.2545868359</v>
      </c>
      <c r="D321" s="548"/>
      <c r="E321" s="548"/>
      <c r="F321" s="548"/>
      <c r="G321" s="1291">
        <f t="shared" ref="G321:M321" si="82">SUM(G312:G320)</f>
        <v>0</v>
      </c>
      <c r="H321" s="1291">
        <f t="shared" si="82"/>
        <v>38520</v>
      </c>
      <c r="I321" s="1291">
        <f t="shared" si="82"/>
        <v>66373.2</v>
      </c>
      <c r="J321" s="1291">
        <f t="shared" si="82"/>
        <v>146955.86799999999</v>
      </c>
      <c r="K321" s="1291">
        <f t="shared" si="82"/>
        <v>257359.06304000001</v>
      </c>
      <c r="L321" s="1291">
        <f t="shared" si="82"/>
        <v>326982.81948119996</v>
      </c>
      <c r="M321" s="1291">
        <f t="shared" si="82"/>
        <v>336792.30406563595</v>
      </c>
      <c r="R321" s="282"/>
      <c r="S321" s="282"/>
      <c r="T321" s="282"/>
      <c r="U321" s="282"/>
      <c r="V321" s="282"/>
      <c r="W321" s="282"/>
      <c r="X321" s="282"/>
      <c r="Y321" s="282"/>
      <c r="Z321" s="282"/>
      <c r="AA321" s="282"/>
    </row>
    <row r="322" spans="1:27" x14ac:dyDescent="0.25">
      <c r="A322" s="276"/>
      <c r="B322" s="221"/>
      <c r="C322" s="231"/>
      <c r="D322" s="231"/>
      <c r="E322" s="231"/>
      <c r="F322" s="231"/>
      <c r="G322" s="1290"/>
      <c r="H322" s="1290"/>
      <c r="I322" s="1290"/>
      <c r="J322" s="1290"/>
      <c r="K322" s="1290"/>
      <c r="L322" s="1290"/>
      <c r="M322" s="1290"/>
      <c r="R322" s="282"/>
      <c r="S322" s="282"/>
      <c r="T322" s="282"/>
      <c r="U322" s="282"/>
      <c r="V322" s="282"/>
      <c r="W322" s="282"/>
      <c r="X322" s="282"/>
      <c r="Y322" s="282"/>
      <c r="Z322" s="282"/>
      <c r="AA322" s="282"/>
    </row>
    <row r="323" spans="1:27" s="428" customFormat="1" outlineLevel="3" x14ac:dyDescent="0.25">
      <c r="A323" s="276">
        <f>ROW(A172)</f>
        <v>172</v>
      </c>
      <c r="B323" s="758" t="str">
        <f>$B172</f>
        <v>Kindergarten Teacher</v>
      </c>
      <c r="C323" s="430">
        <f t="shared" ref="C323:C354" si="83">SUM(G323:M323)</f>
        <v>271673.21514059999</v>
      </c>
      <c r="D323" s="430"/>
      <c r="E323" s="430"/>
      <c r="F323" s="430"/>
      <c r="G323" s="1290">
        <f>G172*$E172</f>
        <v>0</v>
      </c>
      <c r="H323" s="1290">
        <f>(H172*$E172)</f>
        <v>42000</v>
      </c>
      <c r="I323" s="1290">
        <f t="shared" ref="I323:M325" si="84">(I172*$E172)*$C$46^(I$11-$H$11)</f>
        <v>43260</v>
      </c>
      <c r="J323" s="1290">
        <f t="shared" si="84"/>
        <v>44557.799999999996</v>
      </c>
      <c r="K323" s="1290">
        <f t="shared" si="84"/>
        <v>45894.534</v>
      </c>
      <c r="L323" s="1290">
        <f t="shared" si="84"/>
        <v>47271.370019999995</v>
      </c>
      <c r="M323" s="1290">
        <f t="shared" si="84"/>
        <v>48689.511120599993</v>
      </c>
      <c r="R323" s="282"/>
      <c r="S323" s="282"/>
      <c r="T323" s="282"/>
      <c r="U323" s="282"/>
      <c r="V323" s="282"/>
      <c r="W323" s="282"/>
      <c r="X323" s="282"/>
      <c r="Y323" s="282"/>
      <c r="Z323" s="282"/>
      <c r="AA323" s="282"/>
    </row>
    <row r="324" spans="1:27" s="428" customFormat="1" outlineLevel="3" x14ac:dyDescent="0.25">
      <c r="A324" s="276">
        <f t="shared" ref="A324:A387" si="85">ROW(A173)</f>
        <v>173</v>
      </c>
      <c r="B324" s="758" t="str">
        <f>$B173</f>
        <v>Kindergarten Teacher</v>
      </c>
      <c r="C324" s="430">
        <f t="shared" si="83"/>
        <v>271673.21514059999</v>
      </c>
      <c r="D324" s="430"/>
      <c r="E324" s="430"/>
      <c r="F324" s="430"/>
      <c r="G324" s="1290">
        <f>G173*$E173</f>
        <v>0</v>
      </c>
      <c r="H324" s="1290">
        <f>(H173*$E173)</f>
        <v>42000</v>
      </c>
      <c r="I324" s="1290">
        <f t="shared" si="84"/>
        <v>43260</v>
      </c>
      <c r="J324" s="1290">
        <f t="shared" si="84"/>
        <v>44557.799999999996</v>
      </c>
      <c r="K324" s="1290">
        <f t="shared" si="84"/>
        <v>45894.534</v>
      </c>
      <c r="L324" s="1290">
        <f t="shared" si="84"/>
        <v>47271.370019999995</v>
      </c>
      <c r="M324" s="1290">
        <f t="shared" si="84"/>
        <v>48689.511120599993</v>
      </c>
      <c r="R324" s="282"/>
      <c r="S324" s="282"/>
      <c r="T324" s="282"/>
      <c r="U324" s="282"/>
      <c r="V324" s="282"/>
      <c r="W324" s="282"/>
      <c r="X324" s="282"/>
      <c r="Y324" s="282"/>
      <c r="Z324" s="282"/>
      <c r="AA324" s="282"/>
    </row>
    <row r="325" spans="1:27" s="428" customFormat="1" outlineLevel="3" x14ac:dyDescent="0.25">
      <c r="A325" s="276">
        <f t="shared" si="85"/>
        <v>174</v>
      </c>
      <c r="B325" s="758" t="str">
        <f>$B174</f>
        <v>Kindergarten Teacher</v>
      </c>
      <c r="C325" s="430">
        <f t="shared" si="83"/>
        <v>271673.21514059999</v>
      </c>
      <c r="D325" s="430"/>
      <c r="E325" s="430"/>
      <c r="F325" s="430"/>
      <c r="G325" s="1290">
        <f>G174*$E174</f>
        <v>0</v>
      </c>
      <c r="H325" s="1290">
        <f>(H174*$E174)</f>
        <v>42000</v>
      </c>
      <c r="I325" s="1290">
        <f t="shared" si="84"/>
        <v>43260</v>
      </c>
      <c r="J325" s="1290">
        <f t="shared" si="84"/>
        <v>44557.799999999996</v>
      </c>
      <c r="K325" s="1290">
        <f t="shared" si="84"/>
        <v>45894.534</v>
      </c>
      <c r="L325" s="1290">
        <f t="shared" si="84"/>
        <v>47271.370019999995</v>
      </c>
      <c r="M325" s="1290">
        <f t="shared" si="84"/>
        <v>48689.511120599993</v>
      </c>
      <c r="R325" s="282"/>
      <c r="S325" s="282"/>
      <c r="T325" s="282"/>
      <c r="U325" s="282"/>
      <c r="V325" s="282"/>
      <c r="W325" s="282"/>
      <c r="X325" s="282"/>
      <c r="Y325" s="282"/>
      <c r="Z325" s="282"/>
      <c r="AA325" s="282"/>
    </row>
    <row r="326" spans="1:27" s="428" customFormat="1" outlineLevel="3" x14ac:dyDescent="0.25">
      <c r="A326" s="276">
        <f t="shared" si="85"/>
        <v>175</v>
      </c>
      <c r="B326" s="758"/>
      <c r="C326" s="430">
        <f t="shared" si="83"/>
        <v>0</v>
      </c>
      <c r="D326" s="430"/>
      <c r="E326" s="430"/>
      <c r="F326" s="430"/>
      <c r="G326" s="1290"/>
      <c r="H326" s="1290"/>
      <c r="I326" s="1290"/>
      <c r="J326" s="1290"/>
      <c r="K326" s="1290"/>
      <c r="L326" s="1290"/>
      <c r="M326" s="1290"/>
      <c r="R326" s="282"/>
      <c r="S326" s="282"/>
      <c r="T326" s="282"/>
      <c r="U326" s="282"/>
      <c r="V326" s="282"/>
      <c r="W326" s="282"/>
      <c r="X326" s="282"/>
      <c r="Y326" s="282"/>
      <c r="Z326" s="282"/>
      <c r="AA326" s="282"/>
    </row>
    <row r="327" spans="1:27" s="428" customFormat="1" outlineLevel="3" x14ac:dyDescent="0.25">
      <c r="A327" s="276">
        <f t="shared" si="85"/>
        <v>176</v>
      </c>
      <c r="B327" s="758" t="str">
        <f>$B176</f>
        <v>Kindergarten Teacher</v>
      </c>
      <c r="C327" s="430">
        <f t="shared" si="83"/>
        <v>271673.21514059999</v>
      </c>
      <c r="D327" s="430"/>
      <c r="E327" s="430"/>
      <c r="F327" s="430"/>
      <c r="G327" s="1290">
        <f>G176*$E176</f>
        <v>0</v>
      </c>
      <c r="H327" s="1290">
        <f>(H176*$E176)</f>
        <v>42000</v>
      </c>
      <c r="I327" s="1290">
        <f t="shared" ref="I327:M331" si="86">(I176*$E176)*$C$46^(I$11-$H$11)</f>
        <v>43260</v>
      </c>
      <c r="J327" s="1290">
        <f t="shared" si="86"/>
        <v>44557.799999999996</v>
      </c>
      <c r="K327" s="1290">
        <f t="shared" si="86"/>
        <v>45894.534</v>
      </c>
      <c r="L327" s="1290">
        <f t="shared" si="86"/>
        <v>47271.370019999995</v>
      </c>
      <c r="M327" s="1290">
        <f t="shared" si="86"/>
        <v>48689.511120599993</v>
      </c>
      <c r="R327" s="282"/>
      <c r="S327" s="282"/>
      <c r="T327" s="282"/>
      <c r="U327" s="282"/>
      <c r="V327" s="282"/>
      <c r="W327" s="282"/>
      <c r="X327" s="282"/>
      <c r="Y327" s="282"/>
      <c r="Z327" s="282"/>
      <c r="AA327" s="282"/>
    </row>
    <row r="328" spans="1:27" s="428" customFormat="1" outlineLevel="3" x14ac:dyDescent="0.25">
      <c r="A328" s="276">
        <f t="shared" si="85"/>
        <v>177</v>
      </c>
      <c r="B328" s="758" t="str">
        <f>$B177</f>
        <v>1st Grade Teacher</v>
      </c>
      <c r="C328" s="430">
        <f t="shared" si="83"/>
        <v>271673.21514059999</v>
      </c>
      <c r="D328" s="430"/>
      <c r="E328" s="430"/>
      <c r="F328" s="430"/>
      <c r="G328" s="1290">
        <f>G177*$E177</f>
        <v>0</v>
      </c>
      <c r="H328" s="1290">
        <f>(H177*$E177)</f>
        <v>42000</v>
      </c>
      <c r="I328" s="1290">
        <f t="shared" si="86"/>
        <v>43260</v>
      </c>
      <c r="J328" s="1290">
        <f t="shared" si="86"/>
        <v>44557.799999999996</v>
      </c>
      <c r="K328" s="1290">
        <f t="shared" si="86"/>
        <v>45894.534</v>
      </c>
      <c r="L328" s="1290">
        <f t="shared" si="86"/>
        <v>47271.370019999995</v>
      </c>
      <c r="M328" s="1290">
        <f t="shared" si="86"/>
        <v>48689.511120599993</v>
      </c>
      <c r="R328" s="282"/>
      <c r="S328" s="282"/>
      <c r="T328" s="282"/>
      <c r="U328" s="282"/>
      <c r="V328" s="282"/>
      <c r="W328" s="282"/>
      <c r="X328" s="282"/>
      <c r="Y328" s="282"/>
      <c r="Z328" s="282"/>
      <c r="AA328" s="282"/>
    </row>
    <row r="329" spans="1:27" s="428" customFormat="1" outlineLevel="3" x14ac:dyDescent="0.25">
      <c r="A329" s="276">
        <f t="shared" si="85"/>
        <v>178</v>
      </c>
      <c r="B329" s="758" t="str">
        <f>$B178</f>
        <v>1st Grade Teacher</v>
      </c>
      <c r="C329" s="430">
        <f t="shared" si="83"/>
        <v>271673.21514059999</v>
      </c>
      <c r="D329" s="430"/>
      <c r="E329" s="430"/>
      <c r="F329" s="430"/>
      <c r="G329" s="1290">
        <f>G178*$E178</f>
        <v>0</v>
      </c>
      <c r="H329" s="1290">
        <f>(H178*$E178)</f>
        <v>42000</v>
      </c>
      <c r="I329" s="1290">
        <f t="shared" si="86"/>
        <v>43260</v>
      </c>
      <c r="J329" s="1290">
        <f t="shared" si="86"/>
        <v>44557.799999999996</v>
      </c>
      <c r="K329" s="1290">
        <f t="shared" si="86"/>
        <v>45894.534</v>
      </c>
      <c r="L329" s="1290">
        <f t="shared" si="86"/>
        <v>47271.370019999995</v>
      </c>
      <c r="M329" s="1290">
        <f t="shared" si="86"/>
        <v>48689.511120599993</v>
      </c>
      <c r="R329" s="282"/>
      <c r="S329" s="282"/>
      <c r="T329" s="282"/>
      <c r="U329" s="282"/>
      <c r="V329" s="282"/>
      <c r="W329" s="282"/>
      <c r="X329" s="282"/>
      <c r="Y329" s="282"/>
      <c r="Z329" s="282"/>
      <c r="AA329" s="282"/>
    </row>
    <row r="330" spans="1:27" s="428" customFormat="1" outlineLevel="3" x14ac:dyDescent="0.25">
      <c r="A330" s="276">
        <f t="shared" si="85"/>
        <v>179</v>
      </c>
      <c r="B330" s="758" t="str">
        <f>$B179</f>
        <v>1st Grade Teacher</v>
      </c>
      <c r="C330" s="430">
        <f t="shared" si="83"/>
        <v>233118.31336770902</v>
      </c>
      <c r="D330" s="430"/>
      <c r="E330" s="430"/>
      <c r="F330" s="430"/>
      <c r="G330" s="1290">
        <f>G179*$E179</f>
        <v>0</v>
      </c>
      <c r="H330" s="1290">
        <f>(H179*$E179)</f>
        <v>0</v>
      </c>
      <c r="I330" s="1290">
        <f t="shared" si="86"/>
        <v>43908.9</v>
      </c>
      <c r="J330" s="1290">
        <f t="shared" si="86"/>
        <v>45226.167000000001</v>
      </c>
      <c r="K330" s="1290">
        <f t="shared" si="86"/>
        <v>46582.952010000001</v>
      </c>
      <c r="L330" s="1290">
        <f t="shared" si="86"/>
        <v>47980.440570299994</v>
      </c>
      <c r="M330" s="1290">
        <f t="shared" si="86"/>
        <v>49419.853787408996</v>
      </c>
      <c r="R330" s="282"/>
      <c r="S330" s="282"/>
      <c r="T330" s="282"/>
      <c r="U330" s="282"/>
      <c r="V330" s="282"/>
      <c r="W330" s="282"/>
      <c r="X330" s="282"/>
      <c r="Y330" s="282"/>
      <c r="Z330" s="282"/>
      <c r="AA330" s="282"/>
    </row>
    <row r="331" spans="1:27" s="431" customFormat="1" outlineLevel="3" x14ac:dyDescent="0.25">
      <c r="A331" s="276">
        <f t="shared" si="85"/>
        <v>180</v>
      </c>
      <c r="B331" s="758" t="str">
        <f>$B180</f>
        <v>1st Grade Teacher</v>
      </c>
      <c r="C331" s="430">
        <f t="shared" si="83"/>
        <v>233118.31336770902</v>
      </c>
      <c r="D331" s="430"/>
      <c r="E331" s="430"/>
      <c r="F331" s="430"/>
      <c r="G331" s="1290">
        <f>G180*$E180</f>
        <v>0</v>
      </c>
      <c r="H331" s="1290">
        <f>(H180*$E180)</f>
        <v>0</v>
      </c>
      <c r="I331" s="1290">
        <f t="shared" si="86"/>
        <v>43908.9</v>
      </c>
      <c r="J331" s="1290">
        <f t="shared" si="86"/>
        <v>45226.167000000001</v>
      </c>
      <c r="K331" s="1290">
        <f t="shared" si="86"/>
        <v>46582.952010000001</v>
      </c>
      <c r="L331" s="1290">
        <f t="shared" si="86"/>
        <v>47980.440570299994</v>
      </c>
      <c r="M331" s="1290">
        <f t="shared" si="86"/>
        <v>49419.853787408996</v>
      </c>
      <c r="R331" s="282"/>
      <c r="S331" s="282"/>
      <c r="T331" s="282"/>
      <c r="U331" s="282"/>
      <c r="V331" s="282"/>
      <c r="W331" s="282"/>
      <c r="X331" s="282"/>
      <c r="Y331" s="282"/>
      <c r="Z331" s="282"/>
      <c r="AA331" s="282"/>
    </row>
    <row r="332" spans="1:27" s="431" customFormat="1" outlineLevel="3" x14ac:dyDescent="0.25">
      <c r="A332" s="276">
        <f t="shared" si="85"/>
        <v>181</v>
      </c>
      <c r="B332" s="758"/>
      <c r="C332" s="430">
        <f t="shared" si="83"/>
        <v>0</v>
      </c>
      <c r="D332" s="430"/>
      <c r="E332" s="430"/>
      <c r="F332" s="430"/>
      <c r="G332" s="1290"/>
      <c r="H332" s="1290"/>
      <c r="I332" s="1290"/>
      <c r="J332" s="1290"/>
      <c r="K332" s="1290"/>
      <c r="L332" s="1290"/>
      <c r="M332" s="1290"/>
      <c r="R332" s="282"/>
      <c r="S332" s="282"/>
      <c r="T332" s="282"/>
      <c r="U332" s="282"/>
      <c r="V332" s="282"/>
      <c r="W332" s="282"/>
      <c r="X332" s="282"/>
      <c r="Y332" s="282"/>
      <c r="Z332" s="282"/>
      <c r="AA332" s="282"/>
    </row>
    <row r="333" spans="1:27" s="428" customFormat="1" outlineLevel="3" x14ac:dyDescent="0.25">
      <c r="A333" s="276">
        <f t="shared" si="85"/>
        <v>182</v>
      </c>
      <c r="B333" s="758" t="str">
        <f>$B182</f>
        <v>2nd Grade Teacher</v>
      </c>
      <c r="C333" s="430">
        <f t="shared" si="83"/>
        <v>271673.21514059999</v>
      </c>
      <c r="D333" s="430"/>
      <c r="E333" s="430"/>
      <c r="F333" s="430"/>
      <c r="G333" s="1290">
        <f>G182*$E182</f>
        <v>0</v>
      </c>
      <c r="H333" s="1290">
        <f>(H182*$E182)</f>
        <v>42000</v>
      </c>
      <c r="I333" s="1290">
        <f t="shared" ref="I333:M337" si="87">(I182*$E182)*$C$46^(I$11-$H$11)</f>
        <v>43260</v>
      </c>
      <c r="J333" s="1290">
        <f t="shared" si="87"/>
        <v>44557.799999999996</v>
      </c>
      <c r="K333" s="1290">
        <f t="shared" si="87"/>
        <v>45894.534</v>
      </c>
      <c r="L333" s="1290">
        <f t="shared" si="87"/>
        <v>47271.370019999995</v>
      </c>
      <c r="M333" s="1290">
        <f t="shared" si="87"/>
        <v>48689.511120599993</v>
      </c>
      <c r="R333" s="282"/>
      <c r="S333" s="282"/>
      <c r="T333" s="282"/>
      <c r="U333" s="282"/>
      <c r="V333" s="282"/>
      <c r="W333" s="282"/>
      <c r="X333" s="282"/>
      <c r="Y333" s="282"/>
      <c r="Z333" s="282"/>
      <c r="AA333" s="282"/>
    </row>
    <row r="334" spans="1:27" s="428" customFormat="1" outlineLevel="3" x14ac:dyDescent="0.25">
      <c r="A334" s="276">
        <f t="shared" si="85"/>
        <v>183</v>
      </c>
      <c r="B334" s="758" t="str">
        <f>$B183</f>
        <v>2nd Grade Teacher</v>
      </c>
      <c r="C334" s="430">
        <f t="shared" si="83"/>
        <v>271673.21514059999</v>
      </c>
      <c r="D334" s="430"/>
      <c r="E334" s="430"/>
      <c r="F334" s="430"/>
      <c r="G334" s="1290">
        <f>G183*$E183</f>
        <v>0</v>
      </c>
      <c r="H334" s="1290">
        <f>(H183*$E183)</f>
        <v>42000</v>
      </c>
      <c r="I334" s="1290">
        <f t="shared" si="87"/>
        <v>43260</v>
      </c>
      <c r="J334" s="1290">
        <f t="shared" si="87"/>
        <v>44557.799999999996</v>
      </c>
      <c r="K334" s="1290">
        <f t="shared" si="87"/>
        <v>45894.534</v>
      </c>
      <c r="L334" s="1290">
        <f t="shared" si="87"/>
        <v>47271.370019999995</v>
      </c>
      <c r="M334" s="1290">
        <f t="shared" si="87"/>
        <v>48689.511120599993</v>
      </c>
      <c r="R334" s="282"/>
      <c r="S334" s="282"/>
      <c r="T334" s="282"/>
      <c r="U334" s="282"/>
      <c r="V334" s="282"/>
      <c r="W334" s="282"/>
      <c r="X334" s="282"/>
      <c r="Y334" s="282"/>
      <c r="Z334" s="282"/>
      <c r="AA334" s="282"/>
    </row>
    <row r="335" spans="1:27" s="428" customFormat="1" outlineLevel="3" x14ac:dyDescent="0.25">
      <c r="A335" s="276">
        <f t="shared" si="85"/>
        <v>184</v>
      </c>
      <c r="B335" s="758" t="str">
        <f>$B184</f>
        <v>2nd Grade Teacher</v>
      </c>
      <c r="C335" s="430">
        <f t="shared" si="83"/>
        <v>233118.31336770902</v>
      </c>
      <c r="D335" s="430"/>
      <c r="E335" s="430"/>
      <c r="F335" s="430"/>
      <c r="G335" s="1290">
        <f>G184*$E184</f>
        <v>0</v>
      </c>
      <c r="H335" s="1290">
        <f>(H184*$E184)</f>
        <v>0</v>
      </c>
      <c r="I335" s="1290">
        <f t="shared" si="87"/>
        <v>43908.9</v>
      </c>
      <c r="J335" s="1290">
        <f t="shared" si="87"/>
        <v>45226.167000000001</v>
      </c>
      <c r="K335" s="1290">
        <f t="shared" si="87"/>
        <v>46582.952010000001</v>
      </c>
      <c r="L335" s="1290">
        <f t="shared" si="87"/>
        <v>47980.440570299994</v>
      </c>
      <c r="M335" s="1290">
        <f t="shared" si="87"/>
        <v>49419.853787408996</v>
      </c>
      <c r="R335" s="282"/>
      <c r="S335" s="282"/>
      <c r="T335" s="282"/>
      <c r="U335" s="282"/>
      <c r="V335" s="282"/>
      <c r="W335" s="282"/>
      <c r="X335" s="282"/>
      <c r="Y335" s="282"/>
      <c r="Z335" s="282"/>
      <c r="AA335" s="282"/>
    </row>
    <row r="336" spans="1:27" s="428" customFormat="1" outlineLevel="3" x14ac:dyDescent="0.25">
      <c r="A336" s="276">
        <f t="shared" si="85"/>
        <v>185</v>
      </c>
      <c r="B336" s="758" t="str">
        <f>$B185</f>
        <v>2nd Grade Teacher</v>
      </c>
      <c r="C336" s="430">
        <f t="shared" si="83"/>
        <v>233118.31336770902</v>
      </c>
      <c r="D336" s="430"/>
      <c r="E336" s="430"/>
      <c r="F336" s="430"/>
      <c r="G336" s="1290">
        <f>G185*$E185</f>
        <v>0</v>
      </c>
      <c r="H336" s="1290">
        <f>(H185*$E185)</f>
        <v>0</v>
      </c>
      <c r="I336" s="1290">
        <f t="shared" si="87"/>
        <v>43908.9</v>
      </c>
      <c r="J336" s="1290">
        <f t="shared" si="87"/>
        <v>45226.167000000001</v>
      </c>
      <c r="K336" s="1290">
        <f t="shared" si="87"/>
        <v>46582.952010000001</v>
      </c>
      <c r="L336" s="1290">
        <f t="shared" si="87"/>
        <v>47980.440570299994</v>
      </c>
      <c r="M336" s="1290">
        <f t="shared" si="87"/>
        <v>49419.853787408996</v>
      </c>
      <c r="R336" s="282"/>
      <c r="S336" s="282"/>
      <c r="T336" s="282"/>
      <c r="U336" s="282"/>
      <c r="V336" s="282"/>
      <c r="W336" s="282"/>
      <c r="X336" s="282"/>
      <c r="Y336" s="282"/>
      <c r="Z336" s="282"/>
      <c r="AA336" s="282"/>
    </row>
    <row r="337" spans="1:27" s="428" customFormat="1" outlineLevel="3" x14ac:dyDescent="0.25">
      <c r="A337" s="276">
        <f t="shared" si="85"/>
        <v>186</v>
      </c>
      <c r="B337" s="758" t="str">
        <f>$B186</f>
        <v>3rd Grade Teacher</v>
      </c>
      <c r="C337" s="430">
        <f t="shared" si="83"/>
        <v>271673.21514059999</v>
      </c>
      <c r="D337" s="430"/>
      <c r="E337" s="430"/>
      <c r="F337" s="430"/>
      <c r="G337" s="1290">
        <f>G186*$E186</f>
        <v>0</v>
      </c>
      <c r="H337" s="1290">
        <f>(H186*$E186)</f>
        <v>42000</v>
      </c>
      <c r="I337" s="1290">
        <f t="shared" si="87"/>
        <v>43260</v>
      </c>
      <c r="J337" s="1290">
        <f t="shared" si="87"/>
        <v>44557.799999999996</v>
      </c>
      <c r="K337" s="1290">
        <f t="shared" si="87"/>
        <v>45894.534</v>
      </c>
      <c r="L337" s="1290">
        <f t="shared" si="87"/>
        <v>47271.370019999995</v>
      </c>
      <c r="M337" s="1290">
        <f t="shared" si="87"/>
        <v>48689.511120599993</v>
      </c>
      <c r="R337" s="282"/>
      <c r="S337" s="282"/>
      <c r="T337" s="282"/>
      <c r="U337" s="282"/>
      <c r="V337" s="282"/>
      <c r="W337" s="282"/>
      <c r="X337" s="282"/>
      <c r="Y337" s="282"/>
      <c r="Z337" s="282"/>
      <c r="AA337" s="282"/>
    </row>
    <row r="338" spans="1:27" s="428" customFormat="1" outlineLevel="3" x14ac:dyDescent="0.25">
      <c r="A338" s="276">
        <f t="shared" si="85"/>
        <v>187</v>
      </c>
      <c r="B338" s="758"/>
      <c r="C338" s="430">
        <f t="shared" si="83"/>
        <v>0</v>
      </c>
      <c r="D338" s="430"/>
      <c r="E338" s="430"/>
      <c r="F338" s="430"/>
      <c r="G338" s="1290"/>
      <c r="H338" s="1290"/>
      <c r="I338" s="1290"/>
      <c r="J338" s="1290"/>
      <c r="K338" s="1290"/>
      <c r="L338" s="1290"/>
      <c r="M338" s="1290"/>
      <c r="R338" s="282"/>
      <c r="S338" s="282"/>
      <c r="T338" s="282"/>
      <c r="U338" s="282"/>
      <c r="V338" s="282"/>
      <c r="W338" s="282"/>
      <c r="X338" s="282"/>
      <c r="Y338" s="282"/>
      <c r="Z338" s="282"/>
      <c r="AA338" s="282"/>
    </row>
    <row r="339" spans="1:27" s="428" customFormat="1" outlineLevel="3" x14ac:dyDescent="0.25">
      <c r="A339" s="276">
        <f t="shared" si="85"/>
        <v>188</v>
      </c>
      <c r="B339" s="758" t="str">
        <f>$B188</f>
        <v>3rd Grade Teacher</v>
      </c>
      <c r="C339" s="430">
        <f t="shared" si="83"/>
        <v>271673.21514059999</v>
      </c>
      <c r="D339" s="430"/>
      <c r="E339" s="430"/>
      <c r="F339" s="430"/>
      <c r="G339" s="1290">
        <f>G188*$E188</f>
        <v>0</v>
      </c>
      <c r="H339" s="1290">
        <f>(H188*$E188)</f>
        <v>42000</v>
      </c>
      <c r="I339" s="1290">
        <f t="shared" ref="I339:M343" si="88">(I188*$E188)*$C$46^(I$11-$H$11)</f>
        <v>43260</v>
      </c>
      <c r="J339" s="1290">
        <f t="shared" si="88"/>
        <v>44557.799999999996</v>
      </c>
      <c r="K339" s="1290">
        <f t="shared" si="88"/>
        <v>45894.534</v>
      </c>
      <c r="L339" s="1290">
        <f t="shared" si="88"/>
        <v>47271.370019999995</v>
      </c>
      <c r="M339" s="1290">
        <f t="shared" si="88"/>
        <v>48689.511120599993</v>
      </c>
      <c r="R339" s="282"/>
      <c r="S339" s="282"/>
      <c r="T339" s="282"/>
      <c r="U339" s="282"/>
      <c r="V339" s="282"/>
      <c r="W339" s="282"/>
      <c r="X339" s="282"/>
      <c r="Y339" s="282"/>
      <c r="Z339" s="282"/>
      <c r="AA339" s="282"/>
    </row>
    <row r="340" spans="1:27" s="428" customFormat="1" outlineLevel="3" x14ac:dyDescent="0.25">
      <c r="A340" s="276">
        <f t="shared" si="85"/>
        <v>189</v>
      </c>
      <c r="B340" s="758" t="str">
        <f>$B189</f>
        <v>3rd Grade Teacher</v>
      </c>
      <c r="C340" s="430">
        <f t="shared" si="83"/>
        <v>233118.31336770902</v>
      </c>
      <c r="D340" s="430"/>
      <c r="E340" s="430"/>
      <c r="F340" s="430"/>
      <c r="G340" s="1290">
        <f>G189*$E189</f>
        <v>0</v>
      </c>
      <c r="H340" s="1290">
        <f>(H189*$E189)</f>
        <v>0</v>
      </c>
      <c r="I340" s="1290">
        <f t="shared" si="88"/>
        <v>43908.9</v>
      </c>
      <c r="J340" s="1290">
        <f t="shared" si="88"/>
        <v>45226.167000000001</v>
      </c>
      <c r="K340" s="1290">
        <f t="shared" si="88"/>
        <v>46582.952010000001</v>
      </c>
      <c r="L340" s="1290">
        <f t="shared" si="88"/>
        <v>47980.440570299994</v>
      </c>
      <c r="M340" s="1290">
        <f t="shared" si="88"/>
        <v>49419.853787408996</v>
      </c>
      <c r="R340" s="282"/>
      <c r="S340" s="282"/>
      <c r="T340" s="282"/>
      <c r="U340" s="282"/>
      <c r="V340" s="282"/>
      <c r="W340" s="282"/>
      <c r="X340" s="282"/>
      <c r="Y340" s="282"/>
      <c r="Z340" s="282"/>
      <c r="AA340" s="282"/>
    </row>
    <row r="341" spans="1:27" s="428" customFormat="1" outlineLevel="3" x14ac:dyDescent="0.25">
      <c r="A341" s="276">
        <f t="shared" si="85"/>
        <v>190</v>
      </c>
      <c r="B341" s="758" t="str">
        <f>$B190</f>
        <v>3rd Grade Teacher</v>
      </c>
      <c r="C341" s="430">
        <f t="shared" si="83"/>
        <v>233118.31336770902</v>
      </c>
      <c r="D341" s="430"/>
      <c r="E341" s="430"/>
      <c r="F341" s="430"/>
      <c r="G341" s="1290">
        <f>G190*$E190</f>
        <v>0</v>
      </c>
      <c r="H341" s="1290">
        <f>(H190*$E190)</f>
        <v>0</v>
      </c>
      <c r="I341" s="1290">
        <f t="shared" si="88"/>
        <v>43908.9</v>
      </c>
      <c r="J341" s="1290">
        <f t="shared" si="88"/>
        <v>45226.167000000001</v>
      </c>
      <c r="K341" s="1290">
        <f t="shared" si="88"/>
        <v>46582.952010000001</v>
      </c>
      <c r="L341" s="1290">
        <f t="shared" si="88"/>
        <v>47980.440570299994</v>
      </c>
      <c r="M341" s="1290">
        <f t="shared" si="88"/>
        <v>49419.853787408996</v>
      </c>
      <c r="R341" s="282"/>
      <c r="S341" s="282"/>
      <c r="T341" s="282"/>
      <c r="U341" s="282"/>
      <c r="V341" s="282"/>
      <c r="W341" s="282"/>
      <c r="X341" s="282"/>
      <c r="Y341" s="282"/>
      <c r="Z341" s="282"/>
      <c r="AA341" s="282"/>
    </row>
    <row r="342" spans="1:27" s="428" customFormat="1" outlineLevel="3" x14ac:dyDescent="0.25">
      <c r="A342" s="276">
        <f t="shared" si="85"/>
        <v>191</v>
      </c>
      <c r="B342" s="758" t="str">
        <f>$B191</f>
        <v>4th Grade Teacher</v>
      </c>
      <c r="C342" s="430">
        <f t="shared" si="83"/>
        <v>271673.21514059999</v>
      </c>
      <c r="D342" s="430"/>
      <c r="E342" s="430"/>
      <c r="F342" s="430"/>
      <c r="G342" s="1290">
        <f>G191*$E191</f>
        <v>0</v>
      </c>
      <c r="H342" s="1290">
        <f>(H191*$E191)</f>
        <v>42000</v>
      </c>
      <c r="I342" s="1290">
        <f t="shared" si="88"/>
        <v>43260</v>
      </c>
      <c r="J342" s="1290">
        <f t="shared" si="88"/>
        <v>44557.799999999996</v>
      </c>
      <c r="K342" s="1290">
        <f t="shared" si="88"/>
        <v>45894.534</v>
      </c>
      <c r="L342" s="1290">
        <f t="shared" si="88"/>
        <v>47271.370019999995</v>
      </c>
      <c r="M342" s="1290">
        <f t="shared" si="88"/>
        <v>48689.511120599993</v>
      </c>
      <c r="R342" s="282"/>
      <c r="S342" s="282"/>
      <c r="T342" s="282"/>
      <c r="U342" s="282"/>
      <c r="V342" s="282"/>
      <c r="W342" s="282"/>
      <c r="X342" s="282"/>
      <c r="Y342" s="282"/>
      <c r="Z342" s="282"/>
      <c r="AA342" s="282"/>
    </row>
    <row r="343" spans="1:27" s="431" customFormat="1" outlineLevel="3" x14ac:dyDescent="0.25">
      <c r="A343" s="276">
        <f t="shared" si="85"/>
        <v>192</v>
      </c>
      <c r="B343" s="758" t="str">
        <f>$B192</f>
        <v>4th Grade Teacher</v>
      </c>
      <c r="C343" s="430">
        <f t="shared" si="83"/>
        <v>233118.31336770902</v>
      </c>
      <c r="D343" s="430"/>
      <c r="E343" s="430"/>
      <c r="F343" s="430"/>
      <c r="G343" s="1290">
        <f>G192*$E192</f>
        <v>0</v>
      </c>
      <c r="H343" s="1290">
        <f>(H192*$E192)</f>
        <v>0</v>
      </c>
      <c r="I343" s="1290">
        <f t="shared" si="88"/>
        <v>43908.9</v>
      </c>
      <c r="J343" s="1290">
        <f t="shared" si="88"/>
        <v>45226.167000000001</v>
      </c>
      <c r="K343" s="1290">
        <f t="shared" si="88"/>
        <v>46582.952010000001</v>
      </c>
      <c r="L343" s="1290">
        <f t="shared" si="88"/>
        <v>47980.440570299994</v>
      </c>
      <c r="M343" s="1290">
        <f t="shared" si="88"/>
        <v>49419.853787408996</v>
      </c>
      <c r="R343" s="282"/>
      <c r="S343" s="282"/>
      <c r="T343" s="282"/>
      <c r="U343" s="282"/>
      <c r="V343" s="282"/>
      <c r="W343" s="282"/>
      <c r="X343" s="282"/>
      <c r="Y343" s="282"/>
      <c r="Z343" s="282"/>
      <c r="AA343" s="282"/>
    </row>
    <row r="344" spans="1:27" s="431" customFormat="1" outlineLevel="3" x14ac:dyDescent="0.25">
      <c r="A344" s="276">
        <f t="shared" si="85"/>
        <v>193</v>
      </c>
      <c r="B344" s="758"/>
      <c r="C344" s="430">
        <f t="shared" si="83"/>
        <v>0</v>
      </c>
      <c r="D344" s="430"/>
      <c r="E344" s="430"/>
      <c r="F344" s="430"/>
      <c r="G344" s="1290"/>
      <c r="H344" s="1290"/>
      <c r="I344" s="1290"/>
      <c r="J344" s="1290"/>
      <c r="K344" s="1290"/>
      <c r="L344" s="1290"/>
      <c r="M344" s="1290"/>
      <c r="R344" s="282"/>
      <c r="S344" s="282"/>
      <c r="T344" s="282"/>
      <c r="U344" s="282"/>
      <c r="V344" s="282"/>
      <c r="W344" s="282"/>
      <c r="X344" s="282"/>
      <c r="Y344" s="282"/>
      <c r="Z344" s="282"/>
      <c r="AA344" s="282"/>
    </row>
    <row r="345" spans="1:27" s="428" customFormat="1" outlineLevel="3" x14ac:dyDescent="0.25">
      <c r="A345" s="276">
        <f t="shared" si="85"/>
        <v>194</v>
      </c>
      <c r="B345" s="758" t="str">
        <f>$B194</f>
        <v>4th Grade Teacher</v>
      </c>
      <c r="C345" s="430">
        <f t="shared" si="83"/>
        <v>192183.14799019002</v>
      </c>
      <c r="D345" s="430"/>
      <c r="E345" s="430"/>
      <c r="F345" s="430"/>
      <c r="G345" s="1290">
        <f>G194*$E194</f>
        <v>0</v>
      </c>
      <c r="H345" s="1290">
        <f>(H194*$E194)</f>
        <v>0</v>
      </c>
      <c r="I345" s="1290">
        <f t="shared" ref="I345:M349" si="89">(I194*$E194)*$C$46^(I$11-$H$11)</f>
        <v>0</v>
      </c>
      <c r="J345" s="1290">
        <f t="shared" si="89"/>
        <v>45936.97</v>
      </c>
      <c r="K345" s="1290">
        <f t="shared" si="89"/>
        <v>47315.079100000003</v>
      </c>
      <c r="L345" s="1290">
        <f t="shared" si="89"/>
        <v>48734.531472999995</v>
      </c>
      <c r="M345" s="1290">
        <f t="shared" si="89"/>
        <v>50196.567417189995</v>
      </c>
      <c r="R345" s="282"/>
      <c r="S345" s="282"/>
      <c r="T345" s="282"/>
      <c r="U345" s="282"/>
      <c r="V345" s="282"/>
      <c r="W345" s="282"/>
      <c r="X345" s="282"/>
      <c r="Y345" s="282"/>
      <c r="Z345" s="282"/>
      <c r="AA345" s="282"/>
    </row>
    <row r="346" spans="1:27" s="428" customFormat="1" outlineLevel="3" x14ac:dyDescent="0.25">
      <c r="A346" s="276">
        <f t="shared" si="85"/>
        <v>195</v>
      </c>
      <c r="B346" s="758" t="str">
        <f>$B195</f>
        <v>4th Grade Teacher</v>
      </c>
      <c r="C346" s="430">
        <f t="shared" si="83"/>
        <v>192183.14799019002</v>
      </c>
      <c r="D346" s="430"/>
      <c r="E346" s="430"/>
      <c r="F346" s="430"/>
      <c r="G346" s="1290">
        <f>G195*$E195</f>
        <v>0</v>
      </c>
      <c r="H346" s="1290">
        <f>(H195*$E195)</f>
        <v>0</v>
      </c>
      <c r="I346" s="1290">
        <f t="shared" si="89"/>
        <v>0</v>
      </c>
      <c r="J346" s="1290">
        <f t="shared" si="89"/>
        <v>45936.97</v>
      </c>
      <c r="K346" s="1290">
        <f t="shared" si="89"/>
        <v>47315.079100000003</v>
      </c>
      <c r="L346" s="1290">
        <f t="shared" si="89"/>
        <v>48734.531472999995</v>
      </c>
      <c r="M346" s="1290">
        <f t="shared" si="89"/>
        <v>50196.567417189995</v>
      </c>
      <c r="R346" s="282"/>
      <c r="S346" s="282"/>
      <c r="T346" s="282"/>
      <c r="U346" s="282"/>
      <c r="V346" s="282"/>
      <c r="W346" s="282"/>
      <c r="X346" s="282"/>
      <c r="Y346" s="282"/>
      <c r="Z346" s="282"/>
      <c r="AA346" s="282"/>
    </row>
    <row r="347" spans="1:27" s="428" customFormat="1" outlineLevel="3" x14ac:dyDescent="0.25">
      <c r="A347" s="276">
        <f t="shared" si="85"/>
        <v>196</v>
      </c>
      <c r="B347" s="758" t="str">
        <f>$B196</f>
        <v>5th Grade Teacher</v>
      </c>
      <c r="C347" s="430">
        <f t="shared" si="83"/>
        <v>271673.21514059999</v>
      </c>
      <c r="D347" s="430"/>
      <c r="E347" s="430"/>
      <c r="F347" s="430"/>
      <c r="G347" s="1290">
        <f>G196*$E196</f>
        <v>0</v>
      </c>
      <c r="H347" s="1290">
        <f>(H196*$E196)</f>
        <v>42000</v>
      </c>
      <c r="I347" s="1290">
        <f t="shared" si="89"/>
        <v>43260</v>
      </c>
      <c r="J347" s="1290">
        <f t="shared" si="89"/>
        <v>44557.799999999996</v>
      </c>
      <c r="K347" s="1290">
        <f t="shared" si="89"/>
        <v>45894.534</v>
      </c>
      <c r="L347" s="1290">
        <f t="shared" si="89"/>
        <v>47271.370019999995</v>
      </c>
      <c r="M347" s="1290">
        <f t="shared" si="89"/>
        <v>48689.511120599993</v>
      </c>
      <c r="R347" s="282"/>
      <c r="S347" s="282"/>
      <c r="T347" s="282"/>
      <c r="U347" s="282"/>
      <c r="V347" s="282"/>
      <c r="W347" s="282"/>
      <c r="X347" s="282"/>
      <c r="Y347" s="282"/>
      <c r="Z347" s="282"/>
      <c r="AA347" s="282"/>
    </row>
    <row r="348" spans="1:27" s="428" customFormat="1" outlineLevel="3" x14ac:dyDescent="0.25">
      <c r="A348" s="276">
        <f t="shared" si="85"/>
        <v>197</v>
      </c>
      <c r="B348" s="758" t="str">
        <f>$B197</f>
        <v>5th Grade Teacher</v>
      </c>
      <c r="C348" s="430">
        <f t="shared" si="83"/>
        <v>192183.14799019002</v>
      </c>
      <c r="D348" s="430"/>
      <c r="E348" s="430"/>
      <c r="F348" s="430"/>
      <c r="G348" s="1290">
        <f>G197*$E197</f>
        <v>0</v>
      </c>
      <c r="H348" s="1290">
        <f>(H197*$E197)</f>
        <v>0</v>
      </c>
      <c r="I348" s="1290">
        <f t="shared" si="89"/>
        <v>0</v>
      </c>
      <c r="J348" s="1290">
        <f t="shared" si="89"/>
        <v>45936.97</v>
      </c>
      <c r="K348" s="1290">
        <f t="shared" si="89"/>
        <v>47315.079100000003</v>
      </c>
      <c r="L348" s="1290">
        <f t="shared" si="89"/>
        <v>48734.531472999995</v>
      </c>
      <c r="M348" s="1290">
        <f t="shared" si="89"/>
        <v>50196.567417189995</v>
      </c>
      <c r="R348" s="282"/>
      <c r="S348" s="282"/>
      <c r="T348" s="282"/>
      <c r="U348" s="282"/>
      <c r="V348" s="282"/>
      <c r="W348" s="282"/>
      <c r="X348" s="282"/>
      <c r="Y348" s="282"/>
      <c r="Z348" s="282"/>
      <c r="AA348" s="282"/>
    </row>
    <row r="349" spans="1:27" s="428" customFormat="1" outlineLevel="3" x14ac:dyDescent="0.25">
      <c r="A349" s="276">
        <f t="shared" si="85"/>
        <v>198</v>
      </c>
      <c r="B349" s="758" t="str">
        <f>$B198</f>
        <v>5th Grade Teacher</v>
      </c>
      <c r="C349" s="430">
        <f t="shared" si="83"/>
        <v>148610.43490919998</v>
      </c>
      <c r="D349" s="430"/>
      <c r="E349" s="430"/>
      <c r="F349" s="430"/>
      <c r="G349" s="1290">
        <f>G198*$E198</f>
        <v>0</v>
      </c>
      <c r="H349" s="1290">
        <f>(H198*$E198)</f>
        <v>0</v>
      </c>
      <c r="I349" s="1290">
        <f t="shared" si="89"/>
        <v>0</v>
      </c>
      <c r="J349" s="1290">
        <f t="shared" si="89"/>
        <v>0</v>
      </c>
      <c r="K349" s="1290">
        <f t="shared" si="89"/>
        <v>48079.987999999998</v>
      </c>
      <c r="L349" s="1290">
        <f t="shared" si="89"/>
        <v>49522.387639999994</v>
      </c>
      <c r="M349" s="1290">
        <f t="shared" si="89"/>
        <v>51008.059269199992</v>
      </c>
      <c r="R349" s="282"/>
      <c r="S349" s="282"/>
      <c r="T349" s="282"/>
      <c r="U349" s="282"/>
      <c r="V349" s="282"/>
      <c r="W349" s="282"/>
      <c r="X349" s="282"/>
      <c r="Y349" s="282"/>
      <c r="Z349" s="282"/>
      <c r="AA349" s="282"/>
    </row>
    <row r="350" spans="1:27" s="428" customFormat="1" outlineLevel="3" x14ac:dyDescent="0.25">
      <c r="A350" s="276">
        <f t="shared" si="85"/>
        <v>199</v>
      </c>
      <c r="B350" s="758"/>
      <c r="C350" s="430">
        <f t="shared" si="83"/>
        <v>0</v>
      </c>
      <c r="D350" s="430"/>
      <c r="E350" s="430"/>
      <c r="F350" s="430"/>
      <c r="G350" s="1290"/>
      <c r="H350" s="1290"/>
      <c r="I350" s="1290"/>
      <c r="J350" s="1290"/>
      <c r="K350" s="1290"/>
      <c r="L350" s="1290"/>
      <c r="M350" s="1290"/>
      <c r="R350" s="282"/>
      <c r="S350" s="282"/>
      <c r="T350" s="282"/>
      <c r="U350" s="282"/>
      <c r="V350" s="282"/>
      <c r="W350" s="282"/>
      <c r="X350" s="282"/>
      <c r="Y350" s="282"/>
      <c r="Z350" s="282"/>
      <c r="AA350" s="282"/>
    </row>
    <row r="351" spans="1:27" s="428" customFormat="1" outlineLevel="3" x14ac:dyDescent="0.25">
      <c r="A351" s="276">
        <f t="shared" si="85"/>
        <v>200</v>
      </c>
      <c r="B351" s="758" t="str">
        <f>$B200</f>
        <v>5th Grade Teacher</v>
      </c>
      <c r="C351" s="430">
        <f t="shared" si="83"/>
        <v>148610.43490919998</v>
      </c>
      <c r="D351" s="430"/>
      <c r="E351" s="430"/>
      <c r="F351" s="430"/>
      <c r="G351" s="1290">
        <f>G200*$E200</f>
        <v>0</v>
      </c>
      <c r="H351" s="1290">
        <f>(H200*$E200)</f>
        <v>0</v>
      </c>
      <c r="I351" s="1290">
        <f t="shared" ref="I351:M355" si="90">(I200*$E200)*$C$46^(I$11-$H$11)</f>
        <v>0</v>
      </c>
      <c r="J351" s="1290">
        <f t="shared" si="90"/>
        <v>0</v>
      </c>
      <c r="K351" s="1290">
        <f t="shared" si="90"/>
        <v>48079.987999999998</v>
      </c>
      <c r="L351" s="1290">
        <f t="shared" si="90"/>
        <v>49522.387639999994</v>
      </c>
      <c r="M351" s="1290">
        <f t="shared" si="90"/>
        <v>51008.059269199992</v>
      </c>
      <c r="R351" s="282"/>
      <c r="S351" s="282"/>
      <c r="T351" s="282"/>
      <c r="U351" s="282"/>
      <c r="V351" s="282"/>
      <c r="W351" s="282"/>
      <c r="X351" s="282"/>
      <c r="Y351" s="282"/>
      <c r="Z351" s="282"/>
      <c r="AA351" s="282"/>
    </row>
    <row r="352" spans="1:27" s="428" customFormat="1" outlineLevel="3" x14ac:dyDescent="0.25">
      <c r="A352" s="276">
        <f t="shared" si="85"/>
        <v>201</v>
      </c>
      <c r="B352" s="758" t="str">
        <f>$B201</f>
        <v>6th Grade Teacher</v>
      </c>
      <c r="C352" s="430">
        <f t="shared" si="83"/>
        <v>271673.21514059999</v>
      </c>
      <c r="D352" s="430"/>
      <c r="E352" s="430"/>
      <c r="F352" s="430"/>
      <c r="G352" s="1290">
        <f>G201*$E201</f>
        <v>0</v>
      </c>
      <c r="H352" s="1290">
        <f>(H201*$E201)</f>
        <v>42000</v>
      </c>
      <c r="I352" s="1290">
        <f t="shared" si="90"/>
        <v>43260</v>
      </c>
      <c r="J352" s="1290">
        <f t="shared" si="90"/>
        <v>44557.799999999996</v>
      </c>
      <c r="K352" s="1290">
        <f t="shared" si="90"/>
        <v>45894.534</v>
      </c>
      <c r="L352" s="1290">
        <f t="shared" si="90"/>
        <v>47271.370019999995</v>
      </c>
      <c r="M352" s="1290">
        <f t="shared" si="90"/>
        <v>48689.511120599993</v>
      </c>
      <c r="R352" s="282"/>
      <c r="S352" s="282"/>
      <c r="T352" s="282"/>
      <c r="U352" s="282"/>
      <c r="V352" s="282"/>
      <c r="W352" s="282"/>
      <c r="X352" s="282"/>
      <c r="Y352" s="282"/>
      <c r="Z352" s="282"/>
      <c r="AA352" s="282"/>
    </row>
    <row r="353" spans="1:27" s="428" customFormat="1" outlineLevel="3" x14ac:dyDescent="0.25">
      <c r="A353" s="276">
        <f t="shared" si="85"/>
        <v>202</v>
      </c>
      <c r="B353" s="758" t="str">
        <f>$B202</f>
        <v>6th Grade Teacher</v>
      </c>
      <c r="C353" s="430">
        <f t="shared" si="83"/>
        <v>233118.31336770902</v>
      </c>
      <c r="D353" s="430"/>
      <c r="E353" s="430"/>
      <c r="F353" s="430"/>
      <c r="G353" s="1290">
        <f>G202*$E202</f>
        <v>0</v>
      </c>
      <c r="H353" s="1290">
        <f>(H202*$E202)</f>
        <v>0</v>
      </c>
      <c r="I353" s="1290">
        <f t="shared" si="90"/>
        <v>43908.9</v>
      </c>
      <c r="J353" s="1290">
        <f t="shared" si="90"/>
        <v>45226.167000000001</v>
      </c>
      <c r="K353" s="1290">
        <f t="shared" si="90"/>
        <v>46582.952010000001</v>
      </c>
      <c r="L353" s="1290">
        <f t="shared" si="90"/>
        <v>47980.440570299994</v>
      </c>
      <c r="M353" s="1290">
        <f t="shared" si="90"/>
        <v>49419.853787408996</v>
      </c>
      <c r="R353" s="282"/>
      <c r="S353" s="282"/>
      <c r="T353" s="282"/>
      <c r="U353" s="282"/>
      <c r="V353" s="282"/>
      <c r="W353" s="282"/>
      <c r="X353" s="282"/>
      <c r="Y353" s="282"/>
      <c r="Z353" s="282"/>
      <c r="AA353" s="282"/>
    </row>
    <row r="354" spans="1:27" s="428" customFormat="1" outlineLevel="3" x14ac:dyDescent="0.25">
      <c r="A354" s="276">
        <f t="shared" si="85"/>
        <v>203</v>
      </c>
      <c r="B354" s="758" t="str">
        <f>$B203</f>
        <v>6th Grade Teacher</v>
      </c>
      <c r="C354" s="430">
        <f t="shared" si="83"/>
        <v>148610.43490919998</v>
      </c>
      <c r="D354" s="430"/>
      <c r="E354" s="430"/>
      <c r="F354" s="430"/>
      <c r="G354" s="1290">
        <f>G203*$E203</f>
        <v>0</v>
      </c>
      <c r="H354" s="1290">
        <f>(H203*$E203)</f>
        <v>0</v>
      </c>
      <c r="I354" s="1290">
        <f t="shared" si="90"/>
        <v>0</v>
      </c>
      <c r="J354" s="1290">
        <f t="shared" si="90"/>
        <v>0</v>
      </c>
      <c r="K354" s="1290">
        <f t="shared" si="90"/>
        <v>48079.987999999998</v>
      </c>
      <c r="L354" s="1290">
        <f t="shared" si="90"/>
        <v>49522.387639999994</v>
      </c>
      <c r="M354" s="1290">
        <f t="shared" si="90"/>
        <v>51008.059269199992</v>
      </c>
      <c r="R354" s="282"/>
      <c r="S354" s="282"/>
      <c r="T354" s="282"/>
      <c r="U354" s="282"/>
      <c r="V354" s="282"/>
      <c r="W354" s="282"/>
      <c r="X354" s="282"/>
      <c r="Y354" s="282"/>
      <c r="Z354" s="282"/>
      <c r="AA354" s="282"/>
    </row>
    <row r="355" spans="1:27" s="431" customFormat="1" outlineLevel="3" x14ac:dyDescent="0.25">
      <c r="A355" s="276">
        <f t="shared" si="85"/>
        <v>204</v>
      </c>
      <c r="B355" s="758" t="str">
        <f>$B204</f>
        <v>6th Grade Teacher</v>
      </c>
      <c r="C355" s="430">
        <f t="shared" ref="C355:C386" si="91">SUM(G355:M355)</f>
        <v>148610.43490919998</v>
      </c>
      <c r="D355" s="430"/>
      <c r="E355" s="430"/>
      <c r="F355" s="430"/>
      <c r="G355" s="1290">
        <f>G204*$E204</f>
        <v>0</v>
      </c>
      <c r="H355" s="1290">
        <f>(H204*$E204)</f>
        <v>0</v>
      </c>
      <c r="I355" s="1290">
        <f t="shared" si="90"/>
        <v>0</v>
      </c>
      <c r="J355" s="1290">
        <f t="shared" si="90"/>
        <v>0</v>
      </c>
      <c r="K355" s="1290">
        <f t="shared" si="90"/>
        <v>48079.987999999998</v>
      </c>
      <c r="L355" s="1290">
        <f t="shared" si="90"/>
        <v>49522.387639999994</v>
      </c>
      <c r="M355" s="1290">
        <f t="shared" si="90"/>
        <v>51008.059269199992</v>
      </c>
      <c r="R355" s="282"/>
      <c r="S355" s="282"/>
      <c r="T355" s="282"/>
      <c r="U355" s="282"/>
      <c r="V355" s="282"/>
      <c r="W355" s="282"/>
      <c r="X355" s="282"/>
      <c r="Y355" s="282"/>
      <c r="Z355" s="282"/>
      <c r="AA355" s="282"/>
    </row>
    <row r="356" spans="1:27" s="431" customFormat="1" outlineLevel="3" x14ac:dyDescent="0.25">
      <c r="A356" s="276">
        <f t="shared" si="85"/>
        <v>205</v>
      </c>
      <c r="B356" s="758"/>
      <c r="C356" s="430">
        <f t="shared" si="91"/>
        <v>0</v>
      </c>
      <c r="D356" s="430"/>
      <c r="E356" s="430"/>
      <c r="F356" s="430"/>
      <c r="G356" s="1290"/>
      <c r="H356" s="1290"/>
      <c r="I356" s="1290"/>
      <c r="J356" s="1290"/>
      <c r="K356" s="1290"/>
      <c r="L356" s="1290"/>
      <c r="M356" s="1290"/>
      <c r="R356" s="282"/>
      <c r="S356" s="282"/>
      <c r="T356" s="282"/>
      <c r="U356" s="282"/>
      <c r="V356" s="282"/>
      <c r="W356" s="282"/>
      <c r="X356" s="282"/>
      <c r="Y356" s="282"/>
      <c r="Z356" s="282"/>
      <c r="AA356" s="282"/>
    </row>
    <row r="357" spans="1:27" s="428" customFormat="1" outlineLevel="3" x14ac:dyDescent="0.25">
      <c r="A357" s="276">
        <f t="shared" si="85"/>
        <v>206</v>
      </c>
      <c r="B357" s="758" t="str">
        <f>$B206</f>
        <v>7th Grade Teacher</v>
      </c>
      <c r="C357" s="430">
        <f t="shared" si="91"/>
        <v>233118.31336770902</v>
      </c>
      <c r="D357" s="430"/>
      <c r="E357" s="430"/>
      <c r="F357" s="430"/>
      <c r="G357" s="1290">
        <f>G206*$E206</f>
        <v>0</v>
      </c>
      <c r="H357" s="1290">
        <f>(H206*$E206)</f>
        <v>0</v>
      </c>
      <c r="I357" s="1290">
        <f t="shared" ref="I357:M361" si="92">(I206*$E206)*$C$46^(I$11-$H$11)</f>
        <v>43908.9</v>
      </c>
      <c r="J357" s="1290">
        <f t="shared" si="92"/>
        <v>45226.167000000001</v>
      </c>
      <c r="K357" s="1290">
        <f t="shared" si="92"/>
        <v>46582.952010000001</v>
      </c>
      <c r="L357" s="1290">
        <f t="shared" si="92"/>
        <v>47980.440570299994</v>
      </c>
      <c r="M357" s="1290">
        <f t="shared" si="92"/>
        <v>49419.853787408996</v>
      </c>
      <c r="R357" s="282"/>
      <c r="S357" s="282"/>
      <c r="T357" s="282"/>
      <c r="U357" s="282"/>
      <c r="V357" s="282"/>
      <c r="W357" s="282"/>
      <c r="X357" s="282"/>
      <c r="Y357" s="282"/>
      <c r="Z357" s="282"/>
      <c r="AA357" s="282"/>
    </row>
    <row r="358" spans="1:27" s="428" customFormat="1" outlineLevel="3" x14ac:dyDescent="0.25">
      <c r="A358" s="276">
        <f t="shared" si="85"/>
        <v>207</v>
      </c>
      <c r="B358" s="758" t="str">
        <f>$B207</f>
        <v>7th Grade Teacher</v>
      </c>
      <c r="C358" s="430">
        <f t="shared" si="91"/>
        <v>192183.14799019002</v>
      </c>
      <c r="D358" s="430"/>
      <c r="E358" s="430"/>
      <c r="F358" s="430"/>
      <c r="G358" s="1290">
        <f>G207*$E207</f>
        <v>0</v>
      </c>
      <c r="H358" s="1290">
        <f>(H207*$E207)</f>
        <v>0</v>
      </c>
      <c r="I358" s="1290">
        <f t="shared" si="92"/>
        <v>0</v>
      </c>
      <c r="J358" s="1290">
        <f t="shared" si="92"/>
        <v>45936.97</v>
      </c>
      <c r="K358" s="1290">
        <f t="shared" si="92"/>
        <v>47315.079100000003</v>
      </c>
      <c r="L358" s="1290">
        <f t="shared" si="92"/>
        <v>48734.531472999995</v>
      </c>
      <c r="M358" s="1290">
        <f t="shared" si="92"/>
        <v>50196.567417189995</v>
      </c>
      <c r="R358" s="282"/>
      <c r="S358" s="282"/>
      <c r="T358" s="282"/>
      <c r="U358" s="282"/>
      <c r="V358" s="282"/>
      <c r="W358" s="282"/>
      <c r="X358" s="282"/>
      <c r="Y358" s="282"/>
      <c r="Z358" s="282"/>
      <c r="AA358" s="282"/>
    </row>
    <row r="359" spans="1:27" s="428" customFormat="1" outlineLevel="3" x14ac:dyDescent="0.25">
      <c r="A359" s="276">
        <f t="shared" si="85"/>
        <v>208</v>
      </c>
      <c r="B359" s="758" t="str">
        <f>$B208</f>
        <v>7th Grade Teacher</v>
      </c>
      <c r="C359" s="430">
        <f t="shared" si="91"/>
        <v>102129.79492821</v>
      </c>
      <c r="D359" s="430"/>
      <c r="E359" s="430"/>
      <c r="F359" s="430"/>
      <c r="G359" s="1290">
        <f>G208*$E208</f>
        <v>0</v>
      </c>
      <c r="H359" s="1290">
        <f>(H208*$E208)</f>
        <v>0</v>
      </c>
      <c r="I359" s="1290">
        <f t="shared" si="92"/>
        <v>0</v>
      </c>
      <c r="J359" s="1290">
        <f t="shared" si="92"/>
        <v>0</v>
      </c>
      <c r="K359" s="1290">
        <f t="shared" si="92"/>
        <v>0</v>
      </c>
      <c r="L359" s="1290">
        <f t="shared" si="92"/>
        <v>50310.243806999999</v>
      </c>
      <c r="M359" s="1290">
        <f t="shared" si="92"/>
        <v>51819.551121209995</v>
      </c>
      <c r="R359" s="282"/>
      <c r="S359" s="282"/>
      <c r="T359" s="282"/>
      <c r="U359" s="282"/>
      <c r="V359" s="282"/>
      <c r="W359" s="282"/>
      <c r="X359" s="282"/>
      <c r="Y359" s="282"/>
      <c r="Z359" s="282"/>
      <c r="AA359" s="282"/>
    </row>
    <row r="360" spans="1:27" s="428" customFormat="1" outlineLevel="3" x14ac:dyDescent="0.25">
      <c r="A360" s="276">
        <f t="shared" si="85"/>
        <v>209</v>
      </c>
      <c r="B360" s="758" t="str">
        <f>$B209</f>
        <v>7th Grade Teacher</v>
      </c>
      <c r="C360" s="430">
        <f t="shared" si="91"/>
        <v>102129.79492821</v>
      </c>
      <c r="D360" s="430"/>
      <c r="E360" s="430"/>
      <c r="F360" s="430"/>
      <c r="G360" s="1290">
        <f>G209*$E209</f>
        <v>0</v>
      </c>
      <c r="H360" s="1290">
        <f>(H209*$E209)</f>
        <v>0</v>
      </c>
      <c r="I360" s="1290">
        <f t="shared" si="92"/>
        <v>0</v>
      </c>
      <c r="J360" s="1290">
        <f t="shared" si="92"/>
        <v>0</v>
      </c>
      <c r="K360" s="1290">
        <f t="shared" si="92"/>
        <v>0</v>
      </c>
      <c r="L360" s="1290">
        <f t="shared" si="92"/>
        <v>50310.243806999999</v>
      </c>
      <c r="M360" s="1290">
        <f t="shared" si="92"/>
        <v>51819.551121209995</v>
      </c>
      <c r="R360" s="282"/>
      <c r="S360" s="533"/>
      <c r="T360" s="282"/>
      <c r="U360" s="282"/>
      <c r="V360" s="282"/>
      <c r="W360" s="282"/>
      <c r="X360" s="282"/>
      <c r="Y360" s="282"/>
      <c r="Z360" s="282"/>
      <c r="AA360" s="282"/>
    </row>
    <row r="361" spans="1:27" s="428" customFormat="1" outlineLevel="3" x14ac:dyDescent="0.25">
      <c r="A361" s="276">
        <f t="shared" si="85"/>
        <v>210</v>
      </c>
      <c r="B361" s="758" t="str">
        <f>$B210</f>
        <v>8th Grade Teacher</v>
      </c>
      <c r="C361" s="430">
        <f t="shared" si="91"/>
        <v>192183.14799019002</v>
      </c>
      <c r="D361" s="430"/>
      <c r="E361" s="430"/>
      <c r="F361" s="430"/>
      <c r="G361" s="1290">
        <f>G210*$E210</f>
        <v>0</v>
      </c>
      <c r="H361" s="1290">
        <f>(H210*$E210)</f>
        <v>0</v>
      </c>
      <c r="I361" s="1290">
        <f t="shared" si="92"/>
        <v>0</v>
      </c>
      <c r="J361" s="1290">
        <f t="shared" si="92"/>
        <v>45936.97</v>
      </c>
      <c r="K361" s="1290">
        <f t="shared" si="92"/>
        <v>47315.079100000003</v>
      </c>
      <c r="L361" s="1290">
        <f t="shared" si="92"/>
        <v>48734.531472999995</v>
      </c>
      <c r="M361" s="1290">
        <f t="shared" si="92"/>
        <v>50196.567417189995</v>
      </c>
      <c r="R361" s="282"/>
      <c r="S361" s="282"/>
      <c r="T361" s="282"/>
      <c r="U361" s="282"/>
      <c r="V361" s="282"/>
      <c r="W361" s="282"/>
      <c r="X361" s="282"/>
      <c r="Y361" s="282"/>
      <c r="Z361" s="282"/>
      <c r="AA361" s="282"/>
    </row>
    <row r="362" spans="1:27" s="428" customFormat="1" outlineLevel="3" x14ac:dyDescent="0.25">
      <c r="A362" s="276">
        <f t="shared" si="85"/>
        <v>211</v>
      </c>
      <c r="B362" s="758"/>
      <c r="C362" s="430">
        <f t="shared" si="91"/>
        <v>0</v>
      </c>
      <c r="D362" s="430"/>
      <c r="E362" s="430"/>
      <c r="F362" s="430"/>
      <c r="G362" s="1290"/>
      <c r="H362" s="1290"/>
      <c r="I362" s="1290"/>
      <c r="J362" s="1290"/>
      <c r="K362" s="1290"/>
      <c r="L362" s="1290"/>
      <c r="M362" s="1290"/>
      <c r="R362" s="282"/>
      <c r="S362" s="282"/>
      <c r="T362" s="282"/>
      <c r="U362" s="282"/>
      <c r="V362" s="282"/>
      <c r="W362" s="282"/>
      <c r="X362" s="282"/>
      <c r="Y362" s="282"/>
      <c r="Z362" s="282"/>
      <c r="AA362" s="282"/>
    </row>
    <row r="363" spans="1:27" s="428" customFormat="1" outlineLevel="3" x14ac:dyDescent="0.25">
      <c r="A363" s="276">
        <f t="shared" si="85"/>
        <v>212</v>
      </c>
      <c r="B363" s="758" t="str">
        <f>$B212</f>
        <v>8th Grade Teacher</v>
      </c>
      <c r="C363" s="430">
        <f t="shared" si="91"/>
        <v>148610.43490919998</v>
      </c>
      <c r="D363" s="430"/>
      <c r="E363" s="430"/>
      <c r="F363" s="430"/>
      <c r="G363" s="1290">
        <f>G212*$E212</f>
        <v>0</v>
      </c>
      <c r="H363" s="1290">
        <f>(H212*$E212)</f>
        <v>0</v>
      </c>
      <c r="I363" s="1290">
        <f t="shared" ref="I363:M367" si="93">(I212*$E212)*$C$46^(I$11-$H$11)</f>
        <v>0</v>
      </c>
      <c r="J363" s="1290">
        <f t="shared" si="93"/>
        <v>0</v>
      </c>
      <c r="K363" s="1290">
        <f t="shared" si="93"/>
        <v>48079.987999999998</v>
      </c>
      <c r="L363" s="1290">
        <f t="shared" si="93"/>
        <v>49522.387639999994</v>
      </c>
      <c r="M363" s="1290">
        <f t="shared" si="93"/>
        <v>51008.059269199992</v>
      </c>
      <c r="R363" s="282"/>
      <c r="S363" s="282"/>
      <c r="T363" s="282"/>
      <c r="U363" s="282"/>
      <c r="V363" s="282"/>
      <c r="W363" s="282"/>
      <c r="X363" s="282"/>
      <c r="Y363" s="282"/>
      <c r="Z363" s="282"/>
      <c r="AA363" s="282"/>
    </row>
    <row r="364" spans="1:27" s="428" customFormat="1" outlineLevel="3" x14ac:dyDescent="0.25">
      <c r="A364" s="276">
        <f t="shared" si="85"/>
        <v>213</v>
      </c>
      <c r="B364" s="758" t="str">
        <f>$B213</f>
        <v>8th Grade Teacher</v>
      </c>
      <c r="C364" s="430">
        <f t="shared" si="91"/>
        <v>52573.079269504989</v>
      </c>
      <c r="D364" s="430"/>
      <c r="E364" s="430"/>
      <c r="F364" s="430"/>
      <c r="G364" s="1290">
        <f>G213*$E213</f>
        <v>0</v>
      </c>
      <c r="H364" s="1290">
        <f>(H213*$E213)</f>
        <v>0</v>
      </c>
      <c r="I364" s="1290">
        <f t="shared" si="93"/>
        <v>0</v>
      </c>
      <c r="J364" s="1290">
        <f t="shared" si="93"/>
        <v>0</v>
      </c>
      <c r="K364" s="1290">
        <f t="shared" si="93"/>
        <v>0</v>
      </c>
      <c r="L364" s="1290">
        <f t="shared" si="93"/>
        <v>0</v>
      </c>
      <c r="M364" s="1290">
        <f t="shared" si="93"/>
        <v>52573.079269504989</v>
      </c>
      <c r="R364" s="282"/>
      <c r="S364" s="282"/>
      <c r="T364" s="282"/>
      <c r="U364" s="282"/>
      <c r="V364" s="282"/>
      <c r="W364" s="282"/>
      <c r="X364" s="282"/>
      <c r="Y364" s="282"/>
      <c r="Z364" s="282"/>
      <c r="AA364" s="282"/>
    </row>
    <row r="365" spans="1:27" s="428" customFormat="1" outlineLevel="3" x14ac:dyDescent="0.25">
      <c r="A365" s="276">
        <f t="shared" si="85"/>
        <v>214</v>
      </c>
      <c r="B365" s="758" t="str">
        <f>$B214</f>
        <v>8th Grade Teacher</v>
      </c>
      <c r="C365" s="430">
        <f t="shared" si="91"/>
        <v>52573.079269504989</v>
      </c>
      <c r="D365" s="430"/>
      <c r="E365" s="430"/>
      <c r="F365" s="430"/>
      <c r="G365" s="1290">
        <f>G214*$E214</f>
        <v>0</v>
      </c>
      <c r="H365" s="1290">
        <f>(H214*$E214)</f>
        <v>0</v>
      </c>
      <c r="I365" s="1290">
        <f t="shared" si="93"/>
        <v>0</v>
      </c>
      <c r="J365" s="1290">
        <f t="shared" si="93"/>
        <v>0</v>
      </c>
      <c r="K365" s="1290">
        <f t="shared" si="93"/>
        <v>0</v>
      </c>
      <c r="L365" s="1290">
        <f t="shared" si="93"/>
        <v>0</v>
      </c>
      <c r="M365" s="1290">
        <f t="shared" si="93"/>
        <v>52573.079269504989</v>
      </c>
      <c r="R365" s="282"/>
      <c r="S365" s="282"/>
      <c r="T365" s="282"/>
      <c r="U365" s="282"/>
      <c r="V365" s="282"/>
      <c r="W365" s="282"/>
      <c r="X365" s="282"/>
      <c r="Y365" s="282"/>
      <c r="Z365" s="282"/>
      <c r="AA365" s="282"/>
    </row>
    <row r="366" spans="1:27" s="428" customFormat="1" outlineLevel="3" x14ac:dyDescent="0.25">
      <c r="A366" s="276">
        <f t="shared" si="85"/>
        <v>215</v>
      </c>
      <c r="B366" s="758" t="str">
        <f>$B215</f>
        <v>Grade Level Teacher</v>
      </c>
      <c r="C366" s="430">
        <f t="shared" si="91"/>
        <v>233118.31336770902</v>
      </c>
      <c r="D366" s="430"/>
      <c r="E366" s="430"/>
      <c r="F366" s="430"/>
      <c r="G366" s="1290">
        <f>G215*$E215</f>
        <v>0</v>
      </c>
      <c r="H366" s="1290">
        <f>(H215*$E215)</f>
        <v>0</v>
      </c>
      <c r="I366" s="1290">
        <f t="shared" si="93"/>
        <v>43908.9</v>
      </c>
      <c r="J366" s="1290">
        <f t="shared" si="93"/>
        <v>45226.167000000001</v>
      </c>
      <c r="K366" s="1290">
        <f t="shared" si="93"/>
        <v>46582.952010000001</v>
      </c>
      <c r="L366" s="1290">
        <f t="shared" si="93"/>
        <v>47980.440570299994</v>
      </c>
      <c r="M366" s="1290">
        <f t="shared" si="93"/>
        <v>49419.853787408996</v>
      </c>
      <c r="R366" s="282"/>
      <c r="S366" s="282"/>
      <c r="T366" s="282"/>
      <c r="U366" s="282"/>
      <c r="V366" s="282"/>
      <c r="W366" s="282"/>
      <c r="X366" s="282"/>
      <c r="Y366" s="282"/>
      <c r="Z366" s="282"/>
      <c r="AA366" s="282"/>
    </row>
    <row r="367" spans="1:27" s="431" customFormat="1" outlineLevel="3" x14ac:dyDescent="0.25">
      <c r="A367" s="276">
        <f t="shared" si="85"/>
        <v>216</v>
      </c>
      <c r="B367" s="758" t="str">
        <f>$B216</f>
        <v>Grade Level Teacher</v>
      </c>
      <c r="C367" s="430">
        <f t="shared" si="91"/>
        <v>233118.31336770902</v>
      </c>
      <c r="D367" s="430"/>
      <c r="E367" s="430"/>
      <c r="F367" s="430"/>
      <c r="G367" s="1290">
        <f>G216*$E216</f>
        <v>0</v>
      </c>
      <c r="H367" s="1290">
        <f>(H216*$E216)</f>
        <v>0</v>
      </c>
      <c r="I367" s="1290">
        <f t="shared" si="93"/>
        <v>43908.9</v>
      </c>
      <c r="J367" s="1290">
        <f t="shared" si="93"/>
        <v>45226.167000000001</v>
      </c>
      <c r="K367" s="1290">
        <f t="shared" si="93"/>
        <v>46582.952010000001</v>
      </c>
      <c r="L367" s="1290">
        <f t="shared" si="93"/>
        <v>47980.440570299994</v>
      </c>
      <c r="M367" s="1290">
        <f t="shared" si="93"/>
        <v>49419.853787408996</v>
      </c>
      <c r="R367" s="282"/>
      <c r="S367" s="282"/>
      <c r="T367" s="282"/>
      <c r="U367" s="282"/>
      <c r="V367" s="282"/>
      <c r="W367" s="282"/>
      <c r="X367" s="282"/>
      <c r="Y367" s="282"/>
      <c r="Z367" s="282"/>
      <c r="AA367" s="282"/>
    </row>
    <row r="368" spans="1:27" s="431" customFormat="1" outlineLevel="3" x14ac:dyDescent="0.25">
      <c r="A368" s="276">
        <f t="shared" si="85"/>
        <v>217</v>
      </c>
      <c r="B368" s="758"/>
      <c r="C368" s="430">
        <f t="shared" si="91"/>
        <v>0</v>
      </c>
      <c r="D368" s="430"/>
      <c r="E368" s="430"/>
      <c r="F368" s="430"/>
      <c r="G368" s="1290"/>
      <c r="H368" s="1290"/>
      <c r="I368" s="1290"/>
      <c r="J368" s="1290"/>
      <c r="K368" s="1290"/>
      <c r="L368" s="1290"/>
      <c r="M368" s="1290"/>
      <c r="R368" s="282"/>
      <c r="S368" s="282"/>
      <c r="T368" s="282"/>
      <c r="U368" s="282"/>
      <c r="V368" s="282"/>
      <c r="W368" s="282"/>
      <c r="X368" s="282"/>
      <c r="Y368" s="282"/>
      <c r="Z368" s="282"/>
      <c r="AA368" s="282"/>
    </row>
    <row r="369" spans="1:27" s="428" customFormat="1" outlineLevel="3" x14ac:dyDescent="0.25">
      <c r="A369" s="276">
        <f t="shared" si="85"/>
        <v>218</v>
      </c>
      <c r="B369" s="758" t="str">
        <f t="shared" ref="B369:B374" si="94">$B218</f>
        <v>Grade Level Teacher</v>
      </c>
      <c r="C369" s="430">
        <f t="shared" si="91"/>
        <v>233118.31336770902</v>
      </c>
      <c r="D369" s="430"/>
      <c r="E369" s="430"/>
      <c r="F369" s="430"/>
      <c r="G369" s="1290">
        <f t="shared" ref="G369:G374" si="95">G218*$E218</f>
        <v>0</v>
      </c>
      <c r="H369" s="1290">
        <f t="shared" ref="H369:H374" si="96">(H218*$E218)</f>
        <v>0</v>
      </c>
      <c r="I369" s="1290">
        <f t="shared" ref="I369:M374" si="97">(I218*$E218)*$C$46^(I$11-$H$11)</f>
        <v>43908.9</v>
      </c>
      <c r="J369" s="1290">
        <f t="shared" si="97"/>
        <v>45226.167000000001</v>
      </c>
      <c r="K369" s="1290">
        <f t="shared" si="97"/>
        <v>46582.952010000001</v>
      </c>
      <c r="L369" s="1290">
        <f t="shared" si="97"/>
        <v>47980.440570299994</v>
      </c>
      <c r="M369" s="1290">
        <f t="shared" si="97"/>
        <v>49419.853787408996</v>
      </c>
      <c r="R369" s="282"/>
      <c r="S369" s="282"/>
      <c r="T369" s="282"/>
      <c r="U369" s="282"/>
      <c r="V369" s="282"/>
      <c r="W369" s="282"/>
      <c r="X369" s="282"/>
      <c r="Y369" s="282"/>
      <c r="Z369" s="282"/>
      <c r="AA369" s="282"/>
    </row>
    <row r="370" spans="1:27" s="428" customFormat="1" outlineLevel="3" x14ac:dyDescent="0.25">
      <c r="A370" s="276">
        <f t="shared" si="85"/>
        <v>219</v>
      </c>
      <c r="B370" s="758" t="str">
        <f t="shared" si="94"/>
        <v>Grade Level Teacher</v>
      </c>
      <c r="C370" s="430">
        <f t="shared" si="91"/>
        <v>192183.14799019002</v>
      </c>
      <c r="D370" s="430"/>
      <c r="E370" s="430"/>
      <c r="F370" s="430"/>
      <c r="G370" s="1290">
        <f t="shared" si="95"/>
        <v>0</v>
      </c>
      <c r="H370" s="1290">
        <f t="shared" si="96"/>
        <v>0</v>
      </c>
      <c r="I370" s="1290">
        <f t="shared" si="97"/>
        <v>0</v>
      </c>
      <c r="J370" s="1290">
        <f t="shared" si="97"/>
        <v>45936.97</v>
      </c>
      <c r="K370" s="1290">
        <f t="shared" si="97"/>
        <v>47315.079100000003</v>
      </c>
      <c r="L370" s="1290">
        <f t="shared" si="97"/>
        <v>48734.531472999995</v>
      </c>
      <c r="M370" s="1290">
        <f t="shared" si="97"/>
        <v>50196.567417189995</v>
      </c>
      <c r="R370" s="282"/>
      <c r="S370" s="282"/>
      <c r="T370" s="282"/>
      <c r="U370" s="282"/>
      <c r="V370" s="282"/>
      <c r="W370" s="282"/>
      <c r="X370" s="282"/>
      <c r="Y370" s="282"/>
      <c r="Z370" s="282"/>
      <c r="AA370" s="282"/>
    </row>
    <row r="371" spans="1:27" s="428" customFormat="1" outlineLevel="3" x14ac:dyDescent="0.25">
      <c r="A371" s="276">
        <f t="shared" si="85"/>
        <v>220</v>
      </c>
      <c r="B371" s="758" t="str">
        <f t="shared" si="94"/>
        <v>Grade Level Teacher</v>
      </c>
      <c r="C371" s="430">
        <f t="shared" si="91"/>
        <v>148610.43490919998</v>
      </c>
      <c r="D371" s="430"/>
      <c r="E371" s="430"/>
      <c r="F371" s="430"/>
      <c r="G371" s="1290">
        <f t="shared" si="95"/>
        <v>0</v>
      </c>
      <c r="H371" s="1290">
        <f t="shared" si="96"/>
        <v>0</v>
      </c>
      <c r="I371" s="1290">
        <f t="shared" si="97"/>
        <v>0</v>
      </c>
      <c r="J371" s="1290">
        <f t="shared" si="97"/>
        <v>0</v>
      </c>
      <c r="K371" s="1290">
        <f t="shared" si="97"/>
        <v>48079.987999999998</v>
      </c>
      <c r="L371" s="1290">
        <f t="shared" si="97"/>
        <v>49522.387639999994</v>
      </c>
      <c r="M371" s="1290">
        <f t="shared" si="97"/>
        <v>51008.059269199992</v>
      </c>
      <c r="R371" s="282"/>
      <c r="S371" s="282"/>
      <c r="T371" s="282"/>
      <c r="U371" s="282"/>
      <c r="V371" s="282"/>
      <c r="W371" s="282"/>
      <c r="X371" s="282"/>
      <c r="Y371" s="282"/>
      <c r="Z371" s="282"/>
      <c r="AA371" s="282"/>
    </row>
    <row r="372" spans="1:27" s="428" customFormat="1" outlineLevel="3" x14ac:dyDescent="0.25">
      <c r="A372" s="276">
        <f t="shared" si="85"/>
        <v>221</v>
      </c>
      <c r="B372" s="758" t="str">
        <f t="shared" si="94"/>
        <v>Grade Level Teacher</v>
      </c>
      <c r="C372" s="430">
        <f t="shared" si="91"/>
        <v>102129.79492821</v>
      </c>
      <c r="D372" s="430"/>
      <c r="E372" s="430"/>
      <c r="F372" s="430"/>
      <c r="G372" s="1290">
        <f t="shared" si="95"/>
        <v>0</v>
      </c>
      <c r="H372" s="1290">
        <f t="shared" si="96"/>
        <v>0</v>
      </c>
      <c r="I372" s="1290">
        <f t="shared" si="97"/>
        <v>0</v>
      </c>
      <c r="J372" s="1290">
        <f t="shared" si="97"/>
        <v>0</v>
      </c>
      <c r="K372" s="1290">
        <f t="shared" si="97"/>
        <v>0</v>
      </c>
      <c r="L372" s="1290">
        <f t="shared" si="97"/>
        <v>50310.243806999999</v>
      </c>
      <c r="M372" s="1290">
        <f t="shared" si="97"/>
        <v>51819.551121209995</v>
      </c>
      <c r="R372" s="282"/>
      <c r="S372" s="282"/>
      <c r="T372" s="282"/>
      <c r="U372" s="282"/>
      <c r="V372" s="282"/>
      <c r="W372" s="282"/>
      <c r="X372" s="282"/>
      <c r="Y372" s="282"/>
      <c r="Z372" s="282"/>
      <c r="AA372" s="282"/>
    </row>
    <row r="373" spans="1:27" s="428" customFormat="1" outlineLevel="3" x14ac:dyDescent="0.25">
      <c r="A373" s="276">
        <f t="shared" si="85"/>
        <v>222</v>
      </c>
      <c r="B373" s="758" t="str">
        <f t="shared" si="94"/>
        <v>Grade Level Teacher</v>
      </c>
      <c r="C373" s="430">
        <f t="shared" si="91"/>
        <v>52573.079269504989</v>
      </c>
      <c r="D373" s="430"/>
      <c r="E373" s="430"/>
      <c r="F373" s="430"/>
      <c r="G373" s="1290">
        <f t="shared" si="95"/>
        <v>0</v>
      </c>
      <c r="H373" s="1290">
        <f t="shared" si="96"/>
        <v>0</v>
      </c>
      <c r="I373" s="1290">
        <f t="shared" si="97"/>
        <v>0</v>
      </c>
      <c r="J373" s="1290">
        <f t="shared" si="97"/>
        <v>0</v>
      </c>
      <c r="K373" s="1290">
        <f t="shared" si="97"/>
        <v>0</v>
      </c>
      <c r="L373" s="1290">
        <f t="shared" si="97"/>
        <v>0</v>
      </c>
      <c r="M373" s="1290">
        <f t="shared" si="97"/>
        <v>52573.079269504989</v>
      </c>
      <c r="R373" s="282"/>
      <c r="S373" s="282"/>
      <c r="T373" s="282"/>
      <c r="U373" s="282"/>
      <c r="V373" s="282"/>
      <c r="W373" s="282"/>
      <c r="X373" s="282"/>
      <c r="Y373" s="282"/>
      <c r="Z373" s="282"/>
      <c r="AA373" s="282"/>
    </row>
    <row r="374" spans="1:27" s="428" customFormat="1" outlineLevel="3" x14ac:dyDescent="0.25">
      <c r="A374" s="276">
        <f t="shared" si="85"/>
        <v>223</v>
      </c>
      <c r="B374" s="758" t="str">
        <f t="shared" si="94"/>
        <v>Grade Level Teacher</v>
      </c>
      <c r="C374" s="430">
        <f t="shared" si="91"/>
        <v>0</v>
      </c>
      <c r="D374" s="430"/>
      <c r="E374" s="430"/>
      <c r="F374" s="430"/>
      <c r="G374" s="1290">
        <f t="shared" si="95"/>
        <v>0</v>
      </c>
      <c r="H374" s="1290">
        <f t="shared" si="96"/>
        <v>0</v>
      </c>
      <c r="I374" s="1290">
        <f t="shared" si="97"/>
        <v>0</v>
      </c>
      <c r="J374" s="1290">
        <f t="shared" si="97"/>
        <v>0</v>
      </c>
      <c r="K374" s="1290">
        <f t="shared" si="97"/>
        <v>0</v>
      </c>
      <c r="L374" s="1290">
        <f t="shared" si="97"/>
        <v>0</v>
      </c>
      <c r="M374" s="1290">
        <f t="shared" si="97"/>
        <v>0</v>
      </c>
      <c r="R374" s="282"/>
      <c r="S374" s="282"/>
      <c r="T374" s="282"/>
      <c r="U374" s="282"/>
      <c r="V374" s="282"/>
      <c r="W374" s="282"/>
      <c r="X374" s="282"/>
      <c r="Y374" s="282"/>
      <c r="Z374" s="282"/>
      <c r="AA374" s="282"/>
    </row>
    <row r="375" spans="1:27" s="431" customFormat="1" outlineLevel="3" x14ac:dyDescent="0.25">
      <c r="A375" s="276">
        <f t="shared" si="85"/>
        <v>224</v>
      </c>
      <c r="B375" s="758"/>
      <c r="C375" s="430">
        <f t="shared" si="91"/>
        <v>0</v>
      </c>
      <c r="D375" s="430"/>
      <c r="E375" s="430"/>
      <c r="F375" s="430"/>
      <c r="G375" s="1290"/>
      <c r="H375" s="1290"/>
      <c r="I375" s="1290"/>
      <c r="J375" s="1290"/>
      <c r="K375" s="1290"/>
      <c r="L375" s="1290"/>
      <c r="M375" s="1290"/>
      <c r="R375" s="282"/>
      <c r="S375" s="282"/>
      <c r="T375" s="282"/>
      <c r="U375" s="282"/>
      <c r="V375" s="282"/>
      <c r="W375" s="282"/>
      <c r="X375" s="282"/>
      <c r="Y375" s="282"/>
      <c r="Z375" s="282"/>
      <c r="AA375" s="282"/>
    </row>
    <row r="376" spans="1:27" s="428" customFormat="1" outlineLevel="3" x14ac:dyDescent="0.25">
      <c r="A376" s="276">
        <f t="shared" si="85"/>
        <v>225</v>
      </c>
      <c r="B376" s="758" t="str">
        <f>$B225</f>
        <v>8th Grade Teacher</v>
      </c>
      <c r="C376" s="430">
        <f t="shared" si="91"/>
        <v>0</v>
      </c>
      <c r="D376" s="430"/>
      <c r="E376" s="430"/>
      <c r="F376" s="430"/>
      <c r="G376" s="1290">
        <f>G225*$E225</f>
        <v>0</v>
      </c>
      <c r="H376" s="1290">
        <f>(H225*$E225)</f>
        <v>0</v>
      </c>
      <c r="I376" s="1290">
        <f t="shared" ref="I376:M380" si="98">(I225*$E225)*$C$46^(I$11-$H$11)</f>
        <v>0</v>
      </c>
      <c r="J376" s="1290">
        <f t="shared" si="98"/>
        <v>0</v>
      </c>
      <c r="K376" s="1290">
        <f t="shared" si="98"/>
        <v>0</v>
      </c>
      <c r="L376" s="1290">
        <f t="shared" si="98"/>
        <v>0</v>
      </c>
      <c r="M376" s="1290">
        <f t="shared" si="98"/>
        <v>0</v>
      </c>
      <c r="R376" s="282"/>
      <c r="S376" s="282"/>
      <c r="T376" s="282"/>
      <c r="U376" s="282"/>
      <c r="V376" s="282"/>
      <c r="W376" s="282"/>
      <c r="X376" s="282"/>
      <c r="Y376" s="282"/>
      <c r="Z376" s="282"/>
      <c r="AA376" s="282"/>
    </row>
    <row r="377" spans="1:27" s="428" customFormat="1" outlineLevel="3" x14ac:dyDescent="0.25">
      <c r="A377" s="276">
        <f t="shared" si="85"/>
        <v>226</v>
      </c>
      <c r="B377" s="758" t="str">
        <f>$B$226</f>
        <v>8th Grade Teacher</v>
      </c>
      <c r="C377" s="430">
        <f t="shared" si="91"/>
        <v>0</v>
      </c>
      <c r="D377" s="430"/>
      <c r="E377" s="430"/>
      <c r="F377" s="430"/>
      <c r="G377" s="1290">
        <f>G226*$E226</f>
        <v>0</v>
      </c>
      <c r="H377" s="1290">
        <f>(H226*$E226)</f>
        <v>0</v>
      </c>
      <c r="I377" s="1290">
        <f t="shared" si="98"/>
        <v>0</v>
      </c>
      <c r="J377" s="1290">
        <f t="shared" si="98"/>
        <v>0</v>
      </c>
      <c r="K377" s="1290">
        <f t="shared" si="98"/>
        <v>0</v>
      </c>
      <c r="L377" s="1290">
        <f t="shared" si="98"/>
        <v>0</v>
      </c>
      <c r="M377" s="1290">
        <f t="shared" si="98"/>
        <v>0</v>
      </c>
      <c r="R377" s="282"/>
      <c r="S377" s="282"/>
      <c r="T377" s="282"/>
      <c r="U377" s="282"/>
      <c r="V377" s="282"/>
      <c r="W377" s="282"/>
      <c r="X377" s="282"/>
      <c r="Y377" s="282"/>
      <c r="Z377" s="282"/>
      <c r="AA377" s="282"/>
    </row>
    <row r="378" spans="1:27" s="428" customFormat="1" outlineLevel="3" x14ac:dyDescent="0.25">
      <c r="A378" s="276">
        <f t="shared" si="85"/>
        <v>227</v>
      </c>
      <c r="B378" s="758" t="str">
        <f>$B$227</f>
        <v>8th Grade Teacher</v>
      </c>
      <c r="C378" s="430">
        <f t="shared" si="91"/>
        <v>0</v>
      </c>
      <c r="D378" s="430"/>
      <c r="E378" s="430"/>
      <c r="F378" s="430"/>
      <c r="G378" s="1290">
        <f>G227*$E227</f>
        <v>0</v>
      </c>
      <c r="H378" s="1290">
        <f>(H227*$E227)</f>
        <v>0</v>
      </c>
      <c r="I378" s="1290">
        <f t="shared" si="98"/>
        <v>0</v>
      </c>
      <c r="J378" s="1290">
        <f t="shared" si="98"/>
        <v>0</v>
      </c>
      <c r="K378" s="1290">
        <f t="shared" si="98"/>
        <v>0</v>
      </c>
      <c r="L378" s="1290">
        <f t="shared" si="98"/>
        <v>0</v>
      </c>
      <c r="M378" s="1290">
        <f t="shared" si="98"/>
        <v>0</v>
      </c>
      <c r="R378" s="282"/>
      <c r="S378" s="282"/>
      <c r="T378" s="282"/>
      <c r="U378" s="282"/>
      <c r="V378" s="282"/>
      <c r="W378" s="282"/>
      <c r="X378" s="282"/>
      <c r="Y378" s="282"/>
      <c r="Z378" s="282"/>
      <c r="AA378" s="282"/>
    </row>
    <row r="379" spans="1:27" s="428" customFormat="1" outlineLevel="3" x14ac:dyDescent="0.25">
      <c r="A379" s="276">
        <f t="shared" si="85"/>
        <v>228</v>
      </c>
      <c r="B379" s="758" t="str">
        <f>$B$228</f>
        <v>8th Grade Teacher</v>
      </c>
      <c r="C379" s="430">
        <f t="shared" si="91"/>
        <v>0</v>
      </c>
      <c r="D379" s="430"/>
      <c r="E379" s="430"/>
      <c r="F379" s="430"/>
      <c r="G379" s="1290">
        <f>G228*$E228</f>
        <v>0</v>
      </c>
      <c r="H379" s="1290">
        <f>(H228*$E228)</f>
        <v>0</v>
      </c>
      <c r="I379" s="1290">
        <f t="shared" si="98"/>
        <v>0</v>
      </c>
      <c r="J379" s="1290">
        <f t="shared" si="98"/>
        <v>0</v>
      </c>
      <c r="K379" s="1290">
        <f t="shared" si="98"/>
        <v>0</v>
      </c>
      <c r="L379" s="1290">
        <f t="shared" si="98"/>
        <v>0</v>
      </c>
      <c r="M379" s="1290">
        <f t="shared" si="98"/>
        <v>0</v>
      </c>
      <c r="R379" s="282"/>
      <c r="S379" s="282"/>
      <c r="T379" s="282"/>
      <c r="U379" s="282"/>
      <c r="V379" s="282"/>
      <c r="W379" s="282"/>
      <c r="X379" s="282"/>
      <c r="Y379" s="282"/>
      <c r="Z379" s="282"/>
      <c r="AA379" s="282"/>
    </row>
    <row r="380" spans="1:27" s="428" customFormat="1" outlineLevel="3" x14ac:dyDescent="0.25">
      <c r="A380" s="276">
        <f t="shared" si="85"/>
        <v>229</v>
      </c>
      <c r="B380" s="758">
        <f>$B$229</f>
        <v>0</v>
      </c>
      <c r="C380" s="430">
        <f t="shared" si="91"/>
        <v>0</v>
      </c>
      <c r="D380" s="430"/>
      <c r="E380" s="430"/>
      <c r="F380" s="430"/>
      <c r="G380" s="1290">
        <f>G229*$E229</f>
        <v>0</v>
      </c>
      <c r="H380" s="1290">
        <f>(H229*$E229)</f>
        <v>0</v>
      </c>
      <c r="I380" s="1290">
        <f t="shared" si="98"/>
        <v>0</v>
      </c>
      <c r="J380" s="1290">
        <f t="shared" si="98"/>
        <v>0</v>
      </c>
      <c r="K380" s="1290">
        <f t="shared" si="98"/>
        <v>0</v>
      </c>
      <c r="L380" s="1290">
        <f t="shared" si="98"/>
        <v>0</v>
      </c>
      <c r="M380" s="1290">
        <f t="shared" si="98"/>
        <v>0</v>
      </c>
      <c r="R380" s="282"/>
      <c r="S380" s="282"/>
      <c r="T380" s="282"/>
      <c r="U380" s="282"/>
      <c r="V380" s="282"/>
      <c r="W380" s="282"/>
      <c r="X380" s="282"/>
      <c r="Y380" s="282"/>
      <c r="Z380" s="282"/>
      <c r="AA380" s="282"/>
    </row>
    <row r="381" spans="1:27" s="428" customFormat="1" outlineLevel="3" x14ac:dyDescent="0.25">
      <c r="A381" s="276">
        <f t="shared" si="85"/>
        <v>230</v>
      </c>
      <c r="B381" s="758"/>
      <c r="C381" s="430">
        <f t="shared" si="91"/>
        <v>0</v>
      </c>
      <c r="D381" s="430"/>
      <c r="E381" s="430"/>
      <c r="F381" s="430"/>
      <c r="G381" s="1290"/>
      <c r="H381" s="1290"/>
      <c r="I381" s="1290"/>
      <c r="J381" s="1290"/>
      <c r="K381" s="1290"/>
      <c r="L381" s="1290"/>
      <c r="M381" s="1290"/>
      <c r="R381" s="282"/>
      <c r="S381" s="282"/>
      <c r="T381" s="282"/>
      <c r="U381" s="282"/>
      <c r="V381" s="282"/>
      <c r="W381" s="282"/>
      <c r="X381" s="282"/>
      <c r="Y381" s="282"/>
      <c r="Z381" s="282"/>
      <c r="AA381" s="282"/>
    </row>
    <row r="382" spans="1:27" s="428" customFormat="1" outlineLevel="3" x14ac:dyDescent="0.25">
      <c r="A382" s="276">
        <f t="shared" si="85"/>
        <v>231</v>
      </c>
      <c r="B382" s="758" t="str">
        <f>$B$231</f>
        <v>PE teacher</v>
      </c>
      <c r="C382" s="430">
        <f t="shared" si="91"/>
        <v>0</v>
      </c>
      <c r="D382" s="430"/>
      <c r="E382" s="430"/>
      <c r="F382" s="430"/>
      <c r="G382" s="1290">
        <f>G231*$E231</f>
        <v>0</v>
      </c>
      <c r="H382" s="1290">
        <f>(H231*$E231)</f>
        <v>0</v>
      </c>
      <c r="I382" s="1290">
        <f t="shared" ref="I382:M386" si="99">(I231*$E231)*$C$46^(I$11-$H$11)</f>
        <v>0</v>
      </c>
      <c r="J382" s="1290">
        <f t="shared" si="99"/>
        <v>0</v>
      </c>
      <c r="K382" s="1290">
        <f t="shared" si="99"/>
        <v>0</v>
      </c>
      <c r="L382" s="1290">
        <f t="shared" si="99"/>
        <v>0</v>
      </c>
      <c r="M382" s="1290">
        <f t="shared" si="99"/>
        <v>0</v>
      </c>
      <c r="R382" s="282"/>
      <c r="S382" s="282"/>
      <c r="T382" s="282"/>
      <c r="U382" s="282"/>
      <c r="V382" s="282"/>
      <c r="W382" s="282"/>
      <c r="X382" s="282"/>
      <c r="Y382" s="282"/>
      <c r="Z382" s="282"/>
      <c r="AA382" s="282"/>
    </row>
    <row r="383" spans="1:27" s="428" customFormat="1" outlineLevel="3" x14ac:dyDescent="0.25">
      <c r="A383" s="276">
        <f t="shared" si="85"/>
        <v>232</v>
      </c>
      <c r="B383" s="758" t="str">
        <f>$B$232</f>
        <v>PE teacher</v>
      </c>
      <c r="C383" s="430">
        <f t="shared" si="91"/>
        <v>0</v>
      </c>
      <c r="D383" s="430"/>
      <c r="E383" s="430"/>
      <c r="F383" s="430"/>
      <c r="G383" s="1290">
        <f>G232*$E232</f>
        <v>0</v>
      </c>
      <c r="H383" s="1290">
        <f>(H232*$E232)</f>
        <v>0</v>
      </c>
      <c r="I383" s="1290">
        <f t="shared" si="99"/>
        <v>0</v>
      </c>
      <c r="J383" s="1290">
        <f t="shared" si="99"/>
        <v>0</v>
      </c>
      <c r="K383" s="1290">
        <f t="shared" si="99"/>
        <v>0</v>
      </c>
      <c r="L383" s="1290">
        <f t="shared" si="99"/>
        <v>0</v>
      </c>
      <c r="M383" s="1290">
        <f t="shared" si="99"/>
        <v>0</v>
      </c>
      <c r="R383" s="282"/>
      <c r="S383" s="282"/>
      <c r="T383" s="282"/>
      <c r="U383" s="282"/>
      <c r="V383" s="282"/>
      <c r="W383" s="282"/>
      <c r="X383" s="282"/>
      <c r="Y383" s="282"/>
      <c r="Z383" s="282"/>
      <c r="AA383" s="282"/>
    </row>
    <row r="384" spans="1:27" s="428" customFormat="1" outlineLevel="3" x14ac:dyDescent="0.25">
      <c r="A384" s="276">
        <f t="shared" si="85"/>
        <v>233</v>
      </c>
      <c r="B384" s="758" t="str">
        <f>$B$233</f>
        <v>Grade Level Teacher</v>
      </c>
      <c r="C384" s="430">
        <f t="shared" si="91"/>
        <v>0</v>
      </c>
      <c r="D384" s="430"/>
      <c r="E384" s="430"/>
      <c r="F384" s="430"/>
      <c r="G384" s="1290">
        <f>G233*$E233</f>
        <v>0</v>
      </c>
      <c r="H384" s="1290">
        <f>(H233*$E233)</f>
        <v>0</v>
      </c>
      <c r="I384" s="1290">
        <f t="shared" si="99"/>
        <v>0</v>
      </c>
      <c r="J384" s="1290">
        <f t="shared" si="99"/>
        <v>0</v>
      </c>
      <c r="K384" s="1290">
        <f t="shared" si="99"/>
        <v>0</v>
      </c>
      <c r="L384" s="1290">
        <f t="shared" si="99"/>
        <v>0</v>
      </c>
      <c r="M384" s="1290">
        <f t="shared" si="99"/>
        <v>0</v>
      </c>
      <c r="R384" s="282"/>
      <c r="S384" s="282"/>
      <c r="T384" s="282"/>
      <c r="U384" s="282"/>
      <c r="V384" s="282"/>
      <c r="W384" s="282"/>
      <c r="X384" s="282"/>
      <c r="Y384" s="282"/>
      <c r="Z384" s="282"/>
      <c r="AA384" s="282"/>
    </row>
    <row r="385" spans="1:27" s="428" customFormat="1" outlineLevel="3" x14ac:dyDescent="0.25">
      <c r="A385" s="276">
        <f t="shared" si="85"/>
        <v>234</v>
      </c>
      <c r="B385" s="758" t="str">
        <f>$B$234</f>
        <v>Grade Level Teacher</v>
      </c>
      <c r="C385" s="430">
        <f t="shared" si="91"/>
        <v>0</v>
      </c>
      <c r="D385" s="430"/>
      <c r="E385" s="430"/>
      <c r="F385" s="430"/>
      <c r="G385" s="1290">
        <f>G234*$E234</f>
        <v>0</v>
      </c>
      <c r="H385" s="1290">
        <f>(H234*$E234)</f>
        <v>0</v>
      </c>
      <c r="I385" s="1290">
        <f t="shared" si="99"/>
        <v>0</v>
      </c>
      <c r="J385" s="1290">
        <f t="shared" si="99"/>
        <v>0</v>
      </c>
      <c r="K385" s="1290">
        <f t="shared" si="99"/>
        <v>0</v>
      </c>
      <c r="L385" s="1290">
        <f t="shared" si="99"/>
        <v>0</v>
      </c>
      <c r="M385" s="1290">
        <f t="shared" si="99"/>
        <v>0</v>
      </c>
      <c r="R385" s="282"/>
      <c r="S385" s="282"/>
      <c r="T385" s="282"/>
      <c r="U385" s="282"/>
      <c r="V385" s="282"/>
      <c r="W385" s="282"/>
      <c r="X385" s="282"/>
      <c r="Y385" s="282"/>
      <c r="Z385" s="282"/>
      <c r="AA385" s="282"/>
    </row>
    <row r="386" spans="1:27" s="428" customFormat="1" outlineLevel="3" x14ac:dyDescent="0.25">
      <c r="A386" s="276">
        <f t="shared" si="85"/>
        <v>235</v>
      </c>
      <c r="B386" s="758" t="str">
        <f>$B$235</f>
        <v>Grade Level Teacher</v>
      </c>
      <c r="C386" s="430">
        <f t="shared" si="91"/>
        <v>0</v>
      </c>
      <c r="D386" s="430"/>
      <c r="E386" s="430"/>
      <c r="F386" s="430"/>
      <c r="G386" s="1290">
        <f>G235*$E235</f>
        <v>0</v>
      </c>
      <c r="H386" s="1290">
        <f>(H235*$E235)</f>
        <v>0</v>
      </c>
      <c r="I386" s="1290">
        <f t="shared" si="99"/>
        <v>0</v>
      </c>
      <c r="J386" s="1290">
        <f t="shared" si="99"/>
        <v>0</v>
      </c>
      <c r="K386" s="1290">
        <f t="shared" si="99"/>
        <v>0</v>
      </c>
      <c r="L386" s="1290">
        <f t="shared" si="99"/>
        <v>0</v>
      </c>
      <c r="M386" s="1290">
        <f t="shared" si="99"/>
        <v>0</v>
      </c>
      <c r="R386" s="282"/>
      <c r="S386" s="282"/>
      <c r="T386" s="282"/>
      <c r="U386" s="282"/>
      <c r="V386" s="282"/>
      <c r="W386" s="282"/>
      <c r="X386" s="282"/>
      <c r="Y386" s="282"/>
      <c r="Z386" s="282"/>
      <c r="AA386" s="282"/>
    </row>
    <row r="387" spans="1:27" s="428" customFormat="1" outlineLevel="3" x14ac:dyDescent="0.25">
      <c r="A387" s="276">
        <f t="shared" si="85"/>
        <v>236</v>
      </c>
      <c r="B387" s="758"/>
      <c r="C387" s="430">
        <f t="shared" ref="C387:C416" si="100">SUM(G387:M387)</f>
        <v>0</v>
      </c>
      <c r="D387" s="430"/>
      <c r="E387" s="430"/>
      <c r="F387" s="430"/>
      <c r="G387" s="1290"/>
      <c r="H387" s="1290"/>
      <c r="I387" s="1290"/>
      <c r="J387" s="1290"/>
      <c r="K387" s="1290"/>
      <c r="L387" s="1290"/>
      <c r="M387" s="1290"/>
      <c r="R387" s="282"/>
      <c r="S387" s="282"/>
      <c r="T387" s="282"/>
      <c r="U387" s="282"/>
      <c r="V387" s="282"/>
      <c r="W387" s="282"/>
      <c r="X387" s="282"/>
      <c r="Y387" s="282"/>
      <c r="Z387" s="282"/>
      <c r="AA387" s="282"/>
    </row>
    <row r="388" spans="1:27" s="428" customFormat="1" outlineLevel="3" x14ac:dyDescent="0.25">
      <c r="A388" s="276">
        <f t="shared" ref="A388:A417" si="101">ROW(A237)</f>
        <v>237</v>
      </c>
      <c r="B388" s="758" t="str">
        <f>$B$237</f>
        <v>STEAM Teacher</v>
      </c>
      <c r="C388" s="430">
        <f t="shared" si="100"/>
        <v>0</v>
      </c>
      <c r="D388" s="430"/>
      <c r="E388" s="430"/>
      <c r="F388" s="430"/>
      <c r="G388" s="1290">
        <f>G237*$E237</f>
        <v>0</v>
      </c>
      <c r="H388" s="1290">
        <f>(H237*$E237)</f>
        <v>0</v>
      </c>
      <c r="I388" s="1290">
        <f t="shared" ref="I388:M392" si="102">(I237*$E237)*$C$46^(I$11-$H$11)</f>
        <v>0</v>
      </c>
      <c r="J388" s="1290">
        <f t="shared" si="102"/>
        <v>0</v>
      </c>
      <c r="K388" s="1290">
        <f t="shared" si="102"/>
        <v>0</v>
      </c>
      <c r="L388" s="1290">
        <f t="shared" si="102"/>
        <v>0</v>
      </c>
      <c r="M388" s="1290">
        <f t="shared" si="102"/>
        <v>0</v>
      </c>
      <c r="R388" s="282"/>
      <c r="S388" s="282"/>
      <c r="T388" s="282"/>
      <c r="U388" s="282"/>
      <c r="V388" s="282"/>
      <c r="W388" s="282"/>
      <c r="X388" s="282"/>
      <c r="Y388" s="282"/>
      <c r="Z388" s="282"/>
      <c r="AA388" s="282"/>
    </row>
    <row r="389" spans="1:27" s="428" customFormat="1" outlineLevel="3" x14ac:dyDescent="0.25">
      <c r="A389" s="276">
        <f t="shared" si="101"/>
        <v>238</v>
      </c>
      <c r="B389" s="758" t="str">
        <f>$B$238</f>
        <v>STEAM Teacher</v>
      </c>
      <c r="C389" s="430">
        <f t="shared" si="100"/>
        <v>0</v>
      </c>
      <c r="D389" s="430"/>
      <c r="E389" s="430"/>
      <c r="F389" s="430"/>
      <c r="G389" s="1290">
        <f>G238*$E238</f>
        <v>0</v>
      </c>
      <c r="H389" s="1290">
        <f>(H238*$E238)</f>
        <v>0</v>
      </c>
      <c r="I389" s="1290">
        <f t="shared" si="102"/>
        <v>0</v>
      </c>
      <c r="J389" s="1290">
        <f t="shared" si="102"/>
        <v>0</v>
      </c>
      <c r="K389" s="1290">
        <f t="shared" si="102"/>
        <v>0</v>
      </c>
      <c r="L389" s="1290">
        <f t="shared" si="102"/>
        <v>0</v>
      </c>
      <c r="M389" s="1290">
        <f t="shared" si="102"/>
        <v>0</v>
      </c>
      <c r="R389" s="282"/>
      <c r="S389" s="282"/>
      <c r="T389" s="282"/>
      <c r="U389" s="282"/>
      <c r="V389" s="282"/>
      <c r="W389" s="282"/>
      <c r="X389" s="282"/>
      <c r="Y389" s="282"/>
      <c r="Z389" s="282"/>
      <c r="AA389" s="282"/>
    </row>
    <row r="390" spans="1:27" s="428" customFormat="1" outlineLevel="3" x14ac:dyDescent="0.25">
      <c r="A390" s="276">
        <f t="shared" si="101"/>
        <v>239</v>
      </c>
      <c r="B390" s="758" t="str">
        <f>$B$239</f>
        <v>Grade Level Teacher</v>
      </c>
      <c r="C390" s="430">
        <f t="shared" si="100"/>
        <v>0</v>
      </c>
      <c r="D390" s="430"/>
      <c r="E390" s="430"/>
      <c r="F390" s="430"/>
      <c r="G390" s="1290">
        <f>G239*$E239</f>
        <v>0</v>
      </c>
      <c r="H390" s="1290">
        <f>(H239*$E239)</f>
        <v>0</v>
      </c>
      <c r="I390" s="1290">
        <f t="shared" si="102"/>
        <v>0</v>
      </c>
      <c r="J390" s="1290">
        <f t="shared" si="102"/>
        <v>0</v>
      </c>
      <c r="K390" s="1290">
        <f t="shared" si="102"/>
        <v>0</v>
      </c>
      <c r="L390" s="1290">
        <f t="shared" si="102"/>
        <v>0</v>
      </c>
      <c r="M390" s="1290">
        <f t="shared" si="102"/>
        <v>0</v>
      </c>
      <c r="R390" s="282"/>
      <c r="S390" s="282"/>
      <c r="T390" s="282"/>
      <c r="U390" s="282"/>
      <c r="V390" s="282"/>
      <c r="W390" s="282"/>
      <c r="X390" s="282"/>
      <c r="Y390" s="282"/>
      <c r="Z390" s="282"/>
      <c r="AA390" s="282"/>
    </row>
    <row r="391" spans="1:27" s="428" customFormat="1" outlineLevel="3" x14ac:dyDescent="0.25">
      <c r="A391" s="276">
        <f t="shared" si="101"/>
        <v>240</v>
      </c>
      <c r="B391" s="758" t="str">
        <f>$B$240</f>
        <v>Grade Level Teacher</v>
      </c>
      <c r="C391" s="430">
        <f t="shared" si="100"/>
        <v>0</v>
      </c>
      <c r="D391" s="430"/>
      <c r="E391" s="430"/>
      <c r="F391" s="430"/>
      <c r="G391" s="1290">
        <f>G240*$E240</f>
        <v>0</v>
      </c>
      <c r="H391" s="1290">
        <f>(H240*$E240)</f>
        <v>0</v>
      </c>
      <c r="I391" s="1290">
        <f t="shared" si="102"/>
        <v>0</v>
      </c>
      <c r="J391" s="1290">
        <f t="shared" si="102"/>
        <v>0</v>
      </c>
      <c r="K391" s="1290">
        <f t="shared" si="102"/>
        <v>0</v>
      </c>
      <c r="L391" s="1290">
        <f t="shared" si="102"/>
        <v>0</v>
      </c>
      <c r="M391" s="1290">
        <f t="shared" si="102"/>
        <v>0</v>
      </c>
      <c r="R391" s="282"/>
      <c r="S391" s="282"/>
      <c r="T391" s="282"/>
      <c r="U391" s="282"/>
      <c r="V391" s="282"/>
      <c r="W391" s="282"/>
      <c r="X391" s="282"/>
      <c r="Y391" s="282"/>
      <c r="Z391" s="282"/>
      <c r="AA391" s="282"/>
    </row>
    <row r="392" spans="1:27" s="428" customFormat="1" outlineLevel="3" x14ac:dyDescent="0.25">
      <c r="A392" s="276">
        <f t="shared" si="101"/>
        <v>241</v>
      </c>
      <c r="B392" s="758" t="str">
        <f>$B$241</f>
        <v>Grade Level Teacher</v>
      </c>
      <c r="C392" s="430">
        <f t="shared" si="100"/>
        <v>0</v>
      </c>
      <c r="D392" s="430"/>
      <c r="E392" s="430"/>
      <c r="F392" s="430"/>
      <c r="G392" s="1290">
        <f>G241*$E241</f>
        <v>0</v>
      </c>
      <c r="H392" s="1290">
        <f>(H241*$E241)</f>
        <v>0</v>
      </c>
      <c r="I392" s="1290">
        <f t="shared" si="102"/>
        <v>0</v>
      </c>
      <c r="J392" s="1290">
        <f t="shared" si="102"/>
        <v>0</v>
      </c>
      <c r="K392" s="1290">
        <f t="shared" si="102"/>
        <v>0</v>
      </c>
      <c r="L392" s="1290">
        <f t="shared" si="102"/>
        <v>0</v>
      </c>
      <c r="M392" s="1290">
        <f t="shared" si="102"/>
        <v>0</v>
      </c>
      <c r="R392" s="282"/>
      <c r="S392" s="282"/>
      <c r="T392" s="282"/>
      <c r="U392" s="282"/>
      <c r="V392" s="282"/>
      <c r="W392" s="282"/>
      <c r="X392" s="282"/>
      <c r="Y392" s="282"/>
      <c r="Z392" s="282"/>
      <c r="AA392" s="282"/>
    </row>
    <row r="393" spans="1:27" s="431" customFormat="1" outlineLevel="3" x14ac:dyDescent="0.25">
      <c r="A393" s="276">
        <f t="shared" si="101"/>
        <v>242</v>
      </c>
      <c r="B393" s="758"/>
      <c r="C393" s="430">
        <f t="shared" si="100"/>
        <v>0</v>
      </c>
      <c r="D393" s="430"/>
      <c r="E393" s="430"/>
      <c r="F393" s="430"/>
      <c r="G393" s="1290"/>
      <c r="H393" s="1290"/>
      <c r="I393" s="1290"/>
      <c r="J393" s="1290"/>
      <c r="K393" s="1290"/>
      <c r="L393" s="1290"/>
      <c r="M393" s="1290"/>
      <c r="R393" s="282"/>
      <c r="S393" s="282"/>
      <c r="T393" s="282"/>
      <c r="U393" s="282"/>
      <c r="V393" s="282"/>
      <c r="W393" s="282"/>
      <c r="X393" s="282"/>
      <c r="Y393" s="282"/>
      <c r="Z393" s="282"/>
      <c r="AA393" s="282"/>
    </row>
    <row r="394" spans="1:27" s="428" customFormat="1" outlineLevel="3" x14ac:dyDescent="0.25">
      <c r="A394" s="276">
        <f t="shared" si="101"/>
        <v>243</v>
      </c>
      <c r="B394" s="758" t="str">
        <f>$B$243</f>
        <v>Spanish Teacher</v>
      </c>
      <c r="C394" s="430">
        <f t="shared" si="100"/>
        <v>0</v>
      </c>
      <c r="D394" s="430"/>
      <c r="E394" s="430"/>
      <c r="F394" s="430"/>
      <c r="G394" s="1290">
        <f>G243*$E243</f>
        <v>0</v>
      </c>
      <c r="H394" s="1290">
        <f>(H243*$E243)</f>
        <v>0</v>
      </c>
      <c r="I394" s="1290">
        <f t="shared" ref="I394:M398" si="103">(I243*$E243)*$C$46^(I$11-$H$11)</f>
        <v>0</v>
      </c>
      <c r="J394" s="1290">
        <f t="shared" si="103"/>
        <v>0</v>
      </c>
      <c r="K394" s="1290">
        <f t="shared" si="103"/>
        <v>0</v>
      </c>
      <c r="L394" s="1290">
        <f t="shared" si="103"/>
        <v>0</v>
      </c>
      <c r="M394" s="1290">
        <f t="shared" si="103"/>
        <v>0</v>
      </c>
      <c r="R394" s="282"/>
      <c r="S394" s="282"/>
      <c r="T394" s="282"/>
      <c r="U394" s="282"/>
      <c r="V394" s="282"/>
      <c r="W394" s="282"/>
      <c r="X394" s="282"/>
      <c r="Y394" s="282"/>
      <c r="Z394" s="282"/>
      <c r="AA394" s="282"/>
    </row>
    <row r="395" spans="1:27" s="428" customFormat="1" outlineLevel="3" x14ac:dyDescent="0.25">
      <c r="A395" s="276">
        <f t="shared" si="101"/>
        <v>244</v>
      </c>
      <c r="B395" s="758" t="str">
        <f>$B$244</f>
        <v>Art Teacher</v>
      </c>
      <c r="C395" s="430">
        <f t="shared" si="100"/>
        <v>0</v>
      </c>
      <c r="D395" s="430"/>
      <c r="E395" s="430"/>
      <c r="F395" s="430"/>
      <c r="G395" s="1290">
        <f>G244*$E244</f>
        <v>0</v>
      </c>
      <c r="H395" s="1290">
        <f>(H244*$E244)</f>
        <v>0</v>
      </c>
      <c r="I395" s="1290">
        <f t="shared" si="103"/>
        <v>0</v>
      </c>
      <c r="J395" s="1290">
        <f t="shared" si="103"/>
        <v>0</v>
      </c>
      <c r="K395" s="1290">
        <f t="shared" si="103"/>
        <v>0</v>
      </c>
      <c r="L395" s="1290">
        <f t="shared" si="103"/>
        <v>0</v>
      </c>
      <c r="M395" s="1290">
        <f t="shared" si="103"/>
        <v>0</v>
      </c>
      <c r="R395" s="282"/>
      <c r="S395" s="282"/>
      <c r="T395" s="282"/>
      <c r="U395" s="282"/>
      <c r="V395" s="282"/>
      <c r="W395" s="282"/>
      <c r="X395" s="282"/>
      <c r="Y395" s="282"/>
      <c r="Z395" s="282"/>
      <c r="AA395" s="282"/>
    </row>
    <row r="396" spans="1:27" s="428" customFormat="1" outlineLevel="3" x14ac:dyDescent="0.25">
      <c r="A396" s="276">
        <f t="shared" si="101"/>
        <v>245</v>
      </c>
      <c r="B396" s="758" t="str">
        <f>$B$245</f>
        <v>Grade Level Teacher</v>
      </c>
      <c r="C396" s="430">
        <f t="shared" si="100"/>
        <v>0</v>
      </c>
      <c r="D396" s="430"/>
      <c r="E396" s="430"/>
      <c r="F396" s="430"/>
      <c r="G396" s="1290">
        <f>G245*$E245</f>
        <v>0</v>
      </c>
      <c r="H396" s="1290">
        <f>(H245*$E245)</f>
        <v>0</v>
      </c>
      <c r="I396" s="1290">
        <f t="shared" si="103"/>
        <v>0</v>
      </c>
      <c r="J396" s="1290">
        <f t="shared" si="103"/>
        <v>0</v>
      </c>
      <c r="K396" s="1290">
        <f t="shared" si="103"/>
        <v>0</v>
      </c>
      <c r="L396" s="1290">
        <f t="shared" si="103"/>
        <v>0</v>
      </c>
      <c r="M396" s="1290">
        <f t="shared" si="103"/>
        <v>0</v>
      </c>
      <c r="R396" s="282"/>
      <c r="S396" s="282"/>
      <c r="T396" s="282"/>
      <c r="U396" s="282"/>
      <c r="V396" s="282"/>
      <c r="W396" s="282"/>
      <c r="X396" s="282"/>
      <c r="Y396" s="282"/>
      <c r="Z396" s="282"/>
      <c r="AA396" s="282"/>
    </row>
    <row r="397" spans="1:27" s="428" customFormat="1" outlineLevel="3" x14ac:dyDescent="0.25">
      <c r="A397" s="276">
        <f t="shared" si="101"/>
        <v>246</v>
      </c>
      <c r="B397" s="758" t="str">
        <f>$B$246</f>
        <v>Grade Level Teacher</v>
      </c>
      <c r="C397" s="430">
        <f t="shared" si="100"/>
        <v>0</v>
      </c>
      <c r="D397" s="430"/>
      <c r="E397" s="430"/>
      <c r="F397" s="430"/>
      <c r="G397" s="1290">
        <f>G246*$E246</f>
        <v>0</v>
      </c>
      <c r="H397" s="1290">
        <f>(H246*$E246)</f>
        <v>0</v>
      </c>
      <c r="I397" s="1290">
        <f t="shared" si="103"/>
        <v>0</v>
      </c>
      <c r="J397" s="1290">
        <f t="shared" si="103"/>
        <v>0</v>
      </c>
      <c r="K397" s="1290">
        <f t="shared" si="103"/>
        <v>0</v>
      </c>
      <c r="L397" s="1290">
        <f t="shared" si="103"/>
        <v>0</v>
      </c>
      <c r="M397" s="1290">
        <f t="shared" si="103"/>
        <v>0</v>
      </c>
      <c r="R397" s="282"/>
      <c r="S397" s="282"/>
      <c r="T397" s="282"/>
      <c r="U397" s="282"/>
      <c r="V397" s="282"/>
      <c r="W397" s="282"/>
      <c r="X397" s="282"/>
      <c r="Y397" s="282"/>
      <c r="Z397" s="282"/>
      <c r="AA397" s="282"/>
    </row>
    <row r="398" spans="1:27" s="428" customFormat="1" outlineLevel="3" x14ac:dyDescent="0.25">
      <c r="A398" s="276">
        <f t="shared" si="101"/>
        <v>247</v>
      </c>
      <c r="B398" s="758" t="str">
        <f>$B$247</f>
        <v>Grade Level Teacher</v>
      </c>
      <c r="C398" s="430">
        <f t="shared" si="100"/>
        <v>0</v>
      </c>
      <c r="D398" s="430"/>
      <c r="E398" s="430"/>
      <c r="F398" s="430"/>
      <c r="G398" s="1290">
        <f>G247*$E247</f>
        <v>0</v>
      </c>
      <c r="H398" s="1290">
        <f>(H247*$E247)</f>
        <v>0</v>
      </c>
      <c r="I398" s="1290">
        <f t="shared" si="103"/>
        <v>0</v>
      </c>
      <c r="J398" s="1290">
        <f t="shared" si="103"/>
        <v>0</v>
      </c>
      <c r="K398" s="1290">
        <f t="shared" si="103"/>
        <v>0</v>
      </c>
      <c r="L398" s="1290">
        <f t="shared" si="103"/>
        <v>0</v>
      </c>
      <c r="M398" s="1290">
        <f t="shared" si="103"/>
        <v>0</v>
      </c>
      <c r="R398" s="282"/>
      <c r="S398" s="282"/>
      <c r="T398" s="282"/>
      <c r="U398" s="282"/>
      <c r="V398" s="282"/>
      <c r="W398" s="282"/>
      <c r="X398" s="282"/>
      <c r="Y398" s="282"/>
      <c r="Z398" s="282"/>
      <c r="AA398" s="282"/>
    </row>
    <row r="399" spans="1:27" s="431" customFormat="1" outlineLevel="3" x14ac:dyDescent="0.25">
      <c r="A399" s="276">
        <f t="shared" si="101"/>
        <v>248</v>
      </c>
      <c r="B399" s="758"/>
      <c r="C399" s="430">
        <f t="shared" si="100"/>
        <v>0</v>
      </c>
      <c r="D399" s="430"/>
      <c r="E399" s="430"/>
      <c r="F399" s="430"/>
      <c r="G399" s="1290"/>
      <c r="H399" s="1290"/>
      <c r="I399" s="1290"/>
      <c r="J399" s="1290"/>
      <c r="K399" s="1290"/>
      <c r="L399" s="1290"/>
      <c r="M399" s="1290"/>
      <c r="R399" s="282"/>
      <c r="S399" s="282"/>
      <c r="T399" s="282"/>
      <c r="U399" s="282"/>
      <c r="V399" s="282"/>
      <c r="W399" s="282"/>
      <c r="X399" s="282"/>
      <c r="Y399" s="282"/>
      <c r="Z399" s="282"/>
      <c r="AA399" s="282"/>
    </row>
    <row r="400" spans="1:27" s="428" customFormat="1" outlineLevel="3" x14ac:dyDescent="0.25">
      <c r="A400" s="276">
        <f t="shared" si="101"/>
        <v>249</v>
      </c>
      <c r="B400" s="758" t="str">
        <f>$B$249</f>
        <v>Grade Level Teacher</v>
      </c>
      <c r="C400" s="430">
        <f t="shared" si="100"/>
        <v>0</v>
      </c>
      <c r="D400" s="430"/>
      <c r="E400" s="430"/>
      <c r="F400" s="430"/>
      <c r="G400" s="1290">
        <f>G249*$E249</f>
        <v>0</v>
      </c>
      <c r="H400" s="1290">
        <f>(H249*$E249)</f>
        <v>0</v>
      </c>
      <c r="I400" s="1290">
        <f t="shared" ref="I400:M404" si="104">(I249*$E249)*$C$46^(I$11-$H$11)</f>
        <v>0</v>
      </c>
      <c r="J400" s="1290">
        <f t="shared" si="104"/>
        <v>0</v>
      </c>
      <c r="K400" s="1290">
        <f t="shared" si="104"/>
        <v>0</v>
      </c>
      <c r="L400" s="1290">
        <f t="shared" si="104"/>
        <v>0</v>
      </c>
      <c r="M400" s="1290">
        <f t="shared" si="104"/>
        <v>0</v>
      </c>
      <c r="R400" s="282"/>
      <c r="S400" s="282"/>
      <c r="T400" s="282"/>
      <c r="U400" s="282"/>
      <c r="V400" s="282"/>
      <c r="W400" s="282"/>
      <c r="X400" s="282"/>
      <c r="Y400" s="282"/>
      <c r="Z400" s="282"/>
      <c r="AA400" s="282"/>
    </row>
    <row r="401" spans="1:27" s="428" customFormat="1" outlineLevel="3" x14ac:dyDescent="0.25">
      <c r="A401" s="276">
        <f t="shared" si="101"/>
        <v>250</v>
      </c>
      <c r="B401" s="758" t="str">
        <f>$B$250</f>
        <v>Grade Level Teacher</v>
      </c>
      <c r="C401" s="430">
        <f t="shared" si="100"/>
        <v>0</v>
      </c>
      <c r="D401" s="430"/>
      <c r="E401" s="430"/>
      <c r="F401" s="430"/>
      <c r="G401" s="1290">
        <f>G250*$E250</f>
        <v>0</v>
      </c>
      <c r="H401" s="1290">
        <f>(H250*$E250)</f>
        <v>0</v>
      </c>
      <c r="I401" s="1290">
        <f t="shared" si="104"/>
        <v>0</v>
      </c>
      <c r="J401" s="1290">
        <f t="shared" si="104"/>
        <v>0</v>
      </c>
      <c r="K401" s="1290">
        <f t="shared" si="104"/>
        <v>0</v>
      </c>
      <c r="L401" s="1290">
        <f t="shared" si="104"/>
        <v>0</v>
      </c>
      <c r="M401" s="1290">
        <f t="shared" si="104"/>
        <v>0</v>
      </c>
      <c r="R401" s="282"/>
      <c r="S401" s="282"/>
      <c r="T401" s="282"/>
      <c r="U401" s="282"/>
      <c r="V401" s="282"/>
      <c r="W401" s="282"/>
      <c r="X401" s="282"/>
      <c r="Y401" s="282"/>
      <c r="Z401" s="282"/>
      <c r="AA401" s="282"/>
    </row>
    <row r="402" spans="1:27" s="428" customFormat="1" outlineLevel="3" x14ac:dyDescent="0.25">
      <c r="A402" s="276">
        <f t="shared" si="101"/>
        <v>251</v>
      </c>
      <c r="B402" s="758" t="str">
        <f>$B$251</f>
        <v>Grade Level Teacher</v>
      </c>
      <c r="C402" s="430">
        <f t="shared" si="100"/>
        <v>0</v>
      </c>
      <c r="D402" s="430"/>
      <c r="E402" s="430"/>
      <c r="F402" s="430"/>
      <c r="G402" s="1290">
        <f>G251*$E251</f>
        <v>0</v>
      </c>
      <c r="H402" s="1290">
        <f>(H251*$E251)</f>
        <v>0</v>
      </c>
      <c r="I402" s="1290">
        <f t="shared" si="104"/>
        <v>0</v>
      </c>
      <c r="J402" s="1290">
        <f t="shared" si="104"/>
        <v>0</v>
      </c>
      <c r="K402" s="1290">
        <f t="shared" si="104"/>
        <v>0</v>
      </c>
      <c r="L402" s="1290">
        <f t="shared" si="104"/>
        <v>0</v>
      </c>
      <c r="M402" s="1290">
        <f t="shared" si="104"/>
        <v>0</v>
      </c>
      <c r="R402" s="282"/>
      <c r="S402" s="282"/>
      <c r="T402" s="282"/>
      <c r="U402" s="282"/>
      <c r="V402" s="282"/>
      <c r="W402" s="282"/>
      <c r="X402" s="282"/>
      <c r="Y402" s="282"/>
      <c r="Z402" s="282"/>
      <c r="AA402" s="282"/>
    </row>
    <row r="403" spans="1:27" s="428" customFormat="1" outlineLevel="3" x14ac:dyDescent="0.25">
      <c r="A403" s="276">
        <f t="shared" si="101"/>
        <v>252</v>
      </c>
      <c r="B403" s="758" t="str">
        <f>$B$252</f>
        <v>Grade Level Teacher</v>
      </c>
      <c r="C403" s="430">
        <f t="shared" si="100"/>
        <v>0</v>
      </c>
      <c r="D403" s="430"/>
      <c r="E403" s="430"/>
      <c r="F403" s="430"/>
      <c r="G403" s="1290">
        <f>G252*$E252</f>
        <v>0</v>
      </c>
      <c r="H403" s="1290">
        <f>(H252*$E252)</f>
        <v>0</v>
      </c>
      <c r="I403" s="1290">
        <f t="shared" si="104"/>
        <v>0</v>
      </c>
      <c r="J403" s="1290">
        <f t="shared" si="104"/>
        <v>0</v>
      </c>
      <c r="K403" s="1290">
        <f t="shared" si="104"/>
        <v>0</v>
      </c>
      <c r="L403" s="1290">
        <f t="shared" si="104"/>
        <v>0</v>
      </c>
      <c r="M403" s="1290">
        <f t="shared" si="104"/>
        <v>0</v>
      </c>
      <c r="R403" s="282"/>
      <c r="S403" s="282"/>
      <c r="T403" s="282"/>
      <c r="U403" s="282"/>
      <c r="V403" s="282"/>
      <c r="W403" s="282"/>
      <c r="X403" s="282"/>
      <c r="Y403" s="282"/>
      <c r="Z403" s="282"/>
      <c r="AA403" s="282"/>
    </row>
    <row r="404" spans="1:27" s="428" customFormat="1" outlineLevel="3" x14ac:dyDescent="0.25">
      <c r="A404" s="276">
        <f t="shared" si="101"/>
        <v>253</v>
      </c>
      <c r="B404" s="758" t="str">
        <f>$B$253</f>
        <v>Grade Level Teacher</v>
      </c>
      <c r="C404" s="430">
        <f t="shared" si="100"/>
        <v>0</v>
      </c>
      <c r="D404" s="430"/>
      <c r="E404" s="430"/>
      <c r="F404" s="430"/>
      <c r="G404" s="1290">
        <f>G253*$E253</f>
        <v>0</v>
      </c>
      <c r="H404" s="1290">
        <f>(H253*$E253)</f>
        <v>0</v>
      </c>
      <c r="I404" s="1290">
        <f t="shared" si="104"/>
        <v>0</v>
      </c>
      <c r="J404" s="1290">
        <f t="shared" si="104"/>
        <v>0</v>
      </c>
      <c r="K404" s="1290">
        <f t="shared" si="104"/>
        <v>0</v>
      </c>
      <c r="L404" s="1290">
        <f t="shared" si="104"/>
        <v>0</v>
      </c>
      <c r="M404" s="1290">
        <f t="shared" si="104"/>
        <v>0</v>
      </c>
      <c r="R404" s="282"/>
      <c r="S404" s="282"/>
      <c r="T404" s="282"/>
      <c r="U404" s="282"/>
      <c r="V404" s="282"/>
      <c r="W404" s="282"/>
      <c r="X404" s="282"/>
      <c r="Y404" s="282"/>
      <c r="Z404" s="282"/>
      <c r="AA404" s="282"/>
    </row>
    <row r="405" spans="1:27" s="428" customFormat="1" outlineLevel="3" x14ac:dyDescent="0.25">
      <c r="A405" s="276">
        <f t="shared" si="101"/>
        <v>254</v>
      </c>
      <c r="B405" s="758"/>
      <c r="C405" s="430">
        <f t="shared" si="100"/>
        <v>0</v>
      </c>
      <c r="D405" s="430"/>
      <c r="E405" s="430"/>
      <c r="F405" s="430"/>
      <c r="G405" s="1290"/>
      <c r="H405" s="1290"/>
      <c r="I405" s="1290"/>
      <c r="J405" s="1290"/>
      <c r="K405" s="1290"/>
      <c r="L405" s="1290"/>
      <c r="M405" s="1290"/>
      <c r="R405" s="282"/>
      <c r="S405" s="282"/>
      <c r="T405" s="282"/>
      <c r="U405" s="282"/>
      <c r="V405" s="282"/>
      <c r="W405" s="282"/>
      <c r="X405" s="282"/>
      <c r="Y405" s="282"/>
      <c r="Z405" s="282"/>
      <c r="AA405" s="282"/>
    </row>
    <row r="406" spans="1:27" s="428" customFormat="1" outlineLevel="3" x14ac:dyDescent="0.25">
      <c r="A406" s="276">
        <f t="shared" si="101"/>
        <v>255</v>
      </c>
      <c r="B406" s="758" t="str">
        <f>$B$255</f>
        <v>Grade Level Teacher</v>
      </c>
      <c r="C406" s="430">
        <f t="shared" si="100"/>
        <v>0</v>
      </c>
      <c r="D406" s="430"/>
      <c r="E406" s="430"/>
      <c r="F406" s="430"/>
      <c r="G406" s="1290">
        <f>G255*$E255</f>
        <v>0</v>
      </c>
      <c r="H406" s="1290">
        <f>(H255*$E255)</f>
        <v>0</v>
      </c>
      <c r="I406" s="1290">
        <f t="shared" ref="I406:M410" si="105">(I255*$E255)*$C$46^(I$11-$H$11)</f>
        <v>0</v>
      </c>
      <c r="J406" s="1290">
        <f t="shared" si="105"/>
        <v>0</v>
      </c>
      <c r="K406" s="1290">
        <f t="shared" si="105"/>
        <v>0</v>
      </c>
      <c r="L406" s="1290">
        <f t="shared" si="105"/>
        <v>0</v>
      </c>
      <c r="M406" s="1290">
        <f t="shared" si="105"/>
        <v>0</v>
      </c>
      <c r="R406" s="282"/>
      <c r="S406" s="282"/>
      <c r="T406" s="282"/>
      <c r="U406" s="282"/>
      <c r="V406" s="282"/>
      <c r="W406" s="282"/>
      <c r="X406" s="282"/>
      <c r="Y406" s="282"/>
      <c r="Z406" s="282"/>
      <c r="AA406" s="282"/>
    </row>
    <row r="407" spans="1:27" s="428" customFormat="1" outlineLevel="3" x14ac:dyDescent="0.25">
      <c r="A407" s="276">
        <f t="shared" si="101"/>
        <v>256</v>
      </c>
      <c r="B407" s="758" t="str">
        <f>$B$256</f>
        <v>Grade Level Teacher</v>
      </c>
      <c r="C407" s="430">
        <f t="shared" si="100"/>
        <v>0</v>
      </c>
      <c r="D407" s="430"/>
      <c r="E407" s="430"/>
      <c r="F407" s="430"/>
      <c r="G407" s="1290">
        <f>G256*$E256</f>
        <v>0</v>
      </c>
      <c r="H407" s="1290">
        <f>(H256*$E256)</f>
        <v>0</v>
      </c>
      <c r="I407" s="1290">
        <f t="shared" si="105"/>
        <v>0</v>
      </c>
      <c r="J407" s="1290">
        <f t="shared" si="105"/>
        <v>0</v>
      </c>
      <c r="K407" s="1290">
        <f t="shared" si="105"/>
        <v>0</v>
      </c>
      <c r="L407" s="1290">
        <f t="shared" si="105"/>
        <v>0</v>
      </c>
      <c r="M407" s="1290">
        <f t="shared" si="105"/>
        <v>0</v>
      </c>
      <c r="R407" s="282"/>
      <c r="S407" s="282"/>
      <c r="T407" s="282"/>
      <c r="U407" s="282"/>
      <c r="V407" s="282"/>
      <c r="W407" s="282"/>
      <c r="X407" s="282"/>
      <c r="Y407" s="282"/>
      <c r="Z407" s="282"/>
      <c r="AA407" s="282"/>
    </row>
    <row r="408" spans="1:27" s="428" customFormat="1" outlineLevel="3" x14ac:dyDescent="0.25">
      <c r="A408" s="276">
        <f t="shared" si="101"/>
        <v>257</v>
      </c>
      <c r="B408" s="758" t="str">
        <f>$B$257</f>
        <v>Grade Level Teacher</v>
      </c>
      <c r="C408" s="430">
        <f t="shared" si="100"/>
        <v>0</v>
      </c>
      <c r="D408" s="430"/>
      <c r="E408" s="430"/>
      <c r="F408" s="430"/>
      <c r="G408" s="1290">
        <f>G257*$E257</f>
        <v>0</v>
      </c>
      <c r="H408" s="1290">
        <f>(H257*$E257)</f>
        <v>0</v>
      </c>
      <c r="I408" s="1290">
        <f t="shared" si="105"/>
        <v>0</v>
      </c>
      <c r="J408" s="1290">
        <f t="shared" si="105"/>
        <v>0</v>
      </c>
      <c r="K408" s="1290">
        <f t="shared" si="105"/>
        <v>0</v>
      </c>
      <c r="L408" s="1290">
        <f t="shared" si="105"/>
        <v>0</v>
      </c>
      <c r="M408" s="1290">
        <f t="shared" si="105"/>
        <v>0</v>
      </c>
      <c r="R408" s="282"/>
      <c r="S408" s="282"/>
      <c r="T408" s="282"/>
      <c r="U408" s="282"/>
      <c r="V408" s="282"/>
      <c r="W408" s="282"/>
      <c r="X408" s="282"/>
      <c r="Y408" s="282"/>
      <c r="Z408" s="282"/>
      <c r="AA408" s="282"/>
    </row>
    <row r="409" spans="1:27" s="428" customFormat="1" outlineLevel="3" x14ac:dyDescent="0.25">
      <c r="A409" s="276">
        <f t="shared" si="101"/>
        <v>258</v>
      </c>
      <c r="B409" s="758" t="str">
        <f>$B$258</f>
        <v>Grade Level Teacher</v>
      </c>
      <c r="C409" s="430">
        <f t="shared" si="100"/>
        <v>0</v>
      </c>
      <c r="D409" s="430"/>
      <c r="E409" s="430"/>
      <c r="F409" s="430"/>
      <c r="G409" s="1290">
        <f>G258*$E258</f>
        <v>0</v>
      </c>
      <c r="H409" s="1290">
        <f>(H258*$E258)</f>
        <v>0</v>
      </c>
      <c r="I409" s="1290">
        <f t="shared" si="105"/>
        <v>0</v>
      </c>
      <c r="J409" s="1290">
        <f t="shared" si="105"/>
        <v>0</v>
      </c>
      <c r="K409" s="1290">
        <f t="shared" si="105"/>
        <v>0</v>
      </c>
      <c r="L409" s="1290">
        <f t="shared" si="105"/>
        <v>0</v>
      </c>
      <c r="M409" s="1290">
        <f t="shared" si="105"/>
        <v>0</v>
      </c>
      <c r="R409" s="282"/>
      <c r="S409" s="282"/>
      <c r="T409" s="282"/>
      <c r="U409" s="282"/>
      <c r="V409" s="282"/>
      <c r="W409" s="282"/>
      <c r="X409" s="282"/>
      <c r="Y409" s="282"/>
      <c r="Z409" s="282"/>
      <c r="AA409" s="282"/>
    </row>
    <row r="410" spans="1:27" s="428" customFormat="1" outlineLevel="3" x14ac:dyDescent="0.25">
      <c r="A410" s="276">
        <f t="shared" si="101"/>
        <v>259</v>
      </c>
      <c r="B410" s="758" t="str">
        <f>$B$259</f>
        <v>Grade Level Teacher</v>
      </c>
      <c r="C410" s="430">
        <f t="shared" si="100"/>
        <v>0</v>
      </c>
      <c r="D410" s="430"/>
      <c r="E410" s="430"/>
      <c r="F410" s="430"/>
      <c r="G410" s="1290">
        <f>G259*$E259</f>
        <v>0</v>
      </c>
      <c r="H410" s="1290">
        <f>(H259*$E259)</f>
        <v>0</v>
      </c>
      <c r="I410" s="1290">
        <f t="shared" si="105"/>
        <v>0</v>
      </c>
      <c r="J410" s="1290">
        <f t="shared" si="105"/>
        <v>0</v>
      </c>
      <c r="K410" s="1290">
        <f t="shared" si="105"/>
        <v>0</v>
      </c>
      <c r="L410" s="1290">
        <f t="shared" si="105"/>
        <v>0</v>
      </c>
      <c r="M410" s="1290">
        <f t="shared" si="105"/>
        <v>0</v>
      </c>
      <c r="R410" s="282"/>
      <c r="S410" s="282"/>
      <c r="T410" s="282"/>
      <c r="U410" s="282"/>
      <c r="V410" s="282"/>
      <c r="W410" s="282"/>
      <c r="X410" s="282"/>
      <c r="Y410" s="282"/>
      <c r="Z410" s="282"/>
      <c r="AA410" s="282"/>
    </row>
    <row r="411" spans="1:27" s="428" customFormat="1" outlineLevel="3" x14ac:dyDescent="0.25">
      <c r="A411" s="276">
        <f t="shared" si="101"/>
        <v>260</v>
      </c>
      <c r="B411" s="758"/>
      <c r="C411" s="430">
        <f t="shared" si="100"/>
        <v>0</v>
      </c>
      <c r="D411" s="430"/>
      <c r="E411" s="430"/>
      <c r="F411" s="430"/>
      <c r="G411" s="1290"/>
      <c r="H411" s="1290"/>
      <c r="I411" s="1290"/>
      <c r="J411" s="1290"/>
      <c r="K411" s="1290"/>
      <c r="L411" s="1290"/>
      <c r="M411" s="1290"/>
      <c r="R411" s="282"/>
      <c r="S411" s="282"/>
      <c r="T411" s="282"/>
      <c r="U411" s="282"/>
      <c r="V411" s="282"/>
      <c r="W411" s="282"/>
      <c r="X411" s="282"/>
      <c r="Y411" s="282"/>
      <c r="Z411" s="282"/>
      <c r="AA411" s="282"/>
    </row>
    <row r="412" spans="1:27" s="428" customFormat="1" outlineLevel="3" x14ac:dyDescent="0.25">
      <c r="A412" s="276">
        <f t="shared" si="101"/>
        <v>261</v>
      </c>
      <c r="B412" s="758" t="str">
        <f>$B$261</f>
        <v>Grade Level Teacher</v>
      </c>
      <c r="C412" s="430">
        <f t="shared" si="100"/>
        <v>0</v>
      </c>
      <c r="D412" s="430"/>
      <c r="E412" s="430"/>
      <c r="F412" s="430"/>
      <c r="G412" s="1290">
        <f>G261*$E261</f>
        <v>0</v>
      </c>
      <c r="H412" s="1290">
        <f>(H261*$E261)</f>
        <v>0</v>
      </c>
      <c r="I412" s="1290">
        <f t="shared" ref="I412:M416" si="106">(I261*$E261)*$C$46^(I$11-$H$11)</f>
        <v>0</v>
      </c>
      <c r="J412" s="1290">
        <f t="shared" si="106"/>
        <v>0</v>
      </c>
      <c r="K412" s="1290">
        <f t="shared" si="106"/>
        <v>0</v>
      </c>
      <c r="L412" s="1290">
        <f t="shared" si="106"/>
        <v>0</v>
      </c>
      <c r="M412" s="1290">
        <f t="shared" si="106"/>
        <v>0</v>
      </c>
      <c r="R412" s="282"/>
      <c r="S412" s="282"/>
      <c r="T412" s="282"/>
      <c r="U412" s="282"/>
      <c r="V412" s="282"/>
      <c r="W412" s="282"/>
      <c r="X412" s="282"/>
      <c r="Y412" s="282"/>
      <c r="Z412" s="282"/>
      <c r="AA412" s="282"/>
    </row>
    <row r="413" spans="1:27" s="428" customFormat="1" outlineLevel="3" x14ac:dyDescent="0.25">
      <c r="A413" s="276">
        <f t="shared" si="101"/>
        <v>262</v>
      </c>
      <c r="B413" s="758" t="str">
        <f>$B$262</f>
        <v>Grade Level Teacher</v>
      </c>
      <c r="C413" s="430">
        <f t="shared" si="100"/>
        <v>0</v>
      </c>
      <c r="D413" s="430"/>
      <c r="E413" s="430"/>
      <c r="F413" s="430"/>
      <c r="G413" s="1290">
        <f>G262*$E262</f>
        <v>0</v>
      </c>
      <c r="H413" s="1290">
        <f>(H262*$E262)</f>
        <v>0</v>
      </c>
      <c r="I413" s="1290">
        <f t="shared" si="106"/>
        <v>0</v>
      </c>
      <c r="J413" s="1290">
        <f t="shared" si="106"/>
        <v>0</v>
      </c>
      <c r="K413" s="1290">
        <f t="shared" si="106"/>
        <v>0</v>
      </c>
      <c r="L413" s="1290">
        <f t="shared" si="106"/>
        <v>0</v>
      </c>
      <c r="M413" s="1290">
        <f t="shared" si="106"/>
        <v>0</v>
      </c>
      <c r="R413" s="282"/>
      <c r="S413" s="282"/>
      <c r="T413" s="282"/>
      <c r="U413" s="282"/>
      <c r="V413" s="282"/>
      <c r="W413" s="282"/>
      <c r="X413" s="282"/>
      <c r="Y413" s="282"/>
      <c r="Z413" s="282"/>
      <c r="AA413" s="282"/>
    </row>
    <row r="414" spans="1:27" s="428" customFormat="1" outlineLevel="3" x14ac:dyDescent="0.25">
      <c r="A414" s="276">
        <f t="shared" si="101"/>
        <v>263</v>
      </c>
      <c r="B414" s="758" t="str">
        <f>$B$263</f>
        <v>Grade Level Teacher</v>
      </c>
      <c r="C414" s="430">
        <f t="shared" si="100"/>
        <v>0</v>
      </c>
      <c r="D414" s="430"/>
      <c r="E414" s="430"/>
      <c r="F414" s="430"/>
      <c r="G414" s="1290">
        <f>G263*$E263</f>
        <v>0</v>
      </c>
      <c r="H414" s="1290">
        <f>(H263*$E263)</f>
        <v>0</v>
      </c>
      <c r="I414" s="1290">
        <f t="shared" si="106"/>
        <v>0</v>
      </c>
      <c r="J414" s="1290">
        <f t="shared" si="106"/>
        <v>0</v>
      </c>
      <c r="K414" s="1290">
        <f t="shared" si="106"/>
        <v>0</v>
      </c>
      <c r="L414" s="1290">
        <f t="shared" si="106"/>
        <v>0</v>
      </c>
      <c r="M414" s="1290">
        <f t="shared" si="106"/>
        <v>0</v>
      </c>
      <c r="R414" s="282"/>
      <c r="S414" s="282"/>
      <c r="T414" s="282"/>
      <c r="U414" s="282"/>
      <c r="V414" s="282"/>
      <c r="W414" s="282"/>
      <c r="X414" s="282"/>
      <c r="Y414" s="282"/>
      <c r="Z414" s="282"/>
      <c r="AA414" s="282"/>
    </row>
    <row r="415" spans="1:27" s="428" customFormat="1" outlineLevel="3" x14ac:dyDescent="0.25">
      <c r="A415" s="276">
        <f t="shared" si="101"/>
        <v>264</v>
      </c>
      <c r="B415" s="758" t="str">
        <f>$B$264</f>
        <v>Grade Level Teacher</v>
      </c>
      <c r="C415" s="430">
        <f t="shared" si="100"/>
        <v>0</v>
      </c>
      <c r="D415" s="430"/>
      <c r="E415" s="430"/>
      <c r="F415" s="430"/>
      <c r="G415" s="1290">
        <f>G264*$E264</f>
        <v>0</v>
      </c>
      <c r="H415" s="1290">
        <f>(H264*$E264)</f>
        <v>0</v>
      </c>
      <c r="I415" s="1290">
        <f t="shared" si="106"/>
        <v>0</v>
      </c>
      <c r="J415" s="1290">
        <f t="shared" si="106"/>
        <v>0</v>
      </c>
      <c r="K415" s="1290">
        <f t="shared" si="106"/>
        <v>0</v>
      </c>
      <c r="L415" s="1290">
        <f t="shared" si="106"/>
        <v>0</v>
      </c>
      <c r="M415" s="1290">
        <f t="shared" si="106"/>
        <v>0</v>
      </c>
      <c r="R415" s="282"/>
      <c r="S415" s="282"/>
      <c r="T415" s="282"/>
      <c r="U415" s="282"/>
      <c r="V415" s="282"/>
      <c r="W415" s="282"/>
      <c r="X415" s="282"/>
      <c r="Y415" s="282"/>
      <c r="Z415" s="282"/>
      <c r="AA415" s="282"/>
    </row>
    <row r="416" spans="1:27" s="428" customFormat="1" outlineLevel="3" x14ac:dyDescent="0.25">
      <c r="A416" s="276">
        <f t="shared" si="101"/>
        <v>265</v>
      </c>
      <c r="B416" s="758" t="str">
        <f>$B$265</f>
        <v>Grade Level Teacher</v>
      </c>
      <c r="C416" s="430">
        <f t="shared" si="100"/>
        <v>0</v>
      </c>
      <c r="D416" s="430"/>
      <c r="E416" s="430"/>
      <c r="F416" s="430"/>
      <c r="G416" s="1290">
        <f>G265*$E265</f>
        <v>0</v>
      </c>
      <c r="H416" s="1290">
        <f>(H265*$E265)</f>
        <v>0</v>
      </c>
      <c r="I416" s="1290">
        <f t="shared" si="106"/>
        <v>0</v>
      </c>
      <c r="J416" s="1290">
        <f t="shared" si="106"/>
        <v>0</v>
      </c>
      <c r="K416" s="1290">
        <f t="shared" si="106"/>
        <v>0</v>
      </c>
      <c r="L416" s="1290">
        <f t="shared" si="106"/>
        <v>0</v>
      </c>
      <c r="M416" s="1290">
        <f t="shared" si="106"/>
        <v>0</v>
      </c>
      <c r="R416" s="282"/>
      <c r="S416" s="282"/>
      <c r="T416" s="282"/>
      <c r="U416" s="282"/>
      <c r="V416" s="282"/>
      <c r="W416" s="282"/>
      <c r="X416" s="282"/>
      <c r="Y416" s="282"/>
      <c r="Z416" s="282"/>
      <c r="AA416" s="282"/>
    </row>
    <row r="417" spans="1:27" s="431" customFormat="1" outlineLevel="1" x14ac:dyDescent="0.25">
      <c r="A417" s="276">
        <f t="shared" si="101"/>
        <v>266</v>
      </c>
      <c r="B417" s="432"/>
      <c r="C417" s="430"/>
      <c r="D417" s="430"/>
      <c r="E417" s="430"/>
      <c r="F417" s="430"/>
      <c r="G417" s="1290"/>
      <c r="H417" s="1290"/>
      <c r="I417" s="1290"/>
      <c r="J417" s="1290"/>
      <c r="K417" s="1290"/>
      <c r="L417" s="1290"/>
      <c r="M417" s="1290"/>
      <c r="R417" s="282"/>
      <c r="S417" s="282"/>
      <c r="T417" s="282"/>
      <c r="U417" s="282"/>
      <c r="V417" s="282"/>
      <c r="W417" s="282"/>
      <c r="X417" s="282"/>
      <c r="Y417" s="282"/>
      <c r="Z417" s="282"/>
      <c r="AA417" s="282"/>
    </row>
    <row r="418" spans="1:27" ht="19.5" customHeight="1" x14ac:dyDescent="0.25">
      <c r="A418" s="276">
        <f>ROW()</f>
        <v>418</v>
      </c>
      <c r="B418" s="362" t="s">
        <v>94</v>
      </c>
      <c r="C418" s="238">
        <f>SUM(G418:M418)</f>
        <v>8838041.6772297919</v>
      </c>
      <c r="D418" s="548"/>
      <c r="E418" s="548"/>
      <c r="F418" s="548"/>
      <c r="G418" s="704">
        <f t="shared" ref="G418:M418" si="107">SUM(G323:G416)</f>
        <v>0</v>
      </c>
      <c r="H418" s="704">
        <f t="shared" si="107"/>
        <v>546000</v>
      </c>
      <c r="I418" s="704">
        <f t="shared" si="107"/>
        <v>1089286.8000000003</v>
      </c>
      <c r="J418" s="704">
        <f t="shared" si="107"/>
        <v>1397587.2239999997</v>
      </c>
      <c r="K418" s="704">
        <f t="shared" si="107"/>
        <v>1727994.7687199987</v>
      </c>
      <c r="L418" s="704">
        <f t="shared" si="107"/>
        <v>1930765.3432026007</v>
      </c>
      <c r="M418" s="704">
        <f t="shared" si="107"/>
        <v>2146407.5413071932</v>
      </c>
      <c r="R418" s="282"/>
      <c r="S418" s="282"/>
      <c r="T418" s="282"/>
      <c r="U418" s="282"/>
      <c r="V418" s="282"/>
      <c r="W418" s="282"/>
      <c r="X418" s="282"/>
      <c r="Y418" s="282"/>
      <c r="Z418" s="282"/>
      <c r="AA418" s="282"/>
    </row>
    <row r="419" spans="1:27" ht="20.25" customHeight="1" outlineLevel="1" x14ac:dyDescent="0.25">
      <c r="A419" s="276">
        <f>ROW()</f>
        <v>419</v>
      </c>
      <c r="B419" s="221"/>
      <c r="C419" s="231"/>
      <c r="D419" s="231"/>
      <c r="E419" s="231"/>
      <c r="F419" s="231"/>
      <c r="G419" s="1290"/>
      <c r="H419" s="1290"/>
      <c r="I419" s="1290"/>
      <c r="J419" s="1290"/>
      <c r="K419" s="1290"/>
      <c r="L419" s="1290"/>
      <c r="M419" s="1290"/>
      <c r="R419" s="282"/>
      <c r="S419" s="282"/>
      <c r="T419" s="282"/>
      <c r="U419" s="282"/>
      <c r="V419" s="282"/>
      <c r="W419" s="282"/>
      <c r="X419" s="282"/>
      <c r="Y419" s="282"/>
      <c r="Z419" s="282"/>
      <c r="AA419" s="282"/>
    </row>
    <row r="420" spans="1:27" ht="21.75" customHeight="1" outlineLevel="1" thickBot="1" x14ac:dyDescent="0.3">
      <c r="A420" s="276">
        <f>ROW()</f>
        <v>420</v>
      </c>
      <c r="B420" s="221"/>
      <c r="C420" s="231"/>
      <c r="D420" s="231"/>
      <c r="E420" s="231"/>
      <c r="F420" s="231"/>
      <c r="G420" s="1290"/>
      <c r="H420" s="1290"/>
      <c r="I420" s="1290"/>
      <c r="J420" s="1290"/>
      <c r="K420" s="1290"/>
      <c r="L420" s="1290"/>
      <c r="M420" s="1290"/>
      <c r="R420" s="282"/>
      <c r="S420" s="282"/>
      <c r="T420" s="282"/>
      <c r="U420" s="282"/>
      <c r="V420" s="282"/>
      <c r="W420" s="282"/>
      <c r="X420" s="282"/>
      <c r="Y420" s="282"/>
      <c r="Z420" s="282"/>
      <c r="AA420" s="282"/>
    </row>
    <row r="421" spans="1:27" ht="15.75" thickBot="1" x14ac:dyDescent="0.3">
      <c r="A421" s="276"/>
      <c r="B421" s="374" t="s">
        <v>88</v>
      </c>
      <c r="C421" s="556">
        <f>SUM(G421:M421)</f>
        <v>14071752.342364386</v>
      </c>
      <c r="D421" s="375"/>
      <c r="E421" s="375"/>
      <c r="F421" s="375"/>
      <c r="G421" s="1347">
        <f t="shared" ref="G421" si="108">G418+G309+G285+G297</f>
        <v>0</v>
      </c>
      <c r="H421" s="1347">
        <f t="shared" ref="H421:M421" si="109">H418+H309+H285+H297+H321</f>
        <v>888520</v>
      </c>
      <c r="I421" s="1347">
        <f t="shared" si="109"/>
        <v>1622610.5000000002</v>
      </c>
      <c r="J421" s="1347">
        <f t="shared" si="109"/>
        <v>2173455.2209999994</v>
      </c>
      <c r="K421" s="1347">
        <f t="shared" si="109"/>
        <v>2799402.6649499987</v>
      </c>
      <c r="L421" s="1347">
        <f t="shared" si="109"/>
        <v>3143253.4740394009</v>
      </c>
      <c r="M421" s="1347">
        <f t="shared" si="109"/>
        <v>3444510.4823749894</v>
      </c>
      <c r="N421" s="221"/>
      <c r="O421" s="221"/>
      <c r="P421" s="221"/>
      <c r="Q421" s="221"/>
      <c r="R421" s="282"/>
      <c r="S421" s="282"/>
      <c r="T421" s="282"/>
      <c r="U421" s="282"/>
      <c r="V421" s="282"/>
      <c r="W421" s="282"/>
      <c r="X421" s="282"/>
      <c r="Y421" s="282"/>
      <c r="Z421" s="282"/>
      <c r="AA421" s="282"/>
    </row>
    <row r="422" spans="1:27" outlineLevel="1" x14ac:dyDescent="0.25">
      <c r="A422" s="276"/>
      <c r="B422" s="221"/>
      <c r="C422" s="557"/>
      <c r="D422" s="221"/>
      <c r="E422" s="221"/>
      <c r="F422" s="221"/>
      <c r="G422" s="168"/>
      <c r="H422" s="1342"/>
      <c r="I422" s="1342"/>
      <c r="J422" s="1342"/>
      <c r="K422" s="1342"/>
      <c r="L422" s="1342"/>
      <c r="M422" s="1342"/>
      <c r="N422" s="231"/>
      <c r="O422" s="231"/>
      <c r="P422" s="231"/>
      <c r="Q422" s="231"/>
      <c r="R422" s="282"/>
      <c r="S422" s="282"/>
      <c r="T422" s="282"/>
      <c r="U422" s="282"/>
      <c r="V422" s="282"/>
      <c r="W422" s="282"/>
      <c r="X422" s="282"/>
      <c r="Y422" s="282"/>
      <c r="Z422" s="282"/>
      <c r="AA422" s="282"/>
    </row>
    <row r="423" spans="1:27" ht="15.75" outlineLevel="1" x14ac:dyDescent="0.25">
      <c r="A423" s="276">
        <f t="shared" ref="A423:A443" si="110">ROW(A110)</f>
        <v>110</v>
      </c>
      <c r="B423" s="423" t="s">
        <v>89</v>
      </c>
      <c r="C423" s="558"/>
      <c r="D423" s="423"/>
      <c r="E423" s="423"/>
      <c r="F423" s="423"/>
      <c r="G423" s="1348"/>
      <c r="H423" s="1344"/>
      <c r="I423" s="1344"/>
      <c r="J423" s="1344"/>
      <c r="K423" s="1344"/>
      <c r="L423" s="1344"/>
      <c r="M423" s="1344"/>
      <c r="N423" s="824"/>
      <c r="O423" s="824"/>
      <c r="P423" s="824"/>
      <c r="Q423" s="824"/>
      <c r="R423" s="282"/>
      <c r="S423" s="282"/>
      <c r="T423" s="282"/>
      <c r="U423" s="282"/>
      <c r="V423" s="282"/>
      <c r="W423" s="282"/>
      <c r="X423" s="282"/>
      <c r="Y423" s="282"/>
      <c r="Z423" s="282"/>
      <c r="AA423" s="282"/>
    </row>
    <row r="424" spans="1:27" s="431" customFormat="1" outlineLevel="1" x14ac:dyDescent="0.25">
      <c r="A424" s="276">
        <f t="shared" si="110"/>
        <v>111</v>
      </c>
      <c r="B424" s="432"/>
      <c r="C424" s="559"/>
      <c r="D424" s="432"/>
      <c r="E424" s="432"/>
      <c r="F424" s="432"/>
      <c r="G424" s="168"/>
      <c r="H424" s="1342"/>
      <c r="I424" s="1342"/>
      <c r="J424" s="1342"/>
      <c r="K424" s="1342"/>
      <c r="L424" s="1342"/>
      <c r="M424" s="1342"/>
      <c r="N424" s="430"/>
      <c r="O424" s="430"/>
      <c r="P424" s="430"/>
      <c r="Q424" s="430"/>
      <c r="R424" s="282"/>
      <c r="S424" s="282"/>
      <c r="T424" s="282"/>
      <c r="U424" s="282"/>
      <c r="V424" s="282"/>
      <c r="W424" s="282"/>
      <c r="X424" s="282"/>
      <c r="Y424" s="282"/>
      <c r="Z424" s="282"/>
      <c r="AA424" s="282"/>
    </row>
    <row r="425" spans="1:27" s="431" customFormat="1" outlineLevel="2" x14ac:dyDescent="0.25">
      <c r="A425" s="276">
        <f t="shared" si="110"/>
        <v>112</v>
      </c>
      <c r="B425" s="1357" t="s">
        <v>949</v>
      </c>
      <c r="C425" s="1358"/>
      <c r="D425" s="1359"/>
      <c r="E425" s="1359"/>
      <c r="F425" s="1359"/>
      <c r="G425" s="1377"/>
      <c r="H425" s="1378"/>
      <c r="I425" s="1378"/>
      <c r="J425" s="1378"/>
      <c r="K425" s="1378"/>
      <c r="L425" s="1378"/>
      <c r="M425" s="1378"/>
      <c r="N425" s="430"/>
      <c r="O425" s="430"/>
      <c r="P425" s="430"/>
      <c r="Q425" s="430"/>
      <c r="R425" s="282"/>
      <c r="S425" s="282"/>
      <c r="T425" s="282"/>
      <c r="U425" s="282"/>
      <c r="V425" s="282"/>
      <c r="W425" s="282"/>
      <c r="X425" s="282"/>
      <c r="Y425" s="282"/>
      <c r="Z425" s="282"/>
      <c r="AA425" s="282"/>
    </row>
    <row r="426" spans="1:27" s="431" customFormat="1" outlineLevel="3" x14ac:dyDescent="0.25">
      <c r="A426" s="276">
        <f t="shared" si="110"/>
        <v>113</v>
      </c>
      <c r="B426" s="376"/>
      <c r="C426" s="559"/>
      <c r="D426" s="432"/>
      <c r="E426" s="432"/>
      <c r="F426" s="432"/>
      <c r="G426" s="168"/>
      <c r="H426" s="1342"/>
      <c r="I426" s="1342"/>
      <c r="J426" s="1342"/>
      <c r="K426" s="1342"/>
      <c r="L426" s="1342"/>
      <c r="M426" s="1342"/>
      <c r="N426" s="430"/>
      <c r="O426" s="430"/>
      <c r="P426" s="430"/>
      <c r="Q426" s="430"/>
      <c r="R426" s="282"/>
      <c r="S426" s="282"/>
      <c r="T426" s="282"/>
      <c r="U426" s="282"/>
      <c r="V426" s="282"/>
      <c r="W426" s="282"/>
      <c r="X426" s="282"/>
      <c r="Y426" s="282"/>
      <c r="Z426" s="282"/>
      <c r="AA426" s="282"/>
    </row>
    <row r="427" spans="1:27" s="431" customFormat="1" outlineLevel="3" x14ac:dyDescent="0.25">
      <c r="A427" s="276">
        <f t="shared" si="110"/>
        <v>114</v>
      </c>
      <c r="B427" s="754" t="str">
        <f>$B$113</f>
        <v>Administrators</v>
      </c>
      <c r="C427" s="760"/>
      <c r="D427" s="757"/>
      <c r="E427" s="757"/>
      <c r="F427" s="757"/>
      <c r="G427" s="461"/>
      <c r="H427" s="818"/>
      <c r="I427" s="818"/>
      <c r="J427" s="818"/>
      <c r="K427" s="818"/>
      <c r="L427" s="818"/>
      <c r="M427" s="818"/>
      <c r="N427" s="430"/>
      <c r="O427" s="430"/>
      <c r="P427" s="430"/>
      <c r="Q427" s="430"/>
      <c r="R427" s="282"/>
      <c r="S427" s="282"/>
      <c r="T427" s="282"/>
      <c r="U427" s="282"/>
      <c r="V427" s="282"/>
      <c r="W427" s="282"/>
      <c r="X427" s="282"/>
      <c r="Y427" s="282"/>
      <c r="Z427" s="282"/>
      <c r="AA427" s="282"/>
    </row>
    <row r="428" spans="1:27" s="431" customFormat="1" outlineLevel="3" x14ac:dyDescent="0.25">
      <c r="A428" s="276">
        <f t="shared" si="110"/>
        <v>115</v>
      </c>
      <c r="B428" s="432" t="str">
        <f>$B$114</f>
        <v>Principal</v>
      </c>
      <c r="C428" s="559"/>
      <c r="D428" s="432"/>
      <c r="E428" s="432"/>
      <c r="F428" s="432"/>
      <c r="G428" s="1290">
        <f>(G114*$C$88*$C$86)</f>
        <v>0</v>
      </c>
      <c r="H428" s="1290">
        <f t="shared" ref="H428:M432" si="111">(H114*$C$88*$C$86)*$C$46^(H$11-$G$11)</f>
        <v>7233.8960000000006</v>
      </c>
      <c r="I428" s="1290">
        <f t="shared" si="111"/>
        <v>7450.9128800000008</v>
      </c>
      <c r="J428" s="1290">
        <f t="shared" si="111"/>
        <v>7674.4402664000008</v>
      </c>
      <c r="K428" s="1290">
        <f t="shared" si="111"/>
        <v>7904.6734743920006</v>
      </c>
      <c r="L428" s="1290">
        <f t="shared" si="111"/>
        <v>8141.8136786237601</v>
      </c>
      <c r="M428" s="1290">
        <f t="shared" si="111"/>
        <v>8386.0680889824725</v>
      </c>
      <c r="R428" s="282"/>
      <c r="S428" s="282"/>
      <c r="T428" s="282"/>
      <c r="U428" s="282"/>
      <c r="V428" s="282"/>
      <c r="W428" s="282"/>
      <c r="X428" s="282"/>
      <c r="Y428" s="282"/>
      <c r="Z428" s="282"/>
      <c r="AA428" s="282"/>
    </row>
    <row r="429" spans="1:27" s="431" customFormat="1" outlineLevel="3" x14ac:dyDescent="0.25">
      <c r="A429" s="276">
        <f t="shared" si="110"/>
        <v>116</v>
      </c>
      <c r="B429" s="432" t="str">
        <f>$B$115</f>
        <v>Assistant Principal</v>
      </c>
      <c r="C429" s="559"/>
      <c r="D429" s="432"/>
      <c r="E429" s="432"/>
      <c r="F429" s="432"/>
      <c r="G429" s="1290">
        <f>(G115*$C$88*$C$86)</f>
        <v>0</v>
      </c>
      <c r="H429" s="1290">
        <f t="shared" si="111"/>
        <v>0</v>
      </c>
      <c r="I429" s="1290">
        <f t="shared" si="111"/>
        <v>7450.9128800000008</v>
      </c>
      <c r="J429" s="1290">
        <f t="shared" si="111"/>
        <v>7674.4402664000008</v>
      </c>
      <c r="K429" s="1290">
        <f t="shared" si="111"/>
        <v>7904.6734743920006</v>
      </c>
      <c r="L429" s="1290">
        <f t="shared" si="111"/>
        <v>8141.8136786237601</v>
      </c>
      <c r="M429" s="1290">
        <f t="shared" si="111"/>
        <v>8386.0680889824725</v>
      </c>
      <c r="R429" s="282"/>
      <c r="S429" s="282"/>
      <c r="T429" s="282"/>
      <c r="U429" s="282"/>
      <c r="V429" s="282"/>
      <c r="W429" s="282"/>
      <c r="X429" s="282"/>
      <c r="Y429" s="282"/>
      <c r="Z429" s="282"/>
      <c r="AA429" s="282"/>
    </row>
    <row r="430" spans="1:27" s="431" customFormat="1" outlineLevel="3" x14ac:dyDescent="0.25">
      <c r="A430" s="276">
        <f t="shared" si="110"/>
        <v>117</v>
      </c>
      <c r="B430" s="432" t="str">
        <f>$B$116</f>
        <v>Assistant Principal</v>
      </c>
      <c r="C430" s="559"/>
      <c r="D430" s="432"/>
      <c r="E430" s="432"/>
      <c r="F430" s="432"/>
      <c r="G430" s="1290">
        <f>(G116*$C$88*$C$86)</f>
        <v>0</v>
      </c>
      <c r="H430" s="1290">
        <f t="shared" si="111"/>
        <v>0</v>
      </c>
      <c r="I430" s="1290">
        <f t="shared" si="111"/>
        <v>0</v>
      </c>
      <c r="J430" s="1290">
        <f t="shared" si="111"/>
        <v>0</v>
      </c>
      <c r="K430" s="1290">
        <f t="shared" si="111"/>
        <v>7904.6734743920006</v>
      </c>
      <c r="L430" s="1290">
        <f t="shared" si="111"/>
        <v>8141.8136786237601</v>
      </c>
      <c r="M430" s="1290">
        <f t="shared" si="111"/>
        <v>8386.0680889824725</v>
      </c>
      <c r="R430" s="282"/>
      <c r="S430" s="282"/>
      <c r="T430" s="282"/>
      <c r="U430" s="282"/>
      <c r="V430" s="282"/>
      <c r="W430" s="282"/>
      <c r="X430" s="282"/>
      <c r="Y430" s="282"/>
      <c r="Z430" s="282"/>
      <c r="AA430" s="282"/>
    </row>
    <row r="431" spans="1:27" s="431" customFormat="1" outlineLevel="3" x14ac:dyDescent="0.25">
      <c r="A431" s="276">
        <f t="shared" si="110"/>
        <v>118</v>
      </c>
      <c r="B431" s="432" t="str">
        <f>$B$117</f>
        <v>Admin 4</v>
      </c>
      <c r="C431" s="559"/>
      <c r="D431" s="432"/>
      <c r="E431" s="432"/>
      <c r="F431" s="432"/>
      <c r="G431" s="1290">
        <f>(G117*$C$88*$C$86)</f>
        <v>0</v>
      </c>
      <c r="H431" s="1290">
        <f t="shared" si="111"/>
        <v>0</v>
      </c>
      <c r="I431" s="1290">
        <f t="shared" si="111"/>
        <v>0</v>
      </c>
      <c r="J431" s="1290">
        <f t="shared" si="111"/>
        <v>0</v>
      </c>
      <c r="K431" s="1290">
        <f t="shared" si="111"/>
        <v>0</v>
      </c>
      <c r="L431" s="1290">
        <f t="shared" si="111"/>
        <v>0</v>
      </c>
      <c r="M431" s="1290">
        <f t="shared" si="111"/>
        <v>0</v>
      </c>
      <c r="R431" s="282"/>
      <c r="S431" s="282"/>
      <c r="T431" s="282"/>
      <c r="U431" s="282"/>
      <c r="V431" s="282"/>
      <c r="W431" s="282"/>
      <c r="X431" s="282"/>
      <c r="Y431" s="282"/>
      <c r="Z431" s="282"/>
      <c r="AA431" s="282"/>
    </row>
    <row r="432" spans="1:27" s="431" customFormat="1" outlineLevel="3" x14ac:dyDescent="0.25">
      <c r="A432" s="276">
        <f t="shared" si="110"/>
        <v>119</v>
      </c>
      <c r="B432" s="432" t="str">
        <f>$B$118</f>
        <v>Admin 5</v>
      </c>
      <c r="C432" s="559"/>
      <c r="D432" s="432"/>
      <c r="E432" s="432"/>
      <c r="F432" s="432"/>
      <c r="G432" s="1290">
        <f>(G118*$C$88*$C$86)</f>
        <v>0</v>
      </c>
      <c r="H432" s="1290">
        <f t="shared" si="111"/>
        <v>0</v>
      </c>
      <c r="I432" s="1290">
        <f t="shared" si="111"/>
        <v>0</v>
      </c>
      <c r="J432" s="1290">
        <f t="shared" si="111"/>
        <v>0</v>
      </c>
      <c r="K432" s="1290">
        <f t="shared" si="111"/>
        <v>0</v>
      </c>
      <c r="L432" s="1290">
        <f t="shared" si="111"/>
        <v>0</v>
      </c>
      <c r="M432" s="1290">
        <f t="shared" si="111"/>
        <v>0</v>
      </c>
      <c r="R432" s="282"/>
      <c r="S432" s="282"/>
      <c r="T432" s="282"/>
      <c r="U432" s="282"/>
      <c r="V432" s="282"/>
      <c r="W432" s="282"/>
      <c r="X432" s="282"/>
      <c r="Y432" s="282"/>
      <c r="Z432" s="282"/>
      <c r="AA432" s="282"/>
    </row>
    <row r="433" spans="1:27" s="431" customFormat="1" outlineLevel="3" x14ac:dyDescent="0.25">
      <c r="A433" s="276">
        <f t="shared" si="110"/>
        <v>120</v>
      </c>
      <c r="B433" s="432"/>
      <c r="C433" s="559"/>
      <c r="D433" s="432"/>
      <c r="E433" s="432"/>
      <c r="F433" s="432"/>
      <c r="G433" s="1290"/>
      <c r="H433" s="1290"/>
      <c r="I433" s="1290"/>
      <c r="J433" s="1290"/>
      <c r="K433" s="1290"/>
      <c r="L433" s="1290"/>
      <c r="M433" s="1290"/>
      <c r="R433" s="282"/>
      <c r="S433" s="282"/>
      <c r="T433" s="282"/>
      <c r="U433" s="282"/>
      <c r="V433" s="282"/>
      <c r="W433" s="282"/>
      <c r="X433" s="282"/>
      <c r="Y433" s="282"/>
      <c r="Z433" s="282"/>
      <c r="AA433" s="282"/>
    </row>
    <row r="434" spans="1:27" s="431" customFormat="1" outlineLevel="3" x14ac:dyDescent="0.25">
      <c r="A434" s="276">
        <f t="shared" si="110"/>
        <v>121</v>
      </c>
      <c r="B434" s="432"/>
      <c r="C434" s="559"/>
      <c r="D434" s="432"/>
      <c r="E434" s="432"/>
      <c r="F434" s="432"/>
      <c r="G434" s="1290"/>
      <c r="H434" s="1290"/>
      <c r="I434" s="1290"/>
      <c r="J434" s="1290"/>
      <c r="K434" s="1290"/>
      <c r="L434" s="1290"/>
      <c r="M434" s="1290"/>
      <c r="R434" s="282"/>
      <c r="S434" s="282"/>
      <c r="T434" s="282"/>
      <c r="U434" s="282"/>
      <c r="V434" s="282"/>
      <c r="W434" s="282"/>
      <c r="X434" s="282"/>
      <c r="Y434" s="282"/>
      <c r="Z434" s="282"/>
      <c r="AA434" s="282"/>
    </row>
    <row r="435" spans="1:27" s="431" customFormat="1" outlineLevel="3" x14ac:dyDescent="0.25">
      <c r="A435" s="276">
        <f t="shared" si="110"/>
        <v>122</v>
      </c>
      <c r="B435" s="754" t="str">
        <f>$B$122</f>
        <v>Office Staff</v>
      </c>
      <c r="C435" s="760"/>
      <c r="D435" s="757"/>
      <c r="E435" s="757"/>
      <c r="F435" s="757"/>
      <c r="G435" s="1295"/>
      <c r="H435" s="1295"/>
      <c r="I435" s="1295"/>
      <c r="J435" s="1295"/>
      <c r="K435" s="1295"/>
      <c r="L435" s="1295"/>
      <c r="M435" s="1295"/>
      <c r="R435" s="282"/>
      <c r="S435" s="282"/>
      <c r="T435" s="282"/>
      <c r="U435" s="282"/>
      <c r="V435" s="282"/>
      <c r="W435" s="282"/>
      <c r="X435" s="282"/>
      <c r="Y435" s="282"/>
      <c r="Z435" s="282"/>
      <c r="AA435" s="282"/>
    </row>
    <row r="436" spans="1:27" s="431" customFormat="1" outlineLevel="3" x14ac:dyDescent="0.25">
      <c r="A436" s="276">
        <f t="shared" si="110"/>
        <v>123</v>
      </c>
      <c r="B436" s="432" t="str">
        <f>$B$123</f>
        <v>Office Manager</v>
      </c>
      <c r="C436" s="559"/>
      <c r="D436" s="432"/>
      <c r="E436" s="432"/>
      <c r="F436" s="432"/>
      <c r="G436" s="1290">
        <f>(G123*$C$88*$C$86)</f>
        <v>0</v>
      </c>
      <c r="H436" s="1290">
        <f t="shared" ref="H436:M438" si="112">(H123*$C$88*$C$86)*$C$46^(H$11-$G$11)</f>
        <v>7233.8960000000006</v>
      </c>
      <c r="I436" s="1290">
        <f t="shared" si="112"/>
        <v>7450.9128800000008</v>
      </c>
      <c r="J436" s="1290">
        <f t="shared" si="112"/>
        <v>7674.4402664000008</v>
      </c>
      <c r="K436" s="1290">
        <f t="shared" si="112"/>
        <v>7904.6734743920006</v>
      </c>
      <c r="L436" s="1290">
        <f t="shared" si="112"/>
        <v>8141.8136786237601</v>
      </c>
      <c r="M436" s="1290">
        <f t="shared" si="112"/>
        <v>8386.0680889824725</v>
      </c>
      <c r="R436" s="282"/>
      <c r="S436" s="282"/>
      <c r="T436" s="282"/>
      <c r="U436" s="282"/>
      <c r="V436" s="282"/>
      <c r="W436" s="282"/>
      <c r="X436" s="282"/>
      <c r="Y436" s="282"/>
      <c r="Z436" s="282"/>
      <c r="AA436" s="282"/>
    </row>
    <row r="437" spans="1:27" s="431" customFormat="1" outlineLevel="3" x14ac:dyDescent="0.25">
      <c r="A437" s="276">
        <f t="shared" si="110"/>
        <v>124</v>
      </c>
      <c r="B437" s="432" t="str">
        <f>$B$124</f>
        <v>Registrar</v>
      </c>
      <c r="C437" s="559"/>
      <c r="D437" s="432"/>
      <c r="E437" s="432"/>
      <c r="F437" s="432"/>
      <c r="G437" s="1290">
        <f>(G124*$C$88*$C$86)</f>
        <v>0</v>
      </c>
      <c r="H437" s="1290">
        <f t="shared" si="112"/>
        <v>0</v>
      </c>
      <c r="I437" s="1290">
        <f t="shared" si="112"/>
        <v>0</v>
      </c>
      <c r="J437" s="1290">
        <f t="shared" si="112"/>
        <v>7674.4402664000008</v>
      </c>
      <c r="K437" s="1290">
        <f t="shared" si="112"/>
        <v>7904.6734743920006</v>
      </c>
      <c r="L437" s="1290">
        <f t="shared" si="112"/>
        <v>8141.8136786237601</v>
      </c>
      <c r="M437" s="1290">
        <f t="shared" si="112"/>
        <v>8386.0680889824725</v>
      </c>
      <c r="R437" s="282"/>
      <c r="S437" s="282"/>
      <c r="T437" s="282"/>
      <c r="U437" s="282"/>
      <c r="V437" s="282"/>
      <c r="W437" s="282"/>
      <c r="X437" s="282"/>
      <c r="Y437" s="282"/>
      <c r="Z437" s="282"/>
      <c r="AA437" s="282"/>
    </row>
    <row r="438" spans="1:27" s="431" customFormat="1" outlineLevel="3" x14ac:dyDescent="0.25">
      <c r="A438" s="276">
        <f t="shared" si="110"/>
        <v>125</v>
      </c>
      <c r="B438" s="432">
        <f>$B$125</f>
        <v>0</v>
      </c>
      <c r="C438" s="559"/>
      <c r="D438" s="432"/>
      <c r="E438" s="432"/>
      <c r="F438" s="432"/>
      <c r="G438" s="1290">
        <f>(G125*$C$88*$C$86)</f>
        <v>0</v>
      </c>
      <c r="H438" s="1290">
        <f t="shared" si="112"/>
        <v>0</v>
      </c>
      <c r="I438" s="1290">
        <f t="shared" si="112"/>
        <v>0</v>
      </c>
      <c r="J438" s="1290">
        <f t="shared" si="112"/>
        <v>0</v>
      </c>
      <c r="K438" s="1290">
        <f t="shared" si="112"/>
        <v>0</v>
      </c>
      <c r="L438" s="1290">
        <f t="shared" si="112"/>
        <v>0</v>
      </c>
      <c r="M438" s="1290">
        <f t="shared" si="112"/>
        <v>0</v>
      </c>
      <c r="R438" s="282"/>
      <c r="S438" s="282"/>
      <c r="T438" s="282"/>
      <c r="U438" s="282"/>
      <c r="V438" s="282"/>
      <c r="W438" s="282"/>
      <c r="X438" s="282"/>
      <c r="Y438" s="282"/>
      <c r="Z438" s="282"/>
      <c r="AA438" s="282"/>
    </row>
    <row r="439" spans="1:27" s="431" customFormat="1" outlineLevel="3" x14ac:dyDescent="0.25">
      <c r="A439" s="276">
        <f t="shared" si="110"/>
        <v>126</v>
      </c>
      <c r="B439" s="432"/>
      <c r="C439" s="559"/>
      <c r="D439" s="432"/>
      <c r="E439" s="432"/>
      <c r="F439" s="432"/>
      <c r="G439" s="1290"/>
      <c r="H439" s="1290"/>
      <c r="I439" s="1290"/>
      <c r="J439" s="1290"/>
      <c r="K439" s="1290"/>
      <c r="L439" s="1290"/>
      <c r="M439" s="1290"/>
      <c r="R439" s="282"/>
      <c r="S439" s="282"/>
      <c r="T439" s="282"/>
      <c r="U439" s="282"/>
      <c r="V439" s="282"/>
      <c r="W439" s="282"/>
      <c r="X439" s="282"/>
      <c r="Y439" s="282"/>
      <c r="Z439" s="282"/>
      <c r="AA439" s="282"/>
    </row>
    <row r="440" spans="1:27" s="431" customFormat="1" outlineLevel="3" x14ac:dyDescent="0.25">
      <c r="A440" s="276">
        <f t="shared" si="110"/>
        <v>127</v>
      </c>
      <c r="B440" s="376"/>
      <c r="C440" s="559"/>
      <c r="D440" s="432"/>
      <c r="E440" s="432"/>
      <c r="F440" s="432"/>
      <c r="G440" s="1290"/>
      <c r="H440" s="1290"/>
      <c r="I440" s="1290"/>
      <c r="J440" s="1290"/>
      <c r="K440" s="1290"/>
      <c r="L440" s="1290"/>
      <c r="M440" s="1290"/>
      <c r="R440" s="282"/>
      <c r="S440" s="282"/>
      <c r="T440" s="282"/>
      <c r="U440" s="282"/>
      <c r="V440" s="282"/>
      <c r="W440" s="282"/>
      <c r="X440" s="282"/>
      <c r="Y440" s="282"/>
      <c r="Z440" s="282"/>
      <c r="AA440" s="282"/>
    </row>
    <row r="441" spans="1:27" s="431" customFormat="1" outlineLevel="3" x14ac:dyDescent="0.25">
      <c r="A441" s="276">
        <f t="shared" si="110"/>
        <v>128</v>
      </c>
      <c r="B441" s="701" t="str">
        <f>$B$128</f>
        <v>Total Administrators and Office Staff</v>
      </c>
      <c r="C441" s="702"/>
      <c r="D441" s="703"/>
      <c r="E441" s="703"/>
      <c r="F441" s="703"/>
      <c r="G441" s="1291">
        <f t="shared" ref="G441:M441" si="113">SUM(G428:G439)</f>
        <v>0</v>
      </c>
      <c r="H441" s="1291">
        <f t="shared" si="113"/>
        <v>14467.792000000001</v>
      </c>
      <c r="I441" s="1291">
        <f t="shared" si="113"/>
        <v>22352.738640000003</v>
      </c>
      <c r="J441" s="1291">
        <f t="shared" si="113"/>
        <v>30697.761065600003</v>
      </c>
      <c r="K441" s="1291">
        <f t="shared" si="113"/>
        <v>39523.367371960005</v>
      </c>
      <c r="L441" s="1291">
        <f t="shared" si="113"/>
        <v>40709.068393118803</v>
      </c>
      <c r="M441" s="1291">
        <f t="shared" si="113"/>
        <v>41930.340444912363</v>
      </c>
      <c r="R441" s="282"/>
      <c r="S441" s="282"/>
      <c r="T441" s="282"/>
      <c r="U441" s="282"/>
      <c r="V441" s="282"/>
      <c r="W441" s="282"/>
      <c r="X441" s="282"/>
      <c r="Y441" s="282"/>
      <c r="Z441" s="282"/>
      <c r="AA441" s="282"/>
    </row>
    <row r="442" spans="1:27" s="431" customFormat="1" outlineLevel="3" x14ac:dyDescent="0.25">
      <c r="A442" s="276">
        <f t="shared" si="110"/>
        <v>129</v>
      </c>
      <c r="B442" s="376"/>
      <c r="C442" s="559"/>
      <c r="D442" s="432"/>
      <c r="E442" s="432"/>
      <c r="F442" s="432"/>
      <c r="G442" s="1290"/>
      <c r="H442" s="1290"/>
      <c r="I442" s="1290"/>
      <c r="J442" s="1290"/>
      <c r="K442" s="1290"/>
      <c r="L442" s="1290"/>
      <c r="M442" s="1290"/>
      <c r="R442" s="282"/>
      <c r="S442" s="282"/>
      <c r="T442" s="282"/>
      <c r="U442" s="282"/>
      <c r="V442" s="282"/>
      <c r="W442" s="282"/>
      <c r="X442" s="282"/>
      <c r="Y442" s="282"/>
      <c r="Z442" s="282"/>
      <c r="AA442" s="282"/>
    </row>
    <row r="443" spans="1:27" s="431" customFormat="1" outlineLevel="3" x14ac:dyDescent="0.25">
      <c r="A443" s="276">
        <f t="shared" si="110"/>
        <v>130</v>
      </c>
      <c r="B443" s="376" t="str">
        <f>$B$130</f>
        <v>Special Education (SPED) Teachers</v>
      </c>
      <c r="C443" s="559"/>
      <c r="D443" s="432"/>
      <c r="E443" s="432"/>
      <c r="F443" s="432"/>
      <c r="G443" s="1290"/>
      <c r="H443" s="1290"/>
      <c r="I443" s="1290"/>
      <c r="J443" s="1290"/>
      <c r="K443" s="1290"/>
      <c r="L443" s="1290"/>
      <c r="M443" s="1290"/>
      <c r="R443" s="282"/>
      <c r="S443" s="282"/>
      <c r="T443" s="282"/>
      <c r="U443" s="282"/>
      <c r="V443" s="282"/>
      <c r="W443" s="282"/>
      <c r="X443" s="282"/>
      <c r="Y443" s="282"/>
      <c r="Z443" s="282"/>
      <c r="AA443" s="282"/>
    </row>
    <row r="444" spans="1:27" s="431" customFormat="1" outlineLevel="3" x14ac:dyDescent="0.25">
      <c r="A444" s="276">
        <f t="shared" ref="A444:A465" si="114">ROW(A131)</f>
        <v>131</v>
      </c>
      <c r="B444" s="1363" t="str">
        <f>$B$131</f>
        <v>Special Education (SPED) Teacher</v>
      </c>
      <c r="C444" s="702"/>
      <c r="D444" s="703"/>
      <c r="E444" s="703"/>
      <c r="F444" s="703"/>
      <c r="G444" s="1296">
        <f t="shared" ref="G444:G452" si="115">(G131*$C$88*$C$86)</f>
        <v>0</v>
      </c>
      <c r="H444" s="1296">
        <f t="shared" ref="H444:M444" si="116">(H131*$C$88*$C$86)*$C$46^(H$11-$G$11)</f>
        <v>7233.8960000000006</v>
      </c>
      <c r="I444" s="1296">
        <f t="shared" si="116"/>
        <v>7450.9128800000008</v>
      </c>
      <c r="J444" s="1296">
        <f t="shared" si="116"/>
        <v>7674.4402664000008</v>
      </c>
      <c r="K444" s="1296">
        <f t="shared" si="116"/>
        <v>7904.6734743920006</v>
      </c>
      <c r="L444" s="1296">
        <f t="shared" si="116"/>
        <v>8141.8136786237601</v>
      </c>
      <c r="M444" s="1296">
        <f t="shared" si="116"/>
        <v>8386.0680889824725</v>
      </c>
      <c r="R444" s="282"/>
      <c r="S444" s="282"/>
      <c r="T444" s="282"/>
      <c r="U444" s="282"/>
      <c r="V444" s="282"/>
      <c r="W444" s="282"/>
      <c r="X444" s="282"/>
      <c r="Y444" s="282"/>
      <c r="Z444" s="282"/>
      <c r="AA444" s="282"/>
    </row>
    <row r="445" spans="1:27" s="431" customFormat="1" outlineLevel="3" x14ac:dyDescent="0.25">
      <c r="A445" s="276">
        <f t="shared" si="114"/>
        <v>132</v>
      </c>
      <c r="B445" s="1369" t="str">
        <f>$B$132</f>
        <v>Special Education (SPED) Teacher</v>
      </c>
      <c r="C445" s="559"/>
      <c r="D445" s="432"/>
      <c r="E445" s="432"/>
      <c r="F445" s="432"/>
      <c r="G445" s="1290">
        <f t="shared" si="115"/>
        <v>0</v>
      </c>
      <c r="H445" s="1290">
        <f t="shared" ref="H445:M445" si="117">(H132*$C$88*$C$86)*$C$46^(H$11-$G$11)</f>
        <v>7233.8960000000006</v>
      </c>
      <c r="I445" s="1290">
        <f t="shared" si="117"/>
        <v>7450.9128800000008</v>
      </c>
      <c r="J445" s="1290">
        <f t="shared" si="117"/>
        <v>7674.4402664000008</v>
      </c>
      <c r="K445" s="1290">
        <f t="shared" si="117"/>
        <v>7904.6734743920006</v>
      </c>
      <c r="L445" s="1290">
        <f t="shared" si="117"/>
        <v>8141.8136786237601</v>
      </c>
      <c r="M445" s="1290">
        <f t="shared" si="117"/>
        <v>8386.0680889824725</v>
      </c>
      <c r="R445" s="282"/>
      <c r="S445" s="282"/>
      <c r="T445" s="282"/>
      <c r="U445" s="282"/>
      <c r="V445" s="282"/>
      <c r="W445" s="282"/>
      <c r="X445" s="282"/>
      <c r="Y445" s="282"/>
      <c r="Z445" s="282"/>
      <c r="AA445" s="282"/>
    </row>
    <row r="446" spans="1:27" s="431" customFormat="1" outlineLevel="3" x14ac:dyDescent="0.25">
      <c r="A446" s="276">
        <f t="shared" si="114"/>
        <v>133</v>
      </c>
      <c r="B446" s="1369" t="str">
        <f>$B$133</f>
        <v>Special Education (SPED) Teacher</v>
      </c>
      <c r="C446" s="559"/>
      <c r="D446" s="432"/>
      <c r="E446" s="432"/>
      <c r="F446" s="432"/>
      <c r="G446" s="1290">
        <f t="shared" si="115"/>
        <v>0</v>
      </c>
      <c r="H446" s="1290">
        <f t="shared" ref="H446:M446" si="118">(H133*$C$88*$C$86)*$C$46^(H$11-$G$11)</f>
        <v>0</v>
      </c>
      <c r="I446" s="1290">
        <f t="shared" si="118"/>
        <v>7450.9128800000008</v>
      </c>
      <c r="J446" s="1290">
        <f t="shared" si="118"/>
        <v>7674.4402664000008</v>
      </c>
      <c r="K446" s="1290">
        <f t="shared" si="118"/>
        <v>7904.6734743920006</v>
      </c>
      <c r="L446" s="1290">
        <f t="shared" si="118"/>
        <v>8141.8136786237601</v>
      </c>
      <c r="M446" s="1290">
        <f t="shared" si="118"/>
        <v>8386.0680889824725</v>
      </c>
      <c r="R446" s="282"/>
      <c r="S446" s="282"/>
      <c r="T446" s="282"/>
      <c r="U446" s="282"/>
      <c r="V446" s="282"/>
      <c r="W446" s="282"/>
      <c r="X446" s="282"/>
      <c r="Y446" s="282"/>
      <c r="Z446" s="282"/>
      <c r="AA446" s="282"/>
    </row>
    <row r="447" spans="1:27" s="431" customFormat="1" outlineLevel="3" x14ac:dyDescent="0.25">
      <c r="A447" s="276">
        <f t="shared" si="114"/>
        <v>134</v>
      </c>
      <c r="B447" s="1369" t="str">
        <f>$B$134</f>
        <v>Special Education (SPED) Teacher</v>
      </c>
      <c r="C447" s="559"/>
      <c r="D447" s="432"/>
      <c r="E447" s="432"/>
      <c r="F447" s="432"/>
      <c r="G447" s="1290">
        <f t="shared" si="115"/>
        <v>0</v>
      </c>
      <c r="H447" s="1290">
        <f t="shared" ref="H447:M447" si="119">(H134*$C$88*$C$86)*$C$46^(H$11-$G$11)</f>
        <v>0</v>
      </c>
      <c r="I447" s="1290">
        <f t="shared" si="119"/>
        <v>0</v>
      </c>
      <c r="J447" s="1290">
        <f t="shared" si="119"/>
        <v>7674.4402664000008</v>
      </c>
      <c r="K447" s="1290">
        <f t="shared" si="119"/>
        <v>7904.6734743920006</v>
      </c>
      <c r="L447" s="1290">
        <f t="shared" si="119"/>
        <v>8141.8136786237601</v>
      </c>
      <c r="M447" s="1290">
        <f t="shared" si="119"/>
        <v>8386.0680889824725</v>
      </c>
      <c r="R447" s="282"/>
      <c r="S447" s="282"/>
      <c r="T447" s="282"/>
      <c r="U447" s="282"/>
      <c r="V447" s="282"/>
      <c r="W447" s="282"/>
      <c r="X447" s="282"/>
      <c r="Y447" s="282"/>
      <c r="Z447" s="282"/>
      <c r="AA447" s="282"/>
    </row>
    <row r="448" spans="1:27" s="431" customFormat="1" outlineLevel="3" x14ac:dyDescent="0.25">
      <c r="A448" s="276">
        <f t="shared" si="114"/>
        <v>135</v>
      </c>
      <c r="B448" s="1369" t="str">
        <f>$B$135</f>
        <v>Special Education (SPED) Teacher</v>
      </c>
      <c r="C448" s="559"/>
      <c r="D448" s="432"/>
      <c r="E448" s="432"/>
      <c r="F448" s="432"/>
      <c r="G448" s="1290">
        <f t="shared" si="115"/>
        <v>0</v>
      </c>
      <c r="H448" s="1290">
        <f t="shared" ref="H448:M448" si="120">(H135*$C$88*$C$86)*$C$46^(H$11-$G$11)</f>
        <v>0</v>
      </c>
      <c r="I448" s="1290">
        <f t="shared" si="120"/>
        <v>0</v>
      </c>
      <c r="J448" s="1290">
        <f t="shared" si="120"/>
        <v>0</v>
      </c>
      <c r="K448" s="1290">
        <f t="shared" si="120"/>
        <v>7904.6734743920006</v>
      </c>
      <c r="L448" s="1290">
        <f t="shared" si="120"/>
        <v>8141.8136786237601</v>
      </c>
      <c r="M448" s="1290">
        <f t="shared" si="120"/>
        <v>8386.0680889824725</v>
      </c>
      <c r="R448" s="282"/>
      <c r="S448" s="282"/>
      <c r="T448" s="282"/>
      <c r="U448" s="282"/>
      <c r="V448" s="282"/>
      <c r="W448" s="282"/>
      <c r="X448" s="282"/>
      <c r="Y448" s="282"/>
      <c r="Z448" s="282"/>
      <c r="AA448" s="282"/>
    </row>
    <row r="449" spans="1:27" s="431" customFormat="1" outlineLevel="3" x14ac:dyDescent="0.25">
      <c r="A449" s="276">
        <f t="shared" si="114"/>
        <v>136</v>
      </c>
      <c r="B449" s="1369" t="str">
        <f>$B$136</f>
        <v>Special Education (SPED) Teacher</v>
      </c>
      <c r="C449" s="559"/>
      <c r="D449" s="432"/>
      <c r="E449" s="432"/>
      <c r="F449" s="432"/>
      <c r="G449" s="1290">
        <f t="shared" si="115"/>
        <v>0</v>
      </c>
      <c r="H449" s="1290">
        <f t="shared" ref="H449:M449" si="121">(H136*$C$88*$C$86)*$C$46^(H$11-$G$11)</f>
        <v>0</v>
      </c>
      <c r="I449" s="1290">
        <f t="shared" si="121"/>
        <v>0</v>
      </c>
      <c r="J449" s="1290">
        <f t="shared" si="121"/>
        <v>0</v>
      </c>
      <c r="K449" s="1290">
        <f t="shared" si="121"/>
        <v>0</v>
      </c>
      <c r="L449" s="1290">
        <f t="shared" si="121"/>
        <v>8141.8136786237601</v>
      </c>
      <c r="M449" s="1290">
        <f t="shared" si="121"/>
        <v>8386.0680889824725</v>
      </c>
      <c r="R449" s="282"/>
      <c r="S449" s="282"/>
      <c r="T449" s="282"/>
      <c r="U449" s="282"/>
      <c r="V449" s="282"/>
      <c r="W449" s="282"/>
      <c r="X449" s="282"/>
      <c r="Y449" s="282"/>
      <c r="Z449" s="282"/>
      <c r="AA449" s="282"/>
    </row>
    <row r="450" spans="1:27" s="431" customFormat="1" outlineLevel="3" x14ac:dyDescent="0.25">
      <c r="A450" s="276">
        <f t="shared" si="114"/>
        <v>137</v>
      </c>
      <c r="B450" s="1369" t="str">
        <f>$B137</f>
        <v>Special Education (SPED) Teacher</v>
      </c>
      <c r="C450" s="559"/>
      <c r="D450" s="432"/>
      <c r="E450" s="432"/>
      <c r="F450" s="432"/>
      <c r="G450" s="1290">
        <f t="shared" si="115"/>
        <v>0</v>
      </c>
      <c r="H450" s="1290">
        <f t="shared" ref="H450:M450" si="122">(H137*$C$88*$C$86)*$C$46^(H$11-$G$11)</f>
        <v>0</v>
      </c>
      <c r="I450" s="1290">
        <f t="shared" si="122"/>
        <v>0</v>
      </c>
      <c r="J450" s="1290">
        <f t="shared" si="122"/>
        <v>0</v>
      </c>
      <c r="K450" s="1290">
        <f t="shared" si="122"/>
        <v>0</v>
      </c>
      <c r="L450" s="1290">
        <f t="shared" si="122"/>
        <v>0</v>
      </c>
      <c r="M450" s="1290">
        <f t="shared" si="122"/>
        <v>8386.0680889824725</v>
      </c>
      <c r="R450" s="282"/>
      <c r="S450" s="282"/>
      <c r="T450" s="282"/>
      <c r="U450" s="282"/>
      <c r="V450" s="282"/>
      <c r="W450" s="282"/>
      <c r="X450" s="282"/>
      <c r="Y450" s="282"/>
      <c r="Z450" s="282"/>
      <c r="AA450" s="282"/>
    </row>
    <row r="451" spans="1:27" s="431" customFormat="1" outlineLevel="3" x14ac:dyDescent="0.25">
      <c r="A451" s="276">
        <f t="shared" si="114"/>
        <v>138</v>
      </c>
      <c r="B451" s="1369" t="str">
        <f>$B138</f>
        <v>Teacher Assistant/Aide</v>
      </c>
      <c r="C451" s="559"/>
      <c r="D451" s="432"/>
      <c r="E451" s="432"/>
      <c r="F451" s="432"/>
      <c r="G451" s="1290">
        <f t="shared" si="115"/>
        <v>0</v>
      </c>
      <c r="H451" s="1290">
        <f t="shared" ref="H451:M451" si="123">(H138*$C$88*$C$86)*$C$46^(H$11-$G$11)</f>
        <v>0</v>
      </c>
      <c r="I451" s="1290">
        <f t="shared" si="123"/>
        <v>0</v>
      </c>
      <c r="J451" s="1290">
        <f t="shared" si="123"/>
        <v>0</v>
      </c>
      <c r="K451" s="1290">
        <f t="shared" si="123"/>
        <v>0</v>
      </c>
      <c r="L451" s="1290">
        <f t="shared" si="123"/>
        <v>8141.8136786237601</v>
      </c>
      <c r="M451" s="1290">
        <f t="shared" si="123"/>
        <v>8386.0680889824725</v>
      </c>
      <c r="R451" s="282"/>
      <c r="S451" s="282"/>
      <c r="T451" s="282"/>
      <c r="U451" s="282"/>
      <c r="V451" s="282"/>
      <c r="W451" s="282"/>
      <c r="X451" s="282"/>
      <c r="Y451" s="282"/>
      <c r="Z451" s="282"/>
      <c r="AA451" s="282"/>
    </row>
    <row r="452" spans="1:27" s="431" customFormat="1" outlineLevel="3" x14ac:dyDescent="0.25">
      <c r="A452" s="276">
        <f t="shared" si="114"/>
        <v>139</v>
      </c>
      <c r="B452" s="1369" t="str">
        <f>$B139</f>
        <v>Teacher Assistant/Aide</v>
      </c>
      <c r="C452" s="559"/>
      <c r="D452" s="432"/>
      <c r="E452" s="432"/>
      <c r="F452" s="432"/>
      <c r="G452" s="1290">
        <f t="shared" si="115"/>
        <v>0</v>
      </c>
      <c r="H452" s="1290">
        <f t="shared" ref="H452:M452" si="124">(H139*$C$88*$C$86)*$C$46^(H$11-$G$11)</f>
        <v>0</v>
      </c>
      <c r="I452" s="1290">
        <f t="shared" si="124"/>
        <v>0</v>
      </c>
      <c r="J452" s="1290">
        <f t="shared" si="124"/>
        <v>0</v>
      </c>
      <c r="K452" s="1290">
        <f t="shared" si="124"/>
        <v>0</v>
      </c>
      <c r="L452" s="1290">
        <f t="shared" si="124"/>
        <v>0</v>
      </c>
      <c r="M452" s="1290">
        <f t="shared" si="124"/>
        <v>8386.0680889824725</v>
      </c>
      <c r="R452" s="282"/>
      <c r="S452" s="282"/>
      <c r="T452" s="282"/>
      <c r="U452" s="282"/>
      <c r="V452" s="282"/>
      <c r="W452" s="282"/>
      <c r="X452" s="282"/>
      <c r="Y452" s="282"/>
      <c r="Z452" s="282"/>
      <c r="AA452" s="282"/>
    </row>
    <row r="453" spans="1:27" s="431" customFormat="1" outlineLevel="3" x14ac:dyDescent="0.25">
      <c r="A453" s="276">
        <f t="shared" si="114"/>
        <v>140</v>
      </c>
      <c r="B453" s="701" t="str">
        <f>$B140</f>
        <v xml:space="preserve">Total Special EducationTeachers </v>
      </c>
      <c r="C453" s="702"/>
      <c r="D453" s="703"/>
      <c r="E453" s="703"/>
      <c r="F453" s="703"/>
      <c r="G453" s="1296">
        <f t="shared" ref="G453:M453" si="125">SUM(G444:G452)</f>
        <v>0</v>
      </c>
      <c r="H453" s="1296">
        <f t="shared" si="125"/>
        <v>14467.792000000001</v>
      </c>
      <c r="I453" s="1296">
        <f t="shared" si="125"/>
        <v>22352.738640000003</v>
      </c>
      <c r="J453" s="1296">
        <f t="shared" si="125"/>
        <v>30697.761065600003</v>
      </c>
      <c r="K453" s="1296">
        <f t="shared" si="125"/>
        <v>39523.367371960005</v>
      </c>
      <c r="L453" s="1296">
        <f t="shared" si="125"/>
        <v>56992.695750366322</v>
      </c>
      <c r="M453" s="1296">
        <f t="shared" si="125"/>
        <v>75474.612800842253</v>
      </c>
      <c r="R453" s="282"/>
      <c r="S453" s="282"/>
      <c r="T453" s="282"/>
      <c r="U453" s="282"/>
      <c r="V453" s="282"/>
      <c r="W453" s="282"/>
      <c r="X453" s="282"/>
      <c r="Y453" s="282"/>
      <c r="Z453" s="282"/>
      <c r="AA453" s="282"/>
    </row>
    <row r="454" spans="1:27" s="431" customFormat="1" outlineLevel="3" x14ac:dyDescent="0.25">
      <c r="A454" s="276">
        <f t="shared" si="114"/>
        <v>141</v>
      </c>
      <c r="B454" s="432"/>
      <c r="C454" s="559"/>
      <c r="D454" s="432"/>
      <c r="E454" s="432"/>
      <c r="F454" s="432"/>
      <c r="G454" s="1290"/>
      <c r="H454" s="1290"/>
      <c r="I454" s="1290"/>
      <c r="J454" s="1290"/>
      <c r="K454" s="1290"/>
      <c r="L454" s="1290"/>
      <c r="M454" s="1290"/>
      <c r="R454" s="282"/>
      <c r="S454" s="282"/>
      <c r="T454" s="282"/>
      <c r="U454" s="282"/>
      <c r="V454" s="282"/>
      <c r="W454" s="282"/>
      <c r="X454" s="282"/>
      <c r="Y454" s="282"/>
      <c r="Z454" s="282"/>
      <c r="AA454" s="282"/>
    </row>
    <row r="455" spans="1:27" s="431" customFormat="1" outlineLevel="3" x14ac:dyDescent="0.25">
      <c r="A455" s="276">
        <f t="shared" si="114"/>
        <v>142</v>
      </c>
      <c r="B455" s="376" t="str">
        <f t="shared" ref="B455:B463" si="126">$B142</f>
        <v>English Language Learner (ELL) Teachers</v>
      </c>
      <c r="C455" s="559"/>
      <c r="D455" s="432"/>
      <c r="E455" s="432"/>
      <c r="F455" s="432"/>
      <c r="G455" s="1290"/>
      <c r="H455" s="1290"/>
      <c r="I455" s="1290"/>
      <c r="J455" s="1290"/>
      <c r="K455" s="1290"/>
      <c r="L455" s="1290"/>
      <c r="M455" s="1290"/>
      <c r="R455" s="282"/>
      <c r="S455" s="282"/>
      <c r="T455" s="282"/>
      <c r="U455" s="282"/>
      <c r="V455" s="282"/>
      <c r="W455" s="282"/>
      <c r="X455" s="282"/>
      <c r="Y455" s="282"/>
      <c r="Z455" s="282"/>
      <c r="AA455" s="282"/>
    </row>
    <row r="456" spans="1:27" s="431" customFormat="1" outlineLevel="3" x14ac:dyDescent="0.25">
      <c r="A456" s="276">
        <f t="shared" si="114"/>
        <v>143</v>
      </c>
      <c r="B456" s="1363" t="str">
        <f t="shared" si="126"/>
        <v>ELL Coordinator</v>
      </c>
      <c r="C456" s="702"/>
      <c r="D456" s="703"/>
      <c r="E456" s="703"/>
      <c r="F456" s="703"/>
      <c r="G456" s="1296">
        <f t="shared" ref="G456:G463" si="127">(G143*$C$88*$C$86)</f>
        <v>0</v>
      </c>
      <c r="H456" s="1296">
        <f t="shared" ref="H456:M456" si="128">(H143*$C$88*$C$86)*$C$46^(H$11-$G$11)</f>
        <v>7233.8960000000006</v>
      </c>
      <c r="I456" s="1296">
        <f t="shared" si="128"/>
        <v>7450.9128800000008</v>
      </c>
      <c r="J456" s="1296">
        <f t="shared" si="128"/>
        <v>7674.4402664000008</v>
      </c>
      <c r="K456" s="1296">
        <f t="shared" si="128"/>
        <v>7904.6734743920006</v>
      </c>
      <c r="L456" s="1296">
        <f t="shared" si="128"/>
        <v>8141.8136786237601</v>
      </c>
      <c r="M456" s="1296">
        <f t="shared" si="128"/>
        <v>8386.0680889824725</v>
      </c>
      <c r="R456" s="282"/>
      <c r="S456" s="282"/>
      <c r="T456" s="282"/>
      <c r="U456" s="282"/>
      <c r="V456" s="282"/>
      <c r="W456" s="282"/>
      <c r="X456" s="282"/>
      <c r="Y456" s="282"/>
      <c r="Z456" s="282"/>
      <c r="AA456" s="282"/>
    </row>
    <row r="457" spans="1:27" s="431" customFormat="1" outlineLevel="3" x14ac:dyDescent="0.25">
      <c r="A457" s="276">
        <f t="shared" si="114"/>
        <v>144</v>
      </c>
      <c r="B457" s="1369" t="str">
        <f t="shared" si="126"/>
        <v>Teacher Assistant/Aide</v>
      </c>
      <c r="C457" s="559"/>
      <c r="D457" s="432"/>
      <c r="E457" s="432"/>
      <c r="F457" s="432"/>
      <c r="G457" s="1290">
        <f t="shared" si="127"/>
        <v>0</v>
      </c>
      <c r="H457" s="1290">
        <f t="shared" ref="H457:M457" si="129">(H144*$C$88*$C$86)*$C$46^(H$11-$G$11)</f>
        <v>7233.8960000000006</v>
      </c>
      <c r="I457" s="1290">
        <f t="shared" si="129"/>
        <v>7450.9128800000008</v>
      </c>
      <c r="J457" s="1290">
        <f t="shared" si="129"/>
        <v>7674.4402664000008</v>
      </c>
      <c r="K457" s="1290">
        <f t="shared" si="129"/>
        <v>7904.6734743920006</v>
      </c>
      <c r="L457" s="1290">
        <f t="shared" si="129"/>
        <v>8141.8136786237601</v>
      </c>
      <c r="M457" s="1290">
        <f t="shared" si="129"/>
        <v>8386.0680889824725</v>
      </c>
      <c r="R457" s="282"/>
      <c r="S457" s="282"/>
      <c r="T457" s="282"/>
      <c r="U457" s="282"/>
      <c r="V457" s="282"/>
      <c r="W457" s="282"/>
      <c r="X457" s="282"/>
      <c r="Y457" s="282"/>
      <c r="Z457" s="282"/>
      <c r="AA457" s="282"/>
    </row>
    <row r="458" spans="1:27" s="431" customFormat="1" outlineLevel="3" x14ac:dyDescent="0.25">
      <c r="A458" s="276">
        <f t="shared" si="114"/>
        <v>145</v>
      </c>
      <c r="B458" s="1369" t="str">
        <f t="shared" si="126"/>
        <v>Teacher Assistant/Aide</v>
      </c>
      <c r="C458" s="559"/>
      <c r="D458" s="432"/>
      <c r="E458" s="432"/>
      <c r="F458" s="432"/>
      <c r="G458" s="1290">
        <f t="shared" si="127"/>
        <v>0</v>
      </c>
      <c r="H458" s="1290">
        <f t="shared" ref="H458:M458" si="130">(H145*$C$88*$C$86)*$C$46^(H$11-$G$11)</f>
        <v>0</v>
      </c>
      <c r="I458" s="1290">
        <f t="shared" si="130"/>
        <v>7450.9128800000008</v>
      </c>
      <c r="J458" s="1290">
        <f t="shared" si="130"/>
        <v>7674.4402664000008</v>
      </c>
      <c r="K458" s="1290">
        <f t="shared" si="130"/>
        <v>7904.6734743920006</v>
      </c>
      <c r="L458" s="1290">
        <f t="shared" si="130"/>
        <v>8141.8136786237601</v>
      </c>
      <c r="M458" s="1290">
        <f t="shared" si="130"/>
        <v>8386.0680889824725</v>
      </c>
      <c r="R458" s="282"/>
      <c r="S458" s="282"/>
      <c r="T458" s="282"/>
      <c r="U458" s="282"/>
      <c r="V458" s="282"/>
      <c r="W458" s="282"/>
      <c r="X458" s="282"/>
      <c r="Y458" s="282"/>
      <c r="Z458" s="282"/>
      <c r="AA458" s="282"/>
    </row>
    <row r="459" spans="1:27" s="431" customFormat="1" outlineLevel="3" x14ac:dyDescent="0.25">
      <c r="A459" s="276">
        <f t="shared" si="114"/>
        <v>146</v>
      </c>
      <c r="B459" s="1369" t="str">
        <f t="shared" si="126"/>
        <v>Teacher Assistant/Aide</v>
      </c>
      <c r="C459" s="559"/>
      <c r="D459" s="432"/>
      <c r="E459" s="432"/>
      <c r="F459" s="432"/>
      <c r="G459" s="1290">
        <f t="shared" si="127"/>
        <v>0</v>
      </c>
      <c r="H459" s="1290">
        <f t="shared" ref="H459:M459" si="131">(H146*$C$88*$C$86)*$C$46^(H$11-$G$11)</f>
        <v>0</v>
      </c>
      <c r="I459" s="1290">
        <f t="shared" si="131"/>
        <v>7450.9128800000008</v>
      </c>
      <c r="J459" s="1290">
        <f t="shared" si="131"/>
        <v>7674.4402664000008</v>
      </c>
      <c r="K459" s="1290">
        <f t="shared" si="131"/>
        <v>7904.6734743920006</v>
      </c>
      <c r="L459" s="1290">
        <f t="shared" si="131"/>
        <v>8141.8136786237601</v>
      </c>
      <c r="M459" s="1290">
        <f t="shared" si="131"/>
        <v>8386.0680889824725</v>
      </c>
      <c r="R459" s="282"/>
      <c r="S459" s="282"/>
      <c r="T459" s="282"/>
      <c r="U459" s="282"/>
      <c r="V459" s="282"/>
      <c r="W459" s="282"/>
      <c r="X459" s="282"/>
      <c r="Y459" s="282"/>
      <c r="Z459" s="282"/>
      <c r="AA459" s="282"/>
    </row>
    <row r="460" spans="1:27" s="431" customFormat="1" outlineLevel="3" x14ac:dyDescent="0.25">
      <c r="A460" s="276">
        <f t="shared" si="114"/>
        <v>147</v>
      </c>
      <c r="B460" s="1369" t="str">
        <f t="shared" si="126"/>
        <v>Teacher Assistant/Aide</v>
      </c>
      <c r="C460" s="559"/>
      <c r="D460" s="432"/>
      <c r="E460" s="432"/>
      <c r="F460" s="432"/>
      <c r="G460" s="1290">
        <f t="shared" si="127"/>
        <v>0</v>
      </c>
      <c r="H460" s="1290">
        <f t="shared" ref="H460:M460" si="132">(H147*$C$88*$C$86)*$C$46^(H$11-$G$11)</f>
        <v>0</v>
      </c>
      <c r="I460" s="1290">
        <f t="shared" si="132"/>
        <v>0</v>
      </c>
      <c r="J460" s="1290">
        <f t="shared" si="132"/>
        <v>7674.4402664000008</v>
      </c>
      <c r="K460" s="1290">
        <f t="shared" si="132"/>
        <v>7904.6734743920006</v>
      </c>
      <c r="L460" s="1290">
        <f t="shared" si="132"/>
        <v>8141.8136786237601</v>
      </c>
      <c r="M460" s="1290">
        <f t="shared" si="132"/>
        <v>8386.0680889824725</v>
      </c>
      <c r="R460" s="282"/>
      <c r="S460" s="282"/>
      <c r="T460" s="282"/>
      <c r="U460" s="282"/>
      <c r="V460" s="282"/>
      <c r="W460" s="282"/>
      <c r="X460" s="282"/>
      <c r="Y460" s="282"/>
      <c r="Z460" s="282"/>
      <c r="AA460" s="282"/>
    </row>
    <row r="461" spans="1:27" s="431" customFormat="1" outlineLevel="3" x14ac:dyDescent="0.25">
      <c r="A461" s="276">
        <f t="shared" si="114"/>
        <v>148</v>
      </c>
      <c r="B461" s="1369" t="str">
        <f t="shared" si="126"/>
        <v>Teacher Assistant/Aide</v>
      </c>
      <c r="C461" s="559"/>
      <c r="D461" s="432"/>
      <c r="E461" s="432"/>
      <c r="F461" s="432"/>
      <c r="G461" s="1290">
        <f t="shared" si="127"/>
        <v>0</v>
      </c>
      <c r="H461" s="1290">
        <f t="shared" ref="H461:M461" si="133">(H148*$C$88*$C$86)*$C$46^(H$11-$G$11)</f>
        <v>0</v>
      </c>
      <c r="I461" s="1290">
        <f t="shared" si="133"/>
        <v>0</v>
      </c>
      <c r="J461" s="1290">
        <f t="shared" si="133"/>
        <v>7674.4402664000008</v>
      </c>
      <c r="K461" s="1290">
        <f t="shared" si="133"/>
        <v>7904.6734743920006</v>
      </c>
      <c r="L461" s="1290">
        <f t="shared" si="133"/>
        <v>8141.8136786237601</v>
      </c>
      <c r="M461" s="1290">
        <f t="shared" si="133"/>
        <v>8386.0680889824725</v>
      </c>
      <c r="R461" s="282"/>
      <c r="S461" s="282"/>
      <c r="T461" s="282"/>
      <c r="U461" s="282"/>
      <c r="V461" s="282"/>
      <c r="W461" s="282"/>
      <c r="X461" s="282"/>
      <c r="Y461" s="282"/>
      <c r="Z461" s="282"/>
      <c r="AA461" s="282"/>
    </row>
    <row r="462" spans="1:27" s="431" customFormat="1" outlineLevel="3" x14ac:dyDescent="0.25">
      <c r="A462" s="276">
        <f t="shared" si="114"/>
        <v>149</v>
      </c>
      <c r="B462" s="1369" t="str">
        <f t="shared" si="126"/>
        <v>Teacher Assistant/Aide</v>
      </c>
      <c r="C462" s="559"/>
      <c r="D462" s="432"/>
      <c r="E462" s="432"/>
      <c r="F462" s="432"/>
      <c r="G462" s="1290">
        <f t="shared" si="127"/>
        <v>0</v>
      </c>
      <c r="H462" s="1290">
        <f t="shared" ref="H462:M462" si="134">(H149*$C$88*$C$86)*$C$46^(H$11-$G$11)</f>
        <v>0</v>
      </c>
      <c r="I462" s="1290">
        <f t="shared" si="134"/>
        <v>0</v>
      </c>
      <c r="J462" s="1290">
        <f t="shared" si="134"/>
        <v>7674.4402664000008</v>
      </c>
      <c r="K462" s="1290">
        <f t="shared" si="134"/>
        <v>7904.6734743920006</v>
      </c>
      <c r="L462" s="1290">
        <f t="shared" si="134"/>
        <v>8141.8136786237601</v>
      </c>
      <c r="M462" s="1290">
        <f t="shared" si="134"/>
        <v>8386.0680889824725</v>
      </c>
      <c r="R462" s="282"/>
      <c r="S462" s="282"/>
      <c r="T462" s="282"/>
      <c r="U462" s="282"/>
      <c r="V462" s="282"/>
      <c r="W462" s="282"/>
      <c r="X462" s="282"/>
      <c r="Y462" s="282"/>
      <c r="Z462" s="282"/>
      <c r="AA462" s="282"/>
    </row>
    <row r="463" spans="1:27" s="431" customFormat="1" outlineLevel="3" x14ac:dyDescent="0.25">
      <c r="A463" s="276">
        <f t="shared" si="114"/>
        <v>150</v>
      </c>
      <c r="B463" s="1369" t="str">
        <f t="shared" si="126"/>
        <v>Teacher Assistant/Aide</v>
      </c>
      <c r="C463" s="559"/>
      <c r="D463" s="432"/>
      <c r="E463" s="432"/>
      <c r="F463" s="432"/>
      <c r="G463" s="1290">
        <f t="shared" si="127"/>
        <v>0</v>
      </c>
      <c r="H463" s="1290">
        <f t="shared" ref="H463:M463" si="135">(H150*$C$88*$C$86)*$C$46^(H$11-$G$11)</f>
        <v>0</v>
      </c>
      <c r="I463" s="1290">
        <f t="shared" si="135"/>
        <v>0</v>
      </c>
      <c r="J463" s="1290">
        <f t="shared" si="135"/>
        <v>0</v>
      </c>
      <c r="K463" s="1290">
        <f t="shared" si="135"/>
        <v>7904.6734743920006</v>
      </c>
      <c r="L463" s="1290">
        <f t="shared" si="135"/>
        <v>8141.8136786237601</v>
      </c>
      <c r="M463" s="1290">
        <f t="shared" si="135"/>
        <v>8386.0680889824725</v>
      </c>
      <c r="R463" s="282"/>
      <c r="S463" s="282"/>
      <c r="T463" s="282"/>
      <c r="U463" s="282"/>
      <c r="V463" s="282"/>
      <c r="W463" s="282"/>
      <c r="X463" s="282"/>
      <c r="Y463" s="282"/>
      <c r="Z463" s="282"/>
      <c r="AA463" s="282"/>
    </row>
    <row r="464" spans="1:27" s="431" customFormat="1" outlineLevel="3" x14ac:dyDescent="0.25">
      <c r="A464" s="276">
        <f t="shared" si="114"/>
        <v>151</v>
      </c>
      <c r="B464" s="376"/>
      <c r="C464" s="559"/>
      <c r="D464" s="432"/>
      <c r="E464" s="432"/>
      <c r="F464" s="432"/>
      <c r="G464" s="1290"/>
      <c r="H464" s="1290"/>
      <c r="I464" s="1290"/>
      <c r="J464" s="1290"/>
      <c r="K464" s="1290"/>
      <c r="L464" s="1290"/>
      <c r="M464" s="1290"/>
      <c r="R464" s="282"/>
      <c r="S464" s="282"/>
      <c r="T464" s="282"/>
      <c r="U464" s="282"/>
      <c r="V464" s="282"/>
      <c r="W464" s="282"/>
      <c r="X464" s="282"/>
      <c r="Y464" s="282"/>
      <c r="Z464" s="282"/>
      <c r="AA464" s="282"/>
    </row>
    <row r="465" spans="1:27" s="431" customFormat="1" outlineLevel="3" x14ac:dyDescent="0.25">
      <c r="A465" s="276">
        <f t="shared" si="114"/>
        <v>152</v>
      </c>
      <c r="B465" s="701" t="str">
        <f>$B152</f>
        <v>Total ELL Teachers</v>
      </c>
      <c r="C465" s="702"/>
      <c r="D465" s="703"/>
      <c r="E465" s="703"/>
      <c r="F465" s="703"/>
      <c r="G465" s="1291">
        <f t="shared" ref="G465:M465" si="136">SUM(G444:G463)</f>
        <v>0</v>
      </c>
      <c r="H465" s="1291">
        <f t="shared" si="136"/>
        <v>43403.376000000004</v>
      </c>
      <c r="I465" s="1291">
        <f t="shared" si="136"/>
        <v>74509.12880000002</v>
      </c>
      <c r="J465" s="1291">
        <f t="shared" si="136"/>
        <v>115116.60399599996</v>
      </c>
      <c r="K465" s="1291">
        <f t="shared" si="136"/>
        <v>142284.122539056</v>
      </c>
      <c r="L465" s="1291">
        <f t="shared" si="136"/>
        <v>179119.90092972273</v>
      </c>
      <c r="M465" s="1291">
        <f t="shared" si="136"/>
        <v>218037.77031354437</v>
      </c>
      <c r="R465" s="282"/>
      <c r="S465" s="282"/>
      <c r="T465" s="282"/>
      <c r="U465" s="282"/>
      <c r="V465" s="282"/>
      <c r="W465" s="282"/>
      <c r="X465" s="282"/>
      <c r="Y465" s="282"/>
      <c r="Z465" s="282"/>
      <c r="AA465" s="282"/>
    </row>
    <row r="466" spans="1:27" s="431" customFormat="1" outlineLevel="3" x14ac:dyDescent="0.25">
      <c r="A466" s="276">
        <f>ROW(A156)</f>
        <v>156</v>
      </c>
      <c r="B466" s="432"/>
      <c r="C466" s="559"/>
      <c r="D466" s="432"/>
      <c r="E466" s="432"/>
      <c r="F466" s="432"/>
      <c r="G466" s="1290"/>
      <c r="H466" s="1290"/>
      <c r="I466" s="1290"/>
      <c r="J466" s="1290"/>
      <c r="K466" s="1290"/>
      <c r="L466" s="1290"/>
      <c r="M466" s="1290"/>
      <c r="R466" s="282"/>
      <c r="S466" s="282"/>
      <c r="T466" s="282"/>
      <c r="U466" s="282"/>
      <c r="V466" s="282"/>
      <c r="W466" s="282"/>
      <c r="X466" s="282"/>
      <c r="Y466" s="282"/>
      <c r="Z466" s="282"/>
      <c r="AA466" s="282"/>
    </row>
    <row r="467" spans="1:27" s="431" customFormat="1" outlineLevel="3" x14ac:dyDescent="0.25">
      <c r="A467" s="276">
        <f>ROW(A157)</f>
        <v>157</v>
      </c>
      <c r="B467" s="432"/>
      <c r="C467" s="559"/>
      <c r="D467" s="432"/>
      <c r="E467" s="432"/>
      <c r="F467" s="432"/>
      <c r="G467" s="1290"/>
      <c r="H467" s="1290"/>
      <c r="I467" s="1290"/>
      <c r="J467" s="1290"/>
      <c r="K467" s="1290"/>
      <c r="L467" s="1290"/>
      <c r="M467" s="1290"/>
      <c r="R467" s="282"/>
      <c r="S467" s="282"/>
      <c r="T467" s="282"/>
      <c r="U467" s="282"/>
      <c r="V467" s="282"/>
      <c r="W467" s="282"/>
      <c r="X467" s="282"/>
      <c r="Y467" s="282"/>
      <c r="Z467" s="282"/>
      <c r="AA467" s="282"/>
    </row>
    <row r="468" spans="1:27" s="428" customFormat="1" outlineLevel="3" x14ac:dyDescent="0.25">
      <c r="A468" s="276">
        <f>ROW(A172)</f>
        <v>172</v>
      </c>
      <c r="B468" s="758" t="str">
        <f>$B172</f>
        <v>Kindergarten Teacher</v>
      </c>
      <c r="C468" s="560"/>
      <c r="D468" s="429"/>
      <c r="E468" s="429"/>
      <c r="F468" s="429"/>
      <c r="G468" s="1290">
        <f>(G172*$C$88*$C$86)</f>
        <v>0</v>
      </c>
      <c r="H468" s="1290">
        <f t="shared" ref="H468:M470" si="137">(H172*$C$88*$C$86)*$C$46^(H$11-$G$11)</f>
        <v>7233.8960000000006</v>
      </c>
      <c r="I468" s="1290">
        <f t="shared" si="137"/>
        <v>7450.9128800000008</v>
      </c>
      <c r="J468" s="1290">
        <f t="shared" si="137"/>
        <v>7674.4402664000008</v>
      </c>
      <c r="K468" s="1290">
        <f t="shared" si="137"/>
        <v>7904.6734743920006</v>
      </c>
      <c r="L468" s="1290">
        <f t="shared" si="137"/>
        <v>8141.8136786237601</v>
      </c>
      <c r="M468" s="1290">
        <f t="shared" si="137"/>
        <v>8386.0680889824725</v>
      </c>
      <c r="R468" s="282"/>
      <c r="S468" s="282"/>
      <c r="T468" s="282"/>
      <c r="U468" s="282"/>
      <c r="V468" s="282"/>
      <c r="W468" s="282"/>
      <c r="X468" s="282"/>
      <c r="Y468" s="282"/>
      <c r="Z468" s="282"/>
      <c r="AA468" s="282"/>
    </row>
    <row r="469" spans="1:27" s="428" customFormat="1" outlineLevel="3" x14ac:dyDescent="0.25">
      <c r="A469" s="276">
        <f t="shared" ref="A469:A532" si="138">ROW(A173)</f>
        <v>173</v>
      </c>
      <c r="B469" s="758" t="str">
        <f>$B173</f>
        <v>Kindergarten Teacher</v>
      </c>
      <c r="C469" s="560"/>
      <c r="D469" s="429"/>
      <c r="E469" s="429"/>
      <c r="F469" s="429"/>
      <c r="G469" s="1290">
        <f>(G173*$C$88*$C$86)</f>
        <v>0</v>
      </c>
      <c r="H469" s="1290">
        <f t="shared" si="137"/>
        <v>7233.8960000000006</v>
      </c>
      <c r="I469" s="1290">
        <f t="shared" si="137"/>
        <v>7450.9128800000008</v>
      </c>
      <c r="J469" s="1290">
        <f t="shared" si="137"/>
        <v>7674.4402664000008</v>
      </c>
      <c r="K469" s="1290">
        <f t="shared" si="137"/>
        <v>7904.6734743920006</v>
      </c>
      <c r="L469" s="1290">
        <f t="shared" si="137"/>
        <v>8141.8136786237601</v>
      </c>
      <c r="M469" s="1290">
        <f t="shared" si="137"/>
        <v>8386.0680889824725</v>
      </c>
      <c r="R469" s="282"/>
      <c r="S469" s="282"/>
      <c r="T469" s="282"/>
      <c r="U469" s="282"/>
      <c r="V469" s="282"/>
      <c r="W469" s="282"/>
      <c r="X469" s="282"/>
      <c r="Y469" s="282"/>
      <c r="Z469" s="282"/>
      <c r="AA469" s="282"/>
    </row>
    <row r="470" spans="1:27" s="428" customFormat="1" outlineLevel="3" x14ac:dyDescent="0.25">
      <c r="A470" s="276">
        <f t="shared" si="138"/>
        <v>174</v>
      </c>
      <c r="B470" s="758" t="str">
        <f>$B174</f>
        <v>Kindergarten Teacher</v>
      </c>
      <c r="C470" s="560"/>
      <c r="D470" s="429"/>
      <c r="E470" s="429"/>
      <c r="F470" s="429"/>
      <c r="G470" s="1290">
        <f>(G174*$C$88*$C$86)</f>
        <v>0</v>
      </c>
      <c r="H470" s="1290">
        <f t="shared" si="137"/>
        <v>7233.8960000000006</v>
      </c>
      <c r="I470" s="1290">
        <f t="shared" si="137"/>
        <v>7450.9128800000008</v>
      </c>
      <c r="J470" s="1290">
        <f t="shared" si="137"/>
        <v>7674.4402664000008</v>
      </c>
      <c r="K470" s="1290">
        <f t="shared" si="137"/>
        <v>7904.6734743920006</v>
      </c>
      <c r="L470" s="1290">
        <f t="shared" si="137"/>
        <v>8141.8136786237601</v>
      </c>
      <c r="M470" s="1290">
        <f t="shared" si="137"/>
        <v>8386.0680889824725</v>
      </c>
      <c r="R470" s="282"/>
      <c r="S470" s="282"/>
      <c r="T470" s="282"/>
      <c r="U470" s="282"/>
      <c r="V470" s="282"/>
      <c r="W470" s="282"/>
      <c r="X470" s="282"/>
      <c r="Y470" s="282"/>
      <c r="Z470" s="282"/>
      <c r="AA470" s="282"/>
    </row>
    <row r="471" spans="1:27" s="428" customFormat="1" outlineLevel="3" x14ac:dyDescent="0.25">
      <c r="A471" s="276">
        <f t="shared" si="138"/>
        <v>175</v>
      </c>
      <c r="B471" s="758"/>
      <c r="C471" s="560"/>
      <c r="D471" s="429"/>
      <c r="E471" s="429"/>
      <c r="F471" s="429"/>
      <c r="G471" s="1290"/>
      <c r="H471" s="1290"/>
      <c r="I471" s="1290"/>
      <c r="J471" s="1290"/>
      <c r="K471" s="1290"/>
      <c r="L471" s="1290"/>
      <c r="M471" s="1290"/>
      <c r="R471" s="282"/>
      <c r="S471" s="282"/>
      <c r="T471" s="282"/>
      <c r="U471" s="282"/>
      <c r="V471" s="282"/>
      <c r="W471" s="282"/>
      <c r="X471" s="282"/>
      <c r="Y471" s="282"/>
      <c r="Z471" s="282"/>
      <c r="AA471" s="282"/>
    </row>
    <row r="472" spans="1:27" s="428" customFormat="1" outlineLevel="3" x14ac:dyDescent="0.25">
      <c r="A472" s="276">
        <f t="shared" si="138"/>
        <v>176</v>
      </c>
      <c r="B472" s="758" t="str">
        <f>$B176</f>
        <v>Kindergarten Teacher</v>
      </c>
      <c r="C472" s="560"/>
      <c r="D472" s="429"/>
      <c r="E472" s="429"/>
      <c r="F472" s="429"/>
      <c r="G472" s="1290">
        <f>(G176*$C$88*$C$86)</f>
        <v>0</v>
      </c>
      <c r="H472" s="1290">
        <f t="shared" ref="H472:M476" si="139">(H176*$C$88*$C$86)*$C$46^(H$11-$G$11)</f>
        <v>7233.8960000000006</v>
      </c>
      <c r="I472" s="1290">
        <f t="shared" si="139"/>
        <v>7450.9128800000008</v>
      </c>
      <c r="J472" s="1290">
        <f t="shared" si="139"/>
        <v>7674.4402664000008</v>
      </c>
      <c r="K472" s="1290">
        <f t="shared" si="139"/>
        <v>7904.6734743920006</v>
      </c>
      <c r="L472" s="1290">
        <f t="shared" si="139"/>
        <v>8141.8136786237601</v>
      </c>
      <c r="M472" s="1290">
        <f t="shared" si="139"/>
        <v>8386.0680889824725</v>
      </c>
      <c r="R472" s="282"/>
      <c r="S472" s="282"/>
      <c r="T472" s="282"/>
      <c r="U472" s="282"/>
      <c r="V472" s="282"/>
      <c r="W472" s="282"/>
      <c r="X472" s="282"/>
      <c r="Y472" s="282"/>
      <c r="Z472" s="282"/>
      <c r="AA472" s="282"/>
    </row>
    <row r="473" spans="1:27" s="428" customFormat="1" outlineLevel="3" x14ac:dyDescent="0.25">
      <c r="A473" s="276">
        <f t="shared" si="138"/>
        <v>177</v>
      </c>
      <c r="B473" s="758" t="str">
        <f>$B177</f>
        <v>1st Grade Teacher</v>
      </c>
      <c r="C473" s="560"/>
      <c r="D473" s="429"/>
      <c r="E473" s="429"/>
      <c r="F473" s="429"/>
      <c r="G473" s="1290">
        <f>(G177*$C$88*$C$86)</f>
        <v>0</v>
      </c>
      <c r="H473" s="1290">
        <f t="shared" si="139"/>
        <v>7233.8960000000006</v>
      </c>
      <c r="I473" s="1290">
        <f t="shared" si="139"/>
        <v>7450.9128800000008</v>
      </c>
      <c r="J473" s="1290">
        <f t="shared" si="139"/>
        <v>7674.4402664000008</v>
      </c>
      <c r="K473" s="1290">
        <f t="shared" si="139"/>
        <v>7904.6734743920006</v>
      </c>
      <c r="L473" s="1290">
        <f t="shared" si="139"/>
        <v>8141.8136786237601</v>
      </c>
      <c r="M473" s="1290">
        <f t="shared" si="139"/>
        <v>8386.0680889824725</v>
      </c>
      <c r="R473" s="282"/>
      <c r="S473" s="282"/>
      <c r="T473" s="282"/>
      <c r="U473" s="282"/>
      <c r="V473" s="282"/>
      <c r="W473" s="282"/>
      <c r="X473" s="282"/>
      <c r="Y473" s="282"/>
      <c r="Z473" s="282"/>
      <c r="AA473" s="282"/>
    </row>
    <row r="474" spans="1:27" s="428" customFormat="1" outlineLevel="3" x14ac:dyDescent="0.25">
      <c r="A474" s="276">
        <f t="shared" si="138"/>
        <v>178</v>
      </c>
      <c r="B474" s="758" t="str">
        <f>$B178</f>
        <v>1st Grade Teacher</v>
      </c>
      <c r="C474" s="560"/>
      <c r="D474" s="429"/>
      <c r="E474" s="429"/>
      <c r="F474" s="429"/>
      <c r="G474" s="1290">
        <f>(G178*$C$88*$C$86)</f>
        <v>0</v>
      </c>
      <c r="H474" s="1290">
        <f t="shared" si="139"/>
        <v>7233.8960000000006</v>
      </c>
      <c r="I474" s="1290">
        <f t="shared" si="139"/>
        <v>7450.9128800000008</v>
      </c>
      <c r="J474" s="1290">
        <f t="shared" si="139"/>
        <v>7674.4402664000008</v>
      </c>
      <c r="K474" s="1290">
        <f t="shared" si="139"/>
        <v>7904.6734743920006</v>
      </c>
      <c r="L474" s="1290">
        <f t="shared" si="139"/>
        <v>8141.8136786237601</v>
      </c>
      <c r="M474" s="1290">
        <f t="shared" si="139"/>
        <v>8386.0680889824725</v>
      </c>
      <c r="R474" s="282"/>
      <c r="S474" s="282"/>
      <c r="T474" s="282"/>
      <c r="U474" s="282"/>
      <c r="V474" s="282"/>
      <c r="W474" s="282"/>
      <c r="X474" s="282"/>
      <c r="Y474" s="282"/>
      <c r="Z474" s="282"/>
      <c r="AA474" s="282"/>
    </row>
    <row r="475" spans="1:27" s="428" customFormat="1" outlineLevel="3" x14ac:dyDescent="0.25">
      <c r="A475" s="276">
        <f t="shared" si="138"/>
        <v>179</v>
      </c>
      <c r="B475" s="758" t="str">
        <f>$B179</f>
        <v>1st Grade Teacher</v>
      </c>
      <c r="C475" s="560"/>
      <c r="D475" s="429"/>
      <c r="E475" s="429"/>
      <c r="F475" s="429"/>
      <c r="G475" s="1290">
        <f>(G179*$C$88*$C$86)</f>
        <v>0</v>
      </c>
      <c r="H475" s="1290">
        <f t="shared" si="139"/>
        <v>0</v>
      </c>
      <c r="I475" s="1290">
        <f t="shared" si="139"/>
        <v>7450.9128800000008</v>
      </c>
      <c r="J475" s="1290">
        <f t="shared" si="139"/>
        <v>7674.4402664000008</v>
      </c>
      <c r="K475" s="1290">
        <f t="shared" si="139"/>
        <v>7904.6734743920006</v>
      </c>
      <c r="L475" s="1290">
        <f t="shared" si="139"/>
        <v>8141.8136786237601</v>
      </c>
      <c r="M475" s="1290">
        <f t="shared" si="139"/>
        <v>8386.0680889824725</v>
      </c>
      <c r="R475" s="282"/>
      <c r="S475" s="282"/>
      <c r="T475" s="282"/>
      <c r="U475" s="282"/>
      <c r="V475" s="282"/>
      <c r="W475" s="282"/>
      <c r="X475" s="282"/>
      <c r="Y475" s="282"/>
      <c r="Z475" s="282"/>
      <c r="AA475" s="282"/>
    </row>
    <row r="476" spans="1:27" s="431" customFormat="1" outlineLevel="3" x14ac:dyDescent="0.25">
      <c r="A476" s="276">
        <f t="shared" si="138"/>
        <v>180</v>
      </c>
      <c r="B476" s="758" t="str">
        <f>$B180</f>
        <v>1st Grade Teacher</v>
      </c>
      <c r="C476" s="560"/>
      <c r="D476" s="429"/>
      <c r="E476" s="429"/>
      <c r="F476" s="429"/>
      <c r="G476" s="1290">
        <f>(G180*$C$88*$C$86)</f>
        <v>0</v>
      </c>
      <c r="H476" s="1290">
        <f t="shared" si="139"/>
        <v>0</v>
      </c>
      <c r="I476" s="1290">
        <f t="shared" si="139"/>
        <v>7450.9128800000008</v>
      </c>
      <c r="J476" s="1290">
        <f t="shared" si="139"/>
        <v>7674.4402664000008</v>
      </c>
      <c r="K476" s="1290">
        <f t="shared" si="139"/>
        <v>7904.6734743920006</v>
      </c>
      <c r="L476" s="1290">
        <f t="shared" si="139"/>
        <v>8141.8136786237601</v>
      </c>
      <c r="M476" s="1290">
        <f t="shared" si="139"/>
        <v>8386.0680889824725</v>
      </c>
      <c r="R476" s="282"/>
      <c r="S476" s="282"/>
      <c r="T476" s="282"/>
      <c r="U476" s="282"/>
      <c r="V476" s="282"/>
      <c r="W476" s="282"/>
      <c r="X476" s="282"/>
      <c r="Y476" s="282"/>
      <c r="Z476" s="282"/>
      <c r="AA476" s="282"/>
    </row>
    <row r="477" spans="1:27" s="431" customFormat="1" outlineLevel="3" x14ac:dyDescent="0.25">
      <c r="A477" s="276">
        <f t="shared" si="138"/>
        <v>181</v>
      </c>
      <c r="B477" s="758"/>
      <c r="C477" s="561"/>
      <c r="D477" s="428"/>
      <c r="E477" s="428"/>
      <c r="F477" s="428"/>
      <c r="G477" s="1290"/>
      <c r="H477" s="1290"/>
      <c r="I477" s="1290"/>
      <c r="J477" s="1290"/>
      <c r="K477" s="1290"/>
      <c r="L477" s="1290"/>
      <c r="M477" s="1290"/>
      <c r="R477" s="282"/>
      <c r="S477" s="282"/>
      <c r="T477" s="282"/>
      <c r="U477" s="282"/>
      <c r="V477" s="282"/>
      <c r="W477" s="282"/>
      <c r="X477" s="282"/>
      <c r="Y477" s="282"/>
      <c r="Z477" s="282"/>
      <c r="AA477" s="282"/>
    </row>
    <row r="478" spans="1:27" s="428" customFormat="1" outlineLevel="3" x14ac:dyDescent="0.25">
      <c r="A478" s="276">
        <f t="shared" si="138"/>
        <v>182</v>
      </c>
      <c r="B478" s="758" t="str">
        <f>$B182</f>
        <v>2nd Grade Teacher</v>
      </c>
      <c r="C478" s="560"/>
      <c r="D478" s="429"/>
      <c r="E478" s="429"/>
      <c r="F478" s="429"/>
      <c r="G478" s="1290">
        <f>(G182*$C$88*$C$86)</f>
        <v>0</v>
      </c>
      <c r="H478" s="1290">
        <f t="shared" ref="H478:M482" si="140">(H182*$C$88*$C$86)*$C$46^(H$11-$G$11)</f>
        <v>7233.8960000000006</v>
      </c>
      <c r="I478" s="1290">
        <f t="shared" si="140"/>
        <v>7450.9128800000008</v>
      </c>
      <c r="J478" s="1290">
        <f t="shared" si="140"/>
        <v>7674.4402664000008</v>
      </c>
      <c r="K478" s="1290">
        <f t="shared" si="140"/>
        <v>7904.6734743920006</v>
      </c>
      <c r="L478" s="1290">
        <f t="shared" si="140"/>
        <v>8141.8136786237601</v>
      </c>
      <c r="M478" s="1290">
        <f t="shared" si="140"/>
        <v>8386.0680889824725</v>
      </c>
      <c r="R478" s="282"/>
      <c r="S478" s="282"/>
      <c r="T478" s="282"/>
      <c r="U478" s="282"/>
      <c r="V478" s="282"/>
      <c r="W478" s="282"/>
      <c r="X478" s="282"/>
      <c r="Y478" s="282"/>
      <c r="Z478" s="282"/>
      <c r="AA478" s="282"/>
    </row>
    <row r="479" spans="1:27" s="428" customFormat="1" outlineLevel="3" x14ac:dyDescent="0.25">
      <c r="A479" s="276">
        <f t="shared" si="138"/>
        <v>183</v>
      </c>
      <c r="B479" s="758" t="str">
        <f>$B183</f>
        <v>2nd Grade Teacher</v>
      </c>
      <c r="C479" s="560"/>
      <c r="D479" s="429"/>
      <c r="E479" s="429"/>
      <c r="F479" s="429"/>
      <c r="G479" s="1290">
        <f>(G183*$C$88*$C$86)</f>
        <v>0</v>
      </c>
      <c r="H479" s="1290">
        <f t="shared" si="140"/>
        <v>7233.8960000000006</v>
      </c>
      <c r="I479" s="1290">
        <f t="shared" si="140"/>
        <v>7450.9128800000008</v>
      </c>
      <c r="J479" s="1290">
        <f t="shared" si="140"/>
        <v>7674.4402664000008</v>
      </c>
      <c r="K479" s="1290">
        <f t="shared" si="140"/>
        <v>7904.6734743920006</v>
      </c>
      <c r="L479" s="1290">
        <f t="shared" si="140"/>
        <v>8141.8136786237601</v>
      </c>
      <c r="M479" s="1290">
        <f t="shared" si="140"/>
        <v>8386.0680889824725</v>
      </c>
      <c r="R479" s="282"/>
      <c r="S479" s="282"/>
      <c r="T479" s="282"/>
      <c r="U479" s="282"/>
      <c r="V479" s="282"/>
      <c r="W479" s="282"/>
      <c r="X479" s="282"/>
      <c r="Y479" s="282"/>
      <c r="Z479" s="282"/>
      <c r="AA479" s="282"/>
    </row>
    <row r="480" spans="1:27" s="428" customFormat="1" outlineLevel="3" x14ac:dyDescent="0.25">
      <c r="A480" s="276">
        <f t="shared" si="138"/>
        <v>184</v>
      </c>
      <c r="B480" s="758" t="str">
        <f>$B184</f>
        <v>2nd Grade Teacher</v>
      </c>
      <c r="C480" s="560"/>
      <c r="D480" s="429"/>
      <c r="E480" s="429"/>
      <c r="F480" s="429"/>
      <c r="G480" s="1290">
        <f>(G184*$C$88*$C$86)</f>
        <v>0</v>
      </c>
      <c r="H480" s="1290">
        <f t="shared" si="140"/>
        <v>0</v>
      </c>
      <c r="I480" s="1290">
        <f t="shared" si="140"/>
        <v>7450.9128800000008</v>
      </c>
      <c r="J480" s="1290">
        <f t="shared" si="140"/>
        <v>7674.4402664000008</v>
      </c>
      <c r="K480" s="1290">
        <f t="shared" si="140"/>
        <v>7904.6734743920006</v>
      </c>
      <c r="L480" s="1290">
        <f t="shared" si="140"/>
        <v>8141.8136786237601</v>
      </c>
      <c r="M480" s="1290">
        <f t="shared" si="140"/>
        <v>8386.0680889824725</v>
      </c>
      <c r="R480" s="282"/>
      <c r="S480" s="282"/>
      <c r="T480" s="282"/>
      <c r="U480" s="282"/>
      <c r="V480" s="282"/>
      <c r="W480" s="282"/>
      <c r="X480" s="282"/>
      <c r="Y480" s="282"/>
      <c r="Z480" s="282"/>
      <c r="AA480" s="282"/>
    </row>
    <row r="481" spans="1:27" s="428" customFormat="1" outlineLevel="3" x14ac:dyDescent="0.25">
      <c r="A481" s="276">
        <f t="shared" si="138"/>
        <v>185</v>
      </c>
      <c r="B481" s="758" t="str">
        <f>$B185</f>
        <v>2nd Grade Teacher</v>
      </c>
      <c r="C481" s="560"/>
      <c r="D481" s="429"/>
      <c r="E481" s="429"/>
      <c r="F481" s="429"/>
      <c r="G481" s="1290">
        <f>(G185*$C$88*$C$86)</f>
        <v>0</v>
      </c>
      <c r="H481" s="1290">
        <f t="shared" si="140"/>
        <v>0</v>
      </c>
      <c r="I481" s="1290">
        <f t="shared" si="140"/>
        <v>7450.9128800000008</v>
      </c>
      <c r="J481" s="1290">
        <f t="shared" si="140"/>
        <v>7674.4402664000008</v>
      </c>
      <c r="K481" s="1290">
        <f t="shared" si="140"/>
        <v>7904.6734743920006</v>
      </c>
      <c r="L481" s="1290">
        <f t="shared" si="140"/>
        <v>8141.8136786237601</v>
      </c>
      <c r="M481" s="1290">
        <f t="shared" si="140"/>
        <v>8386.0680889824725</v>
      </c>
      <c r="R481" s="282"/>
      <c r="S481" s="282"/>
      <c r="T481" s="282"/>
      <c r="U481" s="282"/>
      <c r="V481" s="282"/>
      <c r="W481" s="282"/>
      <c r="X481" s="282"/>
      <c r="Y481" s="282"/>
      <c r="Z481" s="282"/>
      <c r="AA481" s="282"/>
    </row>
    <row r="482" spans="1:27" s="428" customFormat="1" outlineLevel="3" x14ac:dyDescent="0.25">
      <c r="A482" s="276">
        <f t="shared" si="138"/>
        <v>186</v>
      </c>
      <c r="B482" s="758" t="str">
        <f>$B186</f>
        <v>3rd Grade Teacher</v>
      </c>
      <c r="C482" s="560"/>
      <c r="D482" s="429"/>
      <c r="E482" s="429"/>
      <c r="F482" s="429"/>
      <c r="G482" s="1290">
        <f>(G186*$C$88*$C$86)</f>
        <v>0</v>
      </c>
      <c r="H482" s="1290">
        <f t="shared" si="140"/>
        <v>7233.8960000000006</v>
      </c>
      <c r="I482" s="1290">
        <f t="shared" si="140"/>
        <v>7450.9128800000008</v>
      </c>
      <c r="J482" s="1290">
        <f t="shared" si="140"/>
        <v>7674.4402664000008</v>
      </c>
      <c r="K482" s="1290">
        <f t="shared" si="140"/>
        <v>7904.6734743920006</v>
      </c>
      <c r="L482" s="1290">
        <f t="shared" si="140"/>
        <v>8141.8136786237601</v>
      </c>
      <c r="M482" s="1290">
        <f t="shared" si="140"/>
        <v>8386.0680889824725</v>
      </c>
      <c r="R482" s="282"/>
      <c r="S482" s="282"/>
      <c r="T482" s="282"/>
      <c r="U482" s="282"/>
      <c r="V482" s="282"/>
      <c r="W482" s="282"/>
      <c r="X482" s="282"/>
      <c r="Y482" s="282"/>
      <c r="Z482" s="282"/>
      <c r="AA482" s="282"/>
    </row>
    <row r="483" spans="1:27" s="428" customFormat="1" outlineLevel="3" x14ac:dyDescent="0.25">
      <c r="A483" s="276">
        <f t="shared" si="138"/>
        <v>187</v>
      </c>
      <c r="B483" s="758"/>
      <c r="C483" s="560"/>
      <c r="D483" s="429"/>
      <c r="E483" s="429"/>
      <c r="F483" s="429"/>
      <c r="G483" s="1290"/>
      <c r="H483" s="1290"/>
      <c r="I483" s="1290"/>
      <c r="J483" s="1290"/>
      <c r="K483" s="1290"/>
      <c r="L483" s="1290"/>
      <c r="M483" s="1290"/>
      <c r="R483" s="282"/>
      <c r="S483" s="282"/>
      <c r="T483" s="282"/>
      <c r="U483" s="282"/>
      <c r="V483" s="282"/>
      <c r="W483" s="282"/>
      <c r="X483" s="282"/>
      <c r="Y483" s="282"/>
      <c r="Z483" s="282"/>
      <c r="AA483" s="282"/>
    </row>
    <row r="484" spans="1:27" s="428" customFormat="1" outlineLevel="3" x14ac:dyDescent="0.25">
      <c r="A484" s="276">
        <f t="shared" si="138"/>
        <v>188</v>
      </c>
      <c r="B484" s="758" t="str">
        <f>$B188</f>
        <v>3rd Grade Teacher</v>
      </c>
      <c r="C484" s="560"/>
      <c r="D484" s="429"/>
      <c r="E484" s="429"/>
      <c r="F484" s="429"/>
      <c r="G484" s="1290">
        <f>(G188*$C$88*$C$86)</f>
        <v>0</v>
      </c>
      <c r="H484" s="1290">
        <f t="shared" ref="H484:M488" si="141">(H188*$C$88*$C$86)*$C$46^(H$11-$G$11)</f>
        <v>7233.8960000000006</v>
      </c>
      <c r="I484" s="1290">
        <f t="shared" si="141"/>
        <v>7450.9128800000008</v>
      </c>
      <c r="J484" s="1290">
        <f t="shared" si="141"/>
        <v>7674.4402664000008</v>
      </c>
      <c r="K484" s="1290">
        <f t="shared" si="141"/>
        <v>7904.6734743920006</v>
      </c>
      <c r="L484" s="1290">
        <f t="shared" si="141"/>
        <v>8141.8136786237601</v>
      </c>
      <c r="M484" s="1290">
        <f t="shared" si="141"/>
        <v>8386.0680889824725</v>
      </c>
      <c r="R484" s="282"/>
      <c r="S484" s="282"/>
      <c r="T484" s="282"/>
      <c r="U484" s="282"/>
      <c r="V484" s="282"/>
      <c r="W484" s="282"/>
      <c r="X484" s="282"/>
      <c r="Y484" s="282"/>
      <c r="Z484" s="282"/>
      <c r="AA484" s="282"/>
    </row>
    <row r="485" spans="1:27" s="428" customFormat="1" outlineLevel="3" x14ac:dyDescent="0.25">
      <c r="A485" s="276">
        <f t="shared" si="138"/>
        <v>189</v>
      </c>
      <c r="B485" s="758" t="str">
        <f>$B189</f>
        <v>3rd Grade Teacher</v>
      </c>
      <c r="C485" s="560"/>
      <c r="D485" s="429"/>
      <c r="E485" s="429"/>
      <c r="F485" s="429"/>
      <c r="G485" s="1290">
        <f>(G189*$C$88*$C$86)</f>
        <v>0</v>
      </c>
      <c r="H485" s="1290">
        <f t="shared" si="141"/>
        <v>0</v>
      </c>
      <c r="I485" s="1290">
        <f t="shared" si="141"/>
        <v>7450.9128800000008</v>
      </c>
      <c r="J485" s="1290">
        <f t="shared" si="141"/>
        <v>7674.4402664000008</v>
      </c>
      <c r="K485" s="1290">
        <f t="shared" si="141"/>
        <v>7904.6734743920006</v>
      </c>
      <c r="L485" s="1290">
        <f t="shared" si="141"/>
        <v>8141.8136786237601</v>
      </c>
      <c r="M485" s="1290">
        <f t="shared" si="141"/>
        <v>8386.0680889824725</v>
      </c>
      <c r="R485" s="282"/>
      <c r="S485" s="282"/>
      <c r="T485" s="282"/>
      <c r="U485" s="282"/>
      <c r="V485" s="282"/>
      <c r="W485" s="282"/>
      <c r="X485" s="282"/>
      <c r="Y485" s="282"/>
      <c r="Z485" s="282"/>
      <c r="AA485" s="282"/>
    </row>
    <row r="486" spans="1:27" s="428" customFormat="1" outlineLevel="3" x14ac:dyDescent="0.25">
      <c r="A486" s="276">
        <f t="shared" si="138"/>
        <v>190</v>
      </c>
      <c r="B486" s="758" t="str">
        <f>$B190</f>
        <v>3rd Grade Teacher</v>
      </c>
      <c r="C486" s="560"/>
      <c r="D486" s="429"/>
      <c r="E486" s="429"/>
      <c r="F486" s="429"/>
      <c r="G486" s="1290">
        <f>(G190*$C$88*$C$86)</f>
        <v>0</v>
      </c>
      <c r="H486" s="1290">
        <f t="shared" si="141"/>
        <v>0</v>
      </c>
      <c r="I486" s="1290">
        <f t="shared" si="141"/>
        <v>7450.9128800000008</v>
      </c>
      <c r="J486" s="1290">
        <f t="shared" si="141"/>
        <v>7674.4402664000008</v>
      </c>
      <c r="K486" s="1290">
        <f t="shared" si="141"/>
        <v>7904.6734743920006</v>
      </c>
      <c r="L486" s="1290">
        <f t="shared" si="141"/>
        <v>8141.8136786237601</v>
      </c>
      <c r="M486" s="1290">
        <f t="shared" si="141"/>
        <v>8386.0680889824725</v>
      </c>
      <c r="R486" s="282"/>
      <c r="S486" s="282"/>
      <c r="T486" s="282"/>
      <c r="U486" s="282"/>
      <c r="V486" s="282"/>
      <c r="W486" s="282"/>
      <c r="X486" s="282"/>
      <c r="Y486" s="282"/>
      <c r="Z486" s="282"/>
      <c r="AA486" s="282"/>
    </row>
    <row r="487" spans="1:27" s="428" customFormat="1" outlineLevel="3" x14ac:dyDescent="0.25">
      <c r="A487" s="276">
        <f t="shared" si="138"/>
        <v>191</v>
      </c>
      <c r="B487" s="758" t="str">
        <f>$B191</f>
        <v>4th Grade Teacher</v>
      </c>
      <c r="C487" s="560"/>
      <c r="D487" s="429"/>
      <c r="E487" s="429"/>
      <c r="F487" s="429"/>
      <c r="G487" s="1290">
        <f>(G191*$C$88*$C$86)</f>
        <v>0</v>
      </c>
      <c r="H487" s="1290">
        <f t="shared" si="141"/>
        <v>7233.8960000000006</v>
      </c>
      <c r="I487" s="1290">
        <f t="shared" si="141"/>
        <v>7450.9128800000008</v>
      </c>
      <c r="J487" s="1290">
        <f t="shared" si="141"/>
        <v>7674.4402664000008</v>
      </c>
      <c r="K487" s="1290">
        <f t="shared" si="141"/>
        <v>7904.6734743920006</v>
      </c>
      <c r="L487" s="1290">
        <f t="shared" si="141"/>
        <v>8141.8136786237601</v>
      </c>
      <c r="M487" s="1290">
        <f t="shared" si="141"/>
        <v>8386.0680889824725</v>
      </c>
      <c r="R487" s="282"/>
      <c r="S487" s="282"/>
      <c r="T487" s="282"/>
      <c r="U487" s="282"/>
      <c r="V487" s="282"/>
      <c r="W487" s="282"/>
      <c r="X487" s="282"/>
      <c r="Y487" s="282"/>
      <c r="Z487" s="282"/>
      <c r="AA487" s="282"/>
    </row>
    <row r="488" spans="1:27" s="431" customFormat="1" outlineLevel="3" x14ac:dyDescent="0.25">
      <c r="A488" s="276">
        <f t="shared" si="138"/>
        <v>192</v>
      </c>
      <c r="B488" s="758" t="str">
        <f>$B192</f>
        <v>4th Grade Teacher</v>
      </c>
      <c r="C488" s="560"/>
      <c r="D488" s="429"/>
      <c r="E488" s="429"/>
      <c r="F488" s="429"/>
      <c r="G488" s="1290">
        <f>(G192*$C$88*$C$86)</f>
        <v>0</v>
      </c>
      <c r="H488" s="1290">
        <f t="shared" si="141"/>
        <v>0</v>
      </c>
      <c r="I488" s="1290">
        <f t="shared" si="141"/>
        <v>7450.9128800000008</v>
      </c>
      <c r="J488" s="1290">
        <f t="shared" si="141"/>
        <v>7674.4402664000008</v>
      </c>
      <c r="K488" s="1290">
        <f t="shared" si="141"/>
        <v>7904.6734743920006</v>
      </c>
      <c r="L488" s="1290">
        <f t="shared" si="141"/>
        <v>8141.8136786237601</v>
      </c>
      <c r="M488" s="1290">
        <f t="shared" si="141"/>
        <v>8386.0680889824725</v>
      </c>
      <c r="R488" s="282"/>
      <c r="S488" s="282"/>
      <c r="T488" s="282"/>
      <c r="U488" s="282"/>
      <c r="V488" s="282"/>
      <c r="W488" s="282"/>
      <c r="X488" s="282"/>
      <c r="Y488" s="282"/>
      <c r="Z488" s="282"/>
      <c r="AA488" s="282"/>
    </row>
    <row r="489" spans="1:27" s="431" customFormat="1" outlineLevel="3" x14ac:dyDescent="0.25">
      <c r="A489" s="276">
        <f t="shared" si="138"/>
        <v>193</v>
      </c>
      <c r="B489" s="758"/>
      <c r="C489" s="561"/>
      <c r="D489" s="428"/>
      <c r="E489" s="428"/>
      <c r="F489" s="428"/>
      <c r="G489" s="1290"/>
      <c r="H489" s="1290"/>
      <c r="I489" s="1290"/>
      <c r="J489" s="1290"/>
      <c r="K489" s="1290"/>
      <c r="L489" s="1290"/>
      <c r="M489" s="1290"/>
      <c r="R489" s="282"/>
      <c r="S489" s="282"/>
      <c r="T489" s="282"/>
      <c r="U489" s="282"/>
      <c r="V489" s="282"/>
      <c r="W489" s="282"/>
      <c r="X489" s="282"/>
      <c r="Y489" s="282"/>
      <c r="Z489" s="282"/>
      <c r="AA489" s="282"/>
    </row>
    <row r="490" spans="1:27" s="428" customFormat="1" outlineLevel="3" x14ac:dyDescent="0.25">
      <c r="A490" s="276">
        <f t="shared" si="138"/>
        <v>194</v>
      </c>
      <c r="B490" s="758" t="str">
        <f>$B194</f>
        <v>4th Grade Teacher</v>
      </c>
      <c r="C490" s="560"/>
      <c r="D490" s="429"/>
      <c r="E490" s="429"/>
      <c r="F490" s="429"/>
      <c r="G490" s="1290">
        <f>(G194*$C$88*$C$86)</f>
        <v>0</v>
      </c>
      <c r="H490" s="1290">
        <f t="shared" ref="H490:M494" si="142">(H194*$C$88*$C$86)*$C$46^(H$11-$G$11)</f>
        <v>0</v>
      </c>
      <c r="I490" s="1290">
        <f t="shared" si="142"/>
        <v>0</v>
      </c>
      <c r="J490" s="1290">
        <f t="shared" si="142"/>
        <v>7674.4402664000008</v>
      </c>
      <c r="K490" s="1290">
        <f t="shared" si="142"/>
        <v>7904.6734743920006</v>
      </c>
      <c r="L490" s="1290">
        <f t="shared" si="142"/>
        <v>8141.8136786237601</v>
      </c>
      <c r="M490" s="1290">
        <f t="shared" si="142"/>
        <v>8386.0680889824725</v>
      </c>
      <c r="R490" s="282"/>
      <c r="S490" s="282"/>
      <c r="T490" s="282"/>
      <c r="U490" s="282"/>
      <c r="V490" s="282"/>
      <c r="W490" s="282"/>
      <c r="X490" s="282"/>
      <c r="Y490" s="282"/>
      <c r="Z490" s="282"/>
      <c r="AA490" s="282"/>
    </row>
    <row r="491" spans="1:27" s="428" customFormat="1" outlineLevel="3" x14ac:dyDescent="0.25">
      <c r="A491" s="276">
        <f t="shared" si="138"/>
        <v>195</v>
      </c>
      <c r="B491" s="758" t="str">
        <f>$B195</f>
        <v>4th Grade Teacher</v>
      </c>
      <c r="C491" s="560"/>
      <c r="D491" s="429"/>
      <c r="E491" s="429"/>
      <c r="F491" s="429"/>
      <c r="G491" s="1290">
        <f>(G195*$C$88*$C$86)</f>
        <v>0</v>
      </c>
      <c r="H491" s="1290">
        <f t="shared" si="142"/>
        <v>0</v>
      </c>
      <c r="I491" s="1290">
        <f t="shared" si="142"/>
        <v>0</v>
      </c>
      <c r="J491" s="1290">
        <f t="shared" si="142"/>
        <v>7674.4402664000008</v>
      </c>
      <c r="K491" s="1290">
        <f t="shared" si="142"/>
        <v>7904.6734743920006</v>
      </c>
      <c r="L491" s="1290">
        <f t="shared" si="142"/>
        <v>8141.8136786237601</v>
      </c>
      <c r="M491" s="1290">
        <f t="shared" si="142"/>
        <v>8386.0680889824725</v>
      </c>
      <c r="R491" s="282"/>
      <c r="S491" s="282"/>
      <c r="T491" s="282"/>
      <c r="U491" s="282"/>
      <c r="V491" s="282"/>
      <c r="W491" s="282"/>
      <c r="X491" s="282"/>
      <c r="Y491" s="282"/>
      <c r="Z491" s="282"/>
      <c r="AA491" s="282"/>
    </row>
    <row r="492" spans="1:27" s="428" customFormat="1" outlineLevel="3" x14ac:dyDescent="0.25">
      <c r="A492" s="276">
        <f t="shared" si="138"/>
        <v>196</v>
      </c>
      <c r="B492" s="758" t="str">
        <f>$B196</f>
        <v>5th Grade Teacher</v>
      </c>
      <c r="C492" s="560"/>
      <c r="D492" s="429"/>
      <c r="E492" s="429"/>
      <c r="F492" s="429"/>
      <c r="G492" s="1290">
        <f>(G196*$C$88*$C$86)</f>
        <v>0</v>
      </c>
      <c r="H492" s="1290">
        <f t="shared" si="142"/>
        <v>7233.8960000000006</v>
      </c>
      <c r="I492" s="1290">
        <f t="shared" si="142"/>
        <v>7450.9128800000008</v>
      </c>
      <c r="J492" s="1290">
        <f t="shared" si="142"/>
        <v>7674.4402664000008</v>
      </c>
      <c r="K492" s="1290">
        <f t="shared" si="142"/>
        <v>7904.6734743920006</v>
      </c>
      <c r="L492" s="1290">
        <f t="shared" si="142"/>
        <v>8141.8136786237601</v>
      </c>
      <c r="M492" s="1290">
        <f t="shared" si="142"/>
        <v>8386.0680889824725</v>
      </c>
      <c r="R492" s="282"/>
      <c r="S492" s="282"/>
      <c r="T492" s="282"/>
      <c r="U492" s="282"/>
      <c r="V492" s="282"/>
      <c r="W492" s="282"/>
      <c r="X492" s="282"/>
      <c r="Y492" s="282"/>
      <c r="Z492" s="282"/>
      <c r="AA492" s="282"/>
    </row>
    <row r="493" spans="1:27" s="428" customFormat="1" outlineLevel="3" x14ac:dyDescent="0.25">
      <c r="A493" s="276">
        <f t="shared" si="138"/>
        <v>197</v>
      </c>
      <c r="B493" s="758" t="str">
        <f>$B197</f>
        <v>5th Grade Teacher</v>
      </c>
      <c r="C493" s="560"/>
      <c r="D493" s="429"/>
      <c r="E493" s="429"/>
      <c r="F493" s="429"/>
      <c r="G493" s="1290">
        <f>(G197*$C$88*$C$86)</f>
        <v>0</v>
      </c>
      <c r="H493" s="1290">
        <f t="shared" si="142"/>
        <v>0</v>
      </c>
      <c r="I493" s="1290">
        <f t="shared" si="142"/>
        <v>0</v>
      </c>
      <c r="J493" s="1290">
        <f t="shared" si="142"/>
        <v>7674.4402664000008</v>
      </c>
      <c r="K493" s="1290">
        <f t="shared" si="142"/>
        <v>7904.6734743920006</v>
      </c>
      <c r="L493" s="1290">
        <f t="shared" si="142"/>
        <v>8141.8136786237601</v>
      </c>
      <c r="M493" s="1290">
        <f t="shared" si="142"/>
        <v>8386.0680889824725</v>
      </c>
      <c r="R493" s="282"/>
      <c r="S493" s="282"/>
      <c r="T493" s="282"/>
      <c r="U493" s="282"/>
      <c r="V493" s="282"/>
      <c r="W493" s="282"/>
      <c r="X493" s="282"/>
      <c r="Y493" s="282"/>
      <c r="Z493" s="282"/>
      <c r="AA493" s="282"/>
    </row>
    <row r="494" spans="1:27" s="428" customFormat="1" outlineLevel="3" x14ac:dyDescent="0.25">
      <c r="A494" s="276">
        <f t="shared" si="138"/>
        <v>198</v>
      </c>
      <c r="B494" s="758" t="str">
        <f>$B198</f>
        <v>5th Grade Teacher</v>
      </c>
      <c r="C494" s="560"/>
      <c r="D494" s="429"/>
      <c r="E494" s="429"/>
      <c r="F494" s="429"/>
      <c r="G494" s="1290">
        <f>(G198*$C$88*$C$86)</f>
        <v>0</v>
      </c>
      <c r="H494" s="1290">
        <f t="shared" si="142"/>
        <v>0</v>
      </c>
      <c r="I494" s="1290">
        <f t="shared" si="142"/>
        <v>0</v>
      </c>
      <c r="J494" s="1290">
        <f t="shared" si="142"/>
        <v>0</v>
      </c>
      <c r="K494" s="1290">
        <f t="shared" si="142"/>
        <v>7904.6734743920006</v>
      </c>
      <c r="L494" s="1290">
        <f t="shared" si="142"/>
        <v>8141.8136786237601</v>
      </c>
      <c r="M494" s="1290">
        <f t="shared" si="142"/>
        <v>8386.0680889824725</v>
      </c>
      <c r="R494" s="282"/>
      <c r="S494" s="282"/>
      <c r="T494" s="282"/>
      <c r="U494" s="282"/>
      <c r="V494" s="282"/>
      <c r="W494" s="282"/>
      <c r="X494" s="282"/>
      <c r="Y494" s="282"/>
      <c r="Z494" s="282"/>
      <c r="AA494" s="282"/>
    </row>
    <row r="495" spans="1:27" s="428" customFormat="1" outlineLevel="3" x14ac:dyDescent="0.25">
      <c r="A495" s="276">
        <f t="shared" si="138"/>
        <v>199</v>
      </c>
      <c r="B495" s="758"/>
      <c r="C495" s="560"/>
      <c r="D495" s="429"/>
      <c r="E495" s="429"/>
      <c r="F495" s="429"/>
      <c r="G495" s="1290"/>
      <c r="H495" s="1290"/>
      <c r="I495" s="1290"/>
      <c r="J495" s="1290"/>
      <c r="K495" s="1290"/>
      <c r="L495" s="1290"/>
      <c r="M495" s="1290"/>
      <c r="R495" s="282"/>
      <c r="S495" s="282"/>
      <c r="T495" s="282"/>
      <c r="U495" s="282"/>
      <c r="V495" s="282"/>
      <c r="W495" s="282"/>
      <c r="X495" s="282"/>
      <c r="Y495" s="282"/>
      <c r="Z495" s="282"/>
      <c r="AA495" s="282"/>
    </row>
    <row r="496" spans="1:27" s="428" customFormat="1" outlineLevel="3" x14ac:dyDescent="0.25">
      <c r="A496" s="276">
        <f t="shared" si="138"/>
        <v>200</v>
      </c>
      <c r="B496" s="758" t="str">
        <f>$B200</f>
        <v>5th Grade Teacher</v>
      </c>
      <c r="C496" s="560"/>
      <c r="D496" s="429"/>
      <c r="E496" s="429"/>
      <c r="F496" s="429"/>
      <c r="G496" s="1290">
        <f>(G200*$C$88*$C$86)</f>
        <v>0</v>
      </c>
      <c r="H496" s="1290">
        <f t="shared" ref="H496:M500" si="143">(H200*$C$88*$C$86)*$C$46^(H$11-$G$11)</f>
        <v>0</v>
      </c>
      <c r="I496" s="1290">
        <f t="shared" si="143"/>
        <v>0</v>
      </c>
      <c r="J496" s="1290">
        <f t="shared" si="143"/>
        <v>0</v>
      </c>
      <c r="K496" s="1290">
        <f t="shared" si="143"/>
        <v>7904.6734743920006</v>
      </c>
      <c r="L496" s="1290">
        <f t="shared" si="143"/>
        <v>8141.8136786237601</v>
      </c>
      <c r="M496" s="1290">
        <f t="shared" si="143"/>
        <v>8386.0680889824725</v>
      </c>
      <c r="R496" s="282"/>
      <c r="S496" s="282"/>
      <c r="T496" s="282"/>
      <c r="U496" s="282"/>
      <c r="V496" s="282"/>
      <c r="W496" s="282"/>
      <c r="X496" s="282"/>
      <c r="Y496" s="282"/>
      <c r="Z496" s="282"/>
      <c r="AA496" s="282"/>
    </row>
    <row r="497" spans="1:27" s="428" customFormat="1" outlineLevel="3" x14ac:dyDescent="0.25">
      <c r="A497" s="276">
        <f t="shared" si="138"/>
        <v>201</v>
      </c>
      <c r="B497" s="758" t="str">
        <f>$B201</f>
        <v>6th Grade Teacher</v>
      </c>
      <c r="C497" s="560"/>
      <c r="D497" s="429"/>
      <c r="E497" s="429"/>
      <c r="F497" s="429"/>
      <c r="G497" s="1290">
        <f>(G201*$C$88*$C$86)</f>
        <v>0</v>
      </c>
      <c r="H497" s="1290">
        <f t="shared" si="143"/>
        <v>7233.8960000000006</v>
      </c>
      <c r="I497" s="1290">
        <f t="shared" si="143"/>
        <v>7450.9128800000008</v>
      </c>
      <c r="J497" s="1290">
        <f t="shared" si="143"/>
        <v>7674.4402664000008</v>
      </c>
      <c r="K497" s="1290">
        <f t="shared" si="143"/>
        <v>7904.6734743920006</v>
      </c>
      <c r="L497" s="1290">
        <f t="shared" si="143"/>
        <v>8141.8136786237601</v>
      </c>
      <c r="M497" s="1290">
        <f t="shared" si="143"/>
        <v>8386.0680889824725</v>
      </c>
      <c r="R497" s="282"/>
      <c r="S497" s="282"/>
      <c r="T497" s="282"/>
      <c r="U497" s="282"/>
      <c r="V497" s="282"/>
      <c r="W497" s="282"/>
      <c r="X497" s="282"/>
      <c r="Y497" s="282"/>
      <c r="Z497" s="282"/>
      <c r="AA497" s="282"/>
    </row>
    <row r="498" spans="1:27" s="428" customFormat="1" outlineLevel="3" x14ac:dyDescent="0.25">
      <c r="A498" s="276">
        <f t="shared" si="138"/>
        <v>202</v>
      </c>
      <c r="B498" s="758" t="str">
        <f>$B202</f>
        <v>6th Grade Teacher</v>
      </c>
      <c r="C498" s="560"/>
      <c r="D498" s="429"/>
      <c r="E498" s="429"/>
      <c r="F498" s="429"/>
      <c r="G498" s="1290">
        <f>(G202*$C$88*$C$86)</f>
        <v>0</v>
      </c>
      <c r="H498" s="1290">
        <f t="shared" si="143"/>
        <v>0</v>
      </c>
      <c r="I498" s="1290">
        <f t="shared" si="143"/>
        <v>7450.9128800000008</v>
      </c>
      <c r="J498" s="1290">
        <f t="shared" si="143"/>
        <v>7674.4402664000008</v>
      </c>
      <c r="K498" s="1290">
        <f t="shared" si="143"/>
        <v>7904.6734743920006</v>
      </c>
      <c r="L498" s="1290">
        <f t="shared" si="143"/>
        <v>8141.8136786237601</v>
      </c>
      <c r="M498" s="1290">
        <f t="shared" si="143"/>
        <v>8386.0680889824725</v>
      </c>
      <c r="R498" s="282"/>
      <c r="S498" s="282"/>
      <c r="T498" s="282"/>
      <c r="U498" s="282"/>
      <c r="V498" s="282"/>
      <c r="W498" s="282"/>
      <c r="X498" s="282"/>
      <c r="Y498" s="282"/>
      <c r="Z498" s="282"/>
      <c r="AA498" s="282"/>
    </row>
    <row r="499" spans="1:27" s="428" customFormat="1" outlineLevel="3" x14ac:dyDescent="0.25">
      <c r="A499" s="276">
        <f t="shared" si="138"/>
        <v>203</v>
      </c>
      <c r="B499" s="758" t="str">
        <f>$B203</f>
        <v>6th Grade Teacher</v>
      </c>
      <c r="C499" s="560"/>
      <c r="D499" s="429"/>
      <c r="E499" s="429"/>
      <c r="F499" s="429"/>
      <c r="G499" s="1290">
        <f>(G203*$C$88*$C$86)</f>
        <v>0</v>
      </c>
      <c r="H499" s="1290">
        <f t="shared" si="143"/>
        <v>0</v>
      </c>
      <c r="I499" s="1290">
        <f t="shared" si="143"/>
        <v>0</v>
      </c>
      <c r="J499" s="1290">
        <f t="shared" si="143"/>
        <v>0</v>
      </c>
      <c r="K499" s="1290">
        <f t="shared" si="143"/>
        <v>7904.6734743920006</v>
      </c>
      <c r="L499" s="1290">
        <f t="shared" si="143"/>
        <v>8141.8136786237601</v>
      </c>
      <c r="M499" s="1290">
        <f t="shared" si="143"/>
        <v>8386.0680889824725</v>
      </c>
      <c r="R499" s="282"/>
      <c r="S499" s="282"/>
      <c r="T499" s="282"/>
      <c r="U499" s="282"/>
      <c r="V499" s="282"/>
      <c r="W499" s="282"/>
      <c r="X499" s="282"/>
      <c r="Y499" s="282"/>
      <c r="Z499" s="282"/>
      <c r="AA499" s="282"/>
    </row>
    <row r="500" spans="1:27" s="431" customFormat="1" outlineLevel="3" x14ac:dyDescent="0.25">
      <c r="A500" s="276">
        <f t="shared" si="138"/>
        <v>204</v>
      </c>
      <c r="B500" s="758" t="str">
        <f>$B204</f>
        <v>6th Grade Teacher</v>
      </c>
      <c r="C500" s="560"/>
      <c r="D500" s="429"/>
      <c r="E500" s="429"/>
      <c r="F500" s="429"/>
      <c r="G500" s="1290">
        <f>(G204*$C$88*$C$86)</f>
        <v>0</v>
      </c>
      <c r="H500" s="1290">
        <f t="shared" si="143"/>
        <v>0</v>
      </c>
      <c r="I500" s="1290">
        <f t="shared" si="143"/>
        <v>0</v>
      </c>
      <c r="J500" s="1290">
        <f t="shared" si="143"/>
        <v>0</v>
      </c>
      <c r="K500" s="1290">
        <f t="shared" si="143"/>
        <v>7904.6734743920006</v>
      </c>
      <c r="L500" s="1290">
        <f t="shared" si="143"/>
        <v>8141.8136786237601</v>
      </c>
      <c r="M500" s="1290">
        <f t="shared" si="143"/>
        <v>8386.0680889824725</v>
      </c>
      <c r="R500" s="282"/>
      <c r="S500" s="282"/>
      <c r="T500" s="282"/>
      <c r="U500" s="282"/>
      <c r="V500" s="282"/>
      <c r="W500" s="282"/>
      <c r="X500" s="282"/>
      <c r="Y500" s="282"/>
      <c r="Z500" s="282"/>
      <c r="AA500" s="282"/>
    </row>
    <row r="501" spans="1:27" s="431" customFormat="1" outlineLevel="3" x14ac:dyDescent="0.25">
      <c r="A501" s="276">
        <f t="shared" si="138"/>
        <v>205</v>
      </c>
      <c r="B501" s="758"/>
      <c r="C501" s="561"/>
      <c r="D501" s="428"/>
      <c r="E501" s="428"/>
      <c r="F501" s="428"/>
      <c r="G501" s="1290"/>
      <c r="H501" s="1290"/>
      <c r="I501" s="1290"/>
      <c r="J501" s="1290"/>
      <c r="K501" s="1290"/>
      <c r="L501" s="1290"/>
      <c r="M501" s="1290"/>
      <c r="R501" s="282"/>
      <c r="S501" s="282"/>
      <c r="T501" s="282"/>
      <c r="U501" s="282"/>
      <c r="V501" s="282"/>
      <c r="W501" s="282"/>
      <c r="X501" s="282"/>
      <c r="Y501" s="282"/>
      <c r="Z501" s="282"/>
      <c r="AA501" s="282"/>
    </row>
    <row r="502" spans="1:27" s="428" customFormat="1" outlineLevel="3" x14ac:dyDescent="0.25">
      <c r="A502" s="276">
        <f t="shared" si="138"/>
        <v>206</v>
      </c>
      <c r="B502" s="758" t="str">
        <f>$B206</f>
        <v>7th Grade Teacher</v>
      </c>
      <c r="C502" s="560"/>
      <c r="D502" s="429"/>
      <c r="E502" s="429"/>
      <c r="F502" s="429"/>
      <c r="G502" s="1290">
        <f>(G206*$C$88*$C$86)</f>
        <v>0</v>
      </c>
      <c r="H502" s="1290">
        <f t="shared" ref="H502:M506" si="144">(H206*$C$88*$C$86)*$C$46^(H$11-$G$11)</f>
        <v>0</v>
      </c>
      <c r="I502" s="1290">
        <f t="shared" si="144"/>
        <v>7450.9128800000008</v>
      </c>
      <c r="J502" s="1290">
        <f t="shared" si="144"/>
        <v>7674.4402664000008</v>
      </c>
      <c r="K502" s="1290">
        <f t="shared" si="144"/>
        <v>7904.6734743920006</v>
      </c>
      <c r="L502" s="1290">
        <f t="shared" si="144"/>
        <v>8141.8136786237601</v>
      </c>
      <c r="M502" s="1290">
        <f t="shared" si="144"/>
        <v>8386.0680889824725</v>
      </c>
      <c r="R502" s="282"/>
      <c r="S502" s="282"/>
      <c r="T502" s="282"/>
      <c r="U502" s="282"/>
      <c r="V502" s="282"/>
      <c r="W502" s="282"/>
      <c r="X502" s="282"/>
      <c r="Y502" s="282"/>
      <c r="Z502" s="282"/>
      <c r="AA502" s="282"/>
    </row>
    <row r="503" spans="1:27" s="428" customFormat="1" outlineLevel="3" x14ac:dyDescent="0.25">
      <c r="A503" s="276">
        <f t="shared" si="138"/>
        <v>207</v>
      </c>
      <c r="B503" s="758" t="str">
        <f>$B207</f>
        <v>7th Grade Teacher</v>
      </c>
      <c r="C503" s="560"/>
      <c r="D503" s="429"/>
      <c r="E503" s="429"/>
      <c r="F503" s="429"/>
      <c r="G503" s="1290">
        <f>(G207*$C$88*$C$86)</f>
        <v>0</v>
      </c>
      <c r="H503" s="1290">
        <f t="shared" si="144"/>
        <v>0</v>
      </c>
      <c r="I503" s="1290">
        <f t="shared" si="144"/>
        <v>0</v>
      </c>
      <c r="J503" s="1290">
        <f t="shared" si="144"/>
        <v>7674.4402664000008</v>
      </c>
      <c r="K503" s="1290">
        <f t="shared" si="144"/>
        <v>7904.6734743920006</v>
      </c>
      <c r="L503" s="1290">
        <f t="shared" si="144"/>
        <v>8141.8136786237601</v>
      </c>
      <c r="M503" s="1290">
        <f t="shared" si="144"/>
        <v>8386.0680889824725</v>
      </c>
      <c r="R503" s="282"/>
      <c r="S503" s="282"/>
      <c r="T503" s="282"/>
      <c r="U503" s="282"/>
      <c r="V503" s="282"/>
      <c r="W503" s="282"/>
      <c r="X503" s="282"/>
      <c r="Y503" s="282"/>
      <c r="Z503" s="282"/>
      <c r="AA503" s="282"/>
    </row>
    <row r="504" spans="1:27" s="428" customFormat="1" outlineLevel="3" x14ac:dyDescent="0.25">
      <c r="A504" s="276">
        <f t="shared" si="138"/>
        <v>208</v>
      </c>
      <c r="B504" s="758" t="str">
        <f>$B208</f>
        <v>7th Grade Teacher</v>
      </c>
      <c r="C504" s="560"/>
      <c r="D504" s="429"/>
      <c r="E504" s="429"/>
      <c r="F504" s="429"/>
      <c r="G504" s="1290">
        <f>(G208*$C$88*$C$86)</f>
        <v>0</v>
      </c>
      <c r="H504" s="1290">
        <f t="shared" si="144"/>
        <v>0</v>
      </c>
      <c r="I504" s="1290">
        <f t="shared" si="144"/>
        <v>0</v>
      </c>
      <c r="J504" s="1290">
        <f t="shared" si="144"/>
        <v>0</v>
      </c>
      <c r="K504" s="1290">
        <f t="shared" si="144"/>
        <v>0</v>
      </c>
      <c r="L504" s="1290">
        <f t="shared" si="144"/>
        <v>8141.8136786237601</v>
      </c>
      <c r="M504" s="1290">
        <f t="shared" si="144"/>
        <v>8386.0680889824725</v>
      </c>
      <c r="R504" s="282"/>
      <c r="S504" s="282"/>
      <c r="T504" s="282"/>
      <c r="U504" s="282"/>
      <c r="V504" s="282"/>
      <c r="W504" s="282"/>
      <c r="X504" s="282"/>
      <c r="Y504" s="282"/>
      <c r="Z504" s="282"/>
      <c r="AA504" s="282"/>
    </row>
    <row r="505" spans="1:27" s="428" customFormat="1" outlineLevel="3" x14ac:dyDescent="0.25">
      <c r="A505" s="276">
        <f t="shared" si="138"/>
        <v>209</v>
      </c>
      <c r="B505" s="758" t="str">
        <f>$B209</f>
        <v>7th Grade Teacher</v>
      </c>
      <c r="C505" s="560"/>
      <c r="D505" s="429"/>
      <c r="E505" s="429"/>
      <c r="F505" s="429"/>
      <c r="G505" s="1290">
        <f>(G209*$C$88*$C$86)</f>
        <v>0</v>
      </c>
      <c r="H505" s="1290">
        <f t="shared" si="144"/>
        <v>0</v>
      </c>
      <c r="I505" s="1290">
        <f t="shared" si="144"/>
        <v>0</v>
      </c>
      <c r="J505" s="1290">
        <f t="shared" si="144"/>
        <v>0</v>
      </c>
      <c r="K505" s="1290">
        <f t="shared" si="144"/>
        <v>0</v>
      </c>
      <c r="L505" s="1290">
        <f t="shared" si="144"/>
        <v>8141.8136786237601</v>
      </c>
      <c r="M505" s="1290">
        <f t="shared" si="144"/>
        <v>8386.0680889824725</v>
      </c>
      <c r="R505" s="282"/>
      <c r="S505" s="282"/>
      <c r="T505" s="282"/>
      <c r="U505" s="282"/>
      <c r="V505" s="282"/>
      <c r="W505" s="282"/>
      <c r="X505" s="282"/>
      <c r="Y505" s="282"/>
      <c r="Z505" s="282"/>
      <c r="AA505" s="282"/>
    </row>
    <row r="506" spans="1:27" s="428" customFormat="1" outlineLevel="3" x14ac:dyDescent="0.25">
      <c r="A506" s="276">
        <f t="shared" si="138"/>
        <v>210</v>
      </c>
      <c r="B506" s="758" t="str">
        <f>$B210</f>
        <v>8th Grade Teacher</v>
      </c>
      <c r="C506" s="560"/>
      <c r="D506" s="429"/>
      <c r="E506" s="429"/>
      <c r="F506" s="429"/>
      <c r="G506" s="1290">
        <f>(G210*$C$88*$C$86)</f>
        <v>0</v>
      </c>
      <c r="H506" s="1290">
        <f t="shared" si="144"/>
        <v>0</v>
      </c>
      <c r="I506" s="1290">
        <f t="shared" si="144"/>
        <v>0</v>
      </c>
      <c r="J506" s="1290">
        <f t="shared" si="144"/>
        <v>7674.4402664000008</v>
      </c>
      <c r="K506" s="1290">
        <f t="shared" si="144"/>
        <v>7904.6734743920006</v>
      </c>
      <c r="L506" s="1290">
        <f t="shared" si="144"/>
        <v>8141.8136786237601</v>
      </c>
      <c r="M506" s="1290">
        <f t="shared" si="144"/>
        <v>8386.0680889824725</v>
      </c>
      <c r="R506" s="282"/>
      <c r="S506" s="282"/>
      <c r="T506" s="282"/>
      <c r="U506" s="282"/>
      <c r="V506" s="282"/>
      <c r="W506" s="282"/>
      <c r="X506" s="282"/>
      <c r="Y506" s="282"/>
      <c r="Z506" s="282"/>
      <c r="AA506" s="282"/>
    </row>
    <row r="507" spans="1:27" s="428" customFormat="1" outlineLevel="3" x14ac:dyDescent="0.25">
      <c r="A507" s="276">
        <f t="shared" si="138"/>
        <v>211</v>
      </c>
      <c r="B507" s="758"/>
      <c r="C507" s="560"/>
      <c r="D507" s="429"/>
      <c r="E507" s="429"/>
      <c r="F507" s="429"/>
      <c r="G507" s="1290"/>
      <c r="H507" s="1290"/>
      <c r="I507" s="1290"/>
      <c r="J507" s="1290"/>
      <c r="K507" s="1290"/>
      <c r="L507" s="1290"/>
      <c r="M507" s="1290"/>
      <c r="R507" s="282"/>
      <c r="S507" s="282"/>
      <c r="T507" s="282"/>
      <c r="U507" s="282"/>
      <c r="V507" s="282"/>
      <c r="W507" s="282"/>
      <c r="X507" s="282"/>
      <c r="Y507" s="282"/>
      <c r="Z507" s="282"/>
      <c r="AA507" s="282"/>
    </row>
    <row r="508" spans="1:27" s="428" customFormat="1" outlineLevel="3" x14ac:dyDescent="0.25">
      <c r="A508" s="276">
        <f t="shared" si="138"/>
        <v>212</v>
      </c>
      <c r="B508" s="758" t="str">
        <f>$B212</f>
        <v>8th Grade Teacher</v>
      </c>
      <c r="C508" s="560"/>
      <c r="D508" s="429"/>
      <c r="E508" s="429"/>
      <c r="F508" s="429"/>
      <c r="G508" s="1290">
        <f>(G212*$C$88*$C$86)</f>
        <v>0</v>
      </c>
      <c r="H508" s="1290">
        <f t="shared" ref="H508:M512" si="145">(H212*$C$88*$C$86)*$C$46^(H$11-$G$11)</f>
        <v>0</v>
      </c>
      <c r="I508" s="1290">
        <f t="shared" si="145"/>
        <v>0</v>
      </c>
      <c r="J508" s="1290">
        <f t="shared" si="145"/>
        <v>0</v>
      </c>
      <c r="K508" s="1290">
        <f t="shared" si="145"/>
        <v>7904.6734743920006</v>
      </c>
      <c r="L508" s="1290">
        <f t="shared" si="145"/>
        <v>8141.8136786237601</v>
      </c>
      <c r="M508" s="1290">
        <f t="shared" si="145"/>
        <v>8386.0680889824725</v>
      </c>
      <c r="R508" s="282"/>
      <c r="S508" s="282"/>
      <c r="T508" s="282"/>
      <c r="U508" s="282"/>
      <c r="V508" s="282"/>
      <c r="W508" s="282"/>
      <c r="X508" s="282"/>
      <c r="Y508" s="282"/>
      <c r="Z508" s="282"/>
      <c r="AA508" s="282"/>
    </row>
    <row r="509" spans="1:27" s="428" customFormat="1" outlineLevel="3" x14ac:dyDescent="0.25">
      <c r="A509" s="276">
        <f t="shared" si="138"/>
        <v>213</v>
      </c>
      <c r="B509" s="758" t="str">
        <f>$B213</f>
        <v>8th Grade Teacher</v>
      </c>
      <c r="C509" s="560"/>
      <c r="D509" s="429"/>
      <c r="E509" s="429"/>
      <c r="F509" s="429"/>
      <c r="G509" s="1290">
        <f>(G213*$C$88*$C$86)</f>
        <v>0</v>
      </c>
      <c r="H509" s="1290">
        <f t="shared" si="145"/>
        <v>0</v>
      </c>
      <c r="I509" s="1290">
        <f t="shared" si="145"/>
        <v>0</v>
      </c>
      <c r="J509" s="1290">
        <f t="shared" si="145"/>
        <v>0</v>
      </c>
      <c r="K509" s="1290">
        <f t="shared" si="145"/>
        <v>0</v>
      </c>
      <c r="L509" s="1290">
        <f t="shared" si="145"/>
        <v>0</v>
      </c>
      <c r="M509" s="1290">
        <f t="shared" si="145"/>
        <v>8386.0680889824725</v>
      </c>
      <c r="R509" s="282"/>
      <c r="S509" s="282"/>
      <c r="T509" s="282"/>
      <c r="U509" s="282"/>
      <c r="V509" s="282"/>
      <c r="W509" s="282"/>
      <c r="X509" s="282"/>
      <c r="Y509" s="282"/>
      <c r="Z509" s="282"/>
      <c r="AA509" s="282"/>
    </row>
    <row r="510" spans="1:27" s="428" customFormat="1" outlineLevel="3" x14ac:dyDescent="0.25">
      <c r="A510" s="276">
        <f t="shared" si="138"/>
        <v>214</v>
      </c>
      <c r="B510" s="758" t="str">
        <f>$B214</f>
        <v>8th Grade Teacher</v>
      </c>
      <c r="C510" s="560"/>
      <c r="D510" s="429"/>
      <c r="E510" s="429"/>
      <c r="F510" s="429"/>
      <c r="G510" s="1290">
        <f>(G214*$C$88*$C$86)</f>
        <v>0</v>
      </c>
      <c r="H510" s="1290">
        <f t="shared" si="145"/>
        <v>0</v>
      </c>
      <c r="I510" s="1290">
        <f t="shared" si="145"/>
        <v>0</v>
      </c>
      <c r="J510" s="1290">
        <f t="shared" si="145"/>
        <v>0</v>
      </c>
      <c r="K510" s="1290">
        <f t="shared" si="145"/>
        <v>0</v>
      </c>
      <c r="L510" s="1290">
        <f t="shared" si="145"/>
        <v>0</v>
      </c>
      <c r="M510" s="1290">
        <f t="shared" si="145"/>
        <v>8386.0680889824725</v>
      </c>
      <c r="R510" s="282"/>
      <c r="S510" s="282"/>
      <c r="T510" s="282"/>
      <c r="U510" s="282"/>
      <c r="V510" s="282"/>
      <c r="W510" s="282"/>
      <c r="X510" s="282"/>
      <c r="Y510" s="282"/>
      <c r="Z510" s="282"/>
      <c r="AA510" s="282"/>
    </row>
    <row r="511" spans="1:27" s="428" customFormat="1" outlineLevel="3" x14ac:dyDescent="0.25">
      <c r="A511" s="276">
        <f t="shared" si="138"/>
        <v>215</v>
      </c>
      <c r="B511" s="758" t="str">
        <f>$B215</f>
        <v>Grade Level Teacher</v>
      </c>
      <c r="C511" s="560"/>
      <c r="D511" s="429"/>
      <c r="E511" s="429"/>
      <c r="F511" s="429"/>
      <c r="G511" s="1290">
        <f>(G215*$C$88*$C$86)</f>
        <v>0</v>
      </c>
      <c r="H511" s="1290">
        <f t="shared" si="145"/>
        <v>0</v>
      </c>
      <c r="I511" s="1290">
        <f t="shared" si="145"/>
        <v>7450.9128800000008</v>
      </c>
      <c r="J511" s="1290">
        <f t="shared" si="145"/>
        <v>7674.4402664000008</v>
      </c>
      <c r="K511" s="1290">
        <f t="shared" si="145"/>
        <v>7904.6734743920006</v>
      </c>
      <c r="L511" s="1290">
        <f t="shared" si="145"/>
        <v>8141.8136786237601</v>
      </c>
      <c r="M511" s="1290">
        <f t="shared" si="145"/>
        <v>8386.0680889824725</v>
      </c>
      <c r="R511" s="282"/>
      <c r="S511" s="282"/>
      <c r="T511" s="282"/>
      <c r="U511" s="282"/>
      <c r="V511" s="282"/>
      <c r="W511" s="282"/>
      <c r="X511" s="282"/>
      <c r="Y511" s="282"/>
      <c r="Z511" s="282"/>
      <c r="AA511" s="282"/>
    </row>
    <row r="512" spans="1:27" s="431" customFormat="1" outlineLevel="3" x14ac:dyDescent="0.25">
      <c r="A512" s="276">
        <f t="shared" si="138"/>
        <v>216</v>
      </c>
      <c r="B512" s="758" t="str">
        <f>$B216</f>
        <v>Grade Level Teacher</v>
      </c>
      <c r="C512" s="560"/>
      <c r="D512" s="429"/>
      <c r="E512" s="429"/>
      <c r="F512" s="429"/>
      <c r="G512" s="1290">
        <f>(G216*$C$88*$C$86)</f>
        <v>0</v>
      </c>
      <c r="H512" s="1290">
        <f t="shared" si="145"/>
        <v>0</v>
      </c>
      <c r="I512" s="1290">
        <f t="shared" si="145"/>
        <v>7450.9128800000008</v>
      </c>
      <c r="J512" s="1290">
        <f t="shared" si="145"/>
        <v>7674.4402664000008</v>
      </c>
      <c r="K512" s="1290">
        <f t="shared" si="145"/>
        <v>7904.6734743920006</v>
      </c>
      <c r="L512" s="1290">
        <f t="shared" si="145"/>
        <v>8141.8136786237601</v>
      </c>
      <c r="M512" s="1290">
        <f t="shared" si="145"/>
        <v>8386.0680889824725</v>
      </c>
      <c r="R512" s="282"/>
      <c r="S512" s="282"/>
      <c r="T512" s="282"/>
      <c r="U512" s="282"/>
      <c r="V512" s="282"/>
      <c r="W512" s="282"/>
      <c r="X512" s="282"/>
      <c r="Y512" s="282"/>
      <c r="Z512" s="282"/>
      <c r="AA512" s="282"/>
    </row>
    <row r="513" spans="1:27" s="431" customFormat="1" outlineLevel="3" x14ac:dyDescent="0.25">
      <c r="A513" s="276">
        <f t="shared" si="138"/>
        <v>217</v>
      </c>
      <c r="B513" s="758"/>
      <c r="C513" s="561"/>
      <c r="D513" s="428"/>
      <c r="E513" s="428"/>
      <c r="F513" s="428"/>
      <c r="G513" s="1290"/>
      <c r="H513" s="1290"/>
      <c r="I513" s="1290"/>
      <c r="J513" s="1290"/>
      <c r="K513" s="1290"/>
      <c r="L513" s="1290"/>
      <c r="M513" s="1290"/>
      <c r="R513" s="282"/>
      <c r="S513" s="282"/>
      <c r="T513" s="282"/>
      <c r="U513" s="282"/>
      <c r="V513" s="282"/>
      <c r="W513" s="282"/>
      <c r="X513" s="282"/>
      <c r="Y513" s="282"/>
      <c r="Z513" s="282"/>
      <c r="AA513" s="282"/>
    </row>
    <row r="514" spans="1:27" s="428" customFormat="1" outlineLevel="3" x14ac:dyDescent="0.25">
      <c r="A514" s="276">
        <f t="shared" si="138"/>
        <v>218</v>
      </c>
      <c r="B514" s="758" t="str">
        <f t="shared" ref="B514:B519" si="146">$B218</f>
        <v>Grade Level Teacher</v>
      </c>
      <c r="C514" s="560"/>
      <c r="D514" s="429"/>
      <c r="E514" s="429"/>
      <c r="F514" s="429"/>
      <c r="G514" s="1290">
        <f t="shared" ref="G514:G519" si="147">(G218*$C$88*$C$86)</f>
        <v>0</v>
      </c>
      <c r="H514" s="1290">
        <f t="shared" ref="H514:M519" si="148">(H218*$C$88*$C$86)*$C$46^(H$11-$G$11)</f>
        <v>0</v>
      </c>
      <c r="I514" s="1290">
        <f t="shared" si="148"/>
        <v>7450.9128800000008</v>
      </c>
      <c r="J514" s="1290">
        <f t="shared" si="148"/>
        <v>7674.4402664000008</v>
      </c>
      <c r="K514" s="1290">
        <f t="shared" si="148"/>
        <v>7904.6734743920006</v>
      </c>
      <c r="L514" s="1290">
        <f t="shared" si="148"/>
        <v>8141.8136786237601</v>
      </c>
      <c r="M514" s="1290">
        <f t="shared" si="148"/>
        <v>8386.0680889824725</v>
      </c>
      <c r="R514" s="282"/>
      <c r="S514" s="282"/>
      <c r="T514" s="282"/>
      <c r="U514" s="282"/>
      <c r="V514" s="282"/>
      <c r="W514" s="282"/>
      <c r="X514" s="282"/>
      <c r="Y514" s="282"/>
      <c r="Z514" s="282"/>
      <c r="AA514" s="282"/>
    </row>
    <row r="515" spans="1:27" s="428" customFormat="1" outlineLevel="3" x14ac:dyDescent="0.25">
      <c r="A515" s="276">
        <f t="shared" si="138"/>
        <v>219</v>
      </c>
      <c r="B515" s="758" t="str">
        <f t="shared" si="146"/>
        <v>Grade Level Teacher</v>
      </c>
      <c r="C515" s="560"/>
      <c r="D515" s="429"/>
      <c r="E515" s="429"/>
      <c r="F515" s="429"/>
      <c r="G515" s="1290">
        <f t="shared" si="147"/>
        <v>0</v>
      </c>
      <c r="H515" s="1290">
        <f t="shared" si="148"/>
        <v>0</v>
      </c>
      <c r="I515" s="1290">
        <f t="shared" si="148"/>
        <v>0</v>
      </c>
      <c r="J515" s="1290">
        <f t="shared" si="148"/>
        <v>7674.4402664000008</v>
      </c>
      <c r="K515" s="1290">
        <f t="shared" si="148"/>
        <v>7904.6734743920006</v>
      </c>
      <c r="L515" s="1290">
        <f t="shared" si="148"/>
        <v>8141.8136786237601</v>
      </c>
      <c r="M515" s="1290">
        <f t="shared" si="148"/>
        <v>8386.0680889824725</v>
      </c>
      <c r="R515" s="282"/>
      <c r="S515" s="282"/>
      <c r="T515" s="282"/>
      <c r="U515" s="282"/>
      <c r="V515" s="282"/>
      <c r="W515" s="282"/>
      <c r="X515" s="282"/>
      <c r="Y515" s="282"/>
      <c r="Z515" s="282"/>
      <c r="AA515" s="282"/>
    </row>
    <row r="516" spans="1:27" s="428" customFormat="1" outlineLevel="3" x14ac:dyDescent="0.25">
      <c r="A516" s="276">
        <f t="shared" si="138"/>
        <v>220</v>
      </c>
      <c r="B516" s="758" t="str">
        <f t="shared" si="146"/>
        <v>Grade Level Teacher</v>
      </c>
      <c r="C516" s="560"/>
      <c r="D516" s="429"/>
      <c r="E516" s="429"/>
      <c r="F516" s="429"/>
      <c r="G516" s="1290">
        <f t="shared" si="147"/>
        <v>0</v>
      </c>
      <c r="H516" s="1290">
        <f t="shared" si="148"/>
        <v>0</v>
      </c>
      <c r="I516" s="1290">
        <f t="shared" si="148"/>
        <v>0</v>
      </c>
      <c r="J516" s="1290">
        <f t="shared" si="148"/>
        <v>0</v>
      </c>
      <c r="K516" s="1290">
        <f t="shared" si="148"/>
        <v>7904.6734743920006</v>
      </c>
      <c r="L516" s="1290">
        <f t="shared" si="148"/>
        <v>8141.8136786237601</v>
      </c>
      <c r="M516" s="1290">
        <f t="shared" si="148"/>
        <v>8386.0680889824725</v>
      </c>
      <c r="R516" s="282"/>
      <c r="S516" s="282"/>
      <c r="T516" s="282"/>
      <c r="U516" s="282"/>
      <c r="V516" s="282"/>
      <c r="W516" s="282"/>
      <c r="X516" s="282"/>
      <c r="Y516" s="282"/>
      <c r="Z516" s="282"/>
      <c r="AA516" s="282"/>
    </row>
    <row r="517" spans="1:27" s="428" customFormat="1" outlineLevel="3" x14ac:dyDescent="0.25">
      <c r="A517" s="276">
        <f t="shared" si="138"/>
        <v>221</v>
      </c>
      <c r="B517" s="758" t="str">
        <f t="shared" si="146"/>
        <v>Grade Level Teacher</v>
      </c>
      <c r="C517" s="560"/>
      <c r="D517" s="429"/>
      <c r="E517" s="429"/>
      <c r="F517" s="429"/>
      <c r="G517" s="1290">
        <f t="shared" si="147"/>
        <v>0</v>
      </c>
      <c r="H517" s="1290">
        <f t="shared" si="148"/>
        <v>0</v>
      </c>
      <c r="I517" s="1290">
        <f t="shared" si="148"/>
        <v>0</v>
      </c>
      <c r="J517" s="1290">
        <f t="shared" si="148"/>
        <v>0</v>
      </c>
      <c r="K517" s="1290">
        <f t="shared" si="148"/>
        <v>0</v>
      </c>
      <c r="L517" s="1290">
        <f t="shared" si="148"/>
        <v>8141.8136786237601</v>
      </c>
      <c r="M517" s="1290">
        <f t="shared" si="148"/>
        <v>8386.0680889824725</v>
      </c>
      <c r="R517" s="282"/>
      <c r="S517" s="282"/>
      <c r="T517" s="282"/>
      <c r="U517" s="282"/>
      <c r="V517" s="282"/>
      <c r="W517" s="282"/>
      <c r="X517" s="282"/>
      <c r="Y517" s="282"/>
      <c r="Z517" s="282"/>
      <c r="AA517" s="282"/>
    </row>
    <row r="518" spans="1:27" s="428" customFormat="1" outlineLevel="3" x14ac:dyDescent="0.25">
      <c r="A518" s="276">
        <f t="shared" si="138"/>
        <v>222</v>
      </c>
      <c r="B518" s="758" t="str">
        <f t="shared" si="146"/>
        <v>Grade Level Teacher</v>
      </c>
      <c r="C518" s="560"/>
      <c r="D518" s="429"/>
      <c r="E518" s="429"/>
      <c r="F518" s="429"/>
      <c r="G518" s="1290">
        <f t="shared" si="147"/>
        <v>0</v>
      </c>
      <c r="H518" s="1290">
        <f t="shared" si="148"/>
        <v>0</v>
      </c>
      <c r="I518" s="1290">
        <f t="shared" si="148"/>
        <v>0</v>
      </c>
      <c r="J518" s="1290">
        <f t="shared" si="148"/>
        <v>0</v>
      </c>
      <c r="K518" s="1290">
        <f t="shared" si="148"/>
        <v>0</v>
      </c>
      <c r="L518" s="1290">
        <f t="shared" si="148"/>
        <v>0</v>
      </c>
      <c r="M518" s="1290">
        <f t="shared" si="148"/>
        <v>8386.0680889824725</v>
      </c>
      <c r="R518" s="282"/>
      <c r="S518" s="282"/>
      <c r="T518" s="282"/>
      <c r="U518" s="282"/>
      <c r="V518" s="282"/>
      <c r="W518" s="282"/>
      <c r="X518" s="282"/>
      <c r="Y518" s="282"/>
      <c r="Z518" s="282"/>
      <c r="AA518" s="282"/>
    </row>
    <row r="519" spans="1:27" s="428" customFormat="1" outlineLevel="3" x14ac:dyDescent="0.25">
      <c r="A519" s="276">
        <f t="shared" si="138"/>
        <v>223</v>
      </c>
      <c r="B519" s="758" t="str">
        <f t="shared" si="146"/>
        <v>Grade Level Teacher</v>
      </c>
      <c r="C519" s="560"/>
      <c r="D519" s="429"/>
      <c r="E519" s="429"/>
      <c r="F519" s="429"/>
      <c r="G519" s="1290">
        <f t="shared" si="147"/>
        <v>0</v>
      </c>
      <c r="H519" s="1290">
        <f t="shared" si="148"/>
        <v>0</v>
      </c>
      <c r="I519" s="1290">
        <f t="shared" si="148"/>
        <v>0</v>
      </c>
      <c r="J519" s="1290">
        <f t="shared" si="148"/>
        <v>0</v>
      </c>
      <c r="K519" s="1290">
        <f t="shared" si="148"/>
        <v>0</v>
      </c>
      <c r="L519" s="1290">
        <f t="shared" si="148"/>
        <v>0</v>
      </c>
      <c r="M519" s="1290">
        <f t="shared" si="148"/>
        <v>0</v>
      </c>
      <c r="R519" s="282"/>
      <c r="S519" s="282"/>
      <c r="T519" s="282"/>
      <c r="U519" s="282"/>
      <c r="V519" s="282"/>
      <c r="W519" s="282"/>
      <c r="X519" s="282"/>
      <c r="Y519" s="282"/>
      <c r="Z519" s="282"/>
      <c r="AA519" s="282"/>
    </row>
    <row r="520" spans="1:27" s="431" customFormat="1" outlineLevel="3" x14ac:dyDescent="0.25">
      <c r="A520" s="276">
        <f t="shared" si="138"/>
        <v>224</v>
      </c>
      <c r="B520" s="758"/>
      <c r="C520" s="561"/>
      <c r="D520" s="428"/>
      <c r="E520" s="428"/>
      <c r="F520" s="428"/>
      <c r="G520" s="1290"/>
      <c r="H520" s="1290"/>
      <c r="I520" s="1290"/>
      <c r="J520" s="1290"/>
      <c r="K520" s="1290"/>
      <c r="L520" s="1290"/>
      <c r="M520" s="1290"/>
      <c r="R520" s="282"/>
      <c r="S520" s="282"/>
      <c r="T520" s="282"/>
      <c r="U520" s="282"/>
      <c r="V520" s="282"/>
      <c r="W520" s="282"/>
      <c r="X520" s="282"/>
      <c r="Y520" s="282"/>
      <c r="Z520" s="282"/>
      <c r="AA520" s="282"/>
    </row>
    <row r="521" spans="1:27" s="428" customFormat="1" outlineLevel="3" x14ac:dyDescent="0.25">
      <c r="A521" s="276">
        <f t="shared" si="138"/>
        <v>225</v>
      </c>
      <c r="B521" s="758" t="str">
        <f>$B225</f>
        <v>8th Grade Teacher</v>
      </c>
      <c r="C521" s="560"/>
      <c r="D521" s="429"/>
      <c r="E521" s="429"/>
      <c r="F521" s="429"/>
      <c r="G521" s="1290">
        <f>(G225*$C$88*$C$86)</f>
        <v>0</v>
      </c>
      <c r="H521" s="1290">
        <f t="shared" ref="H521:M525" si="149">(H225*$C$88*$C$86)*$C$46^(H$11-$G$11)</f>
        <v>0</v>
      </c>
      <c r="I521" s="1290">
        <f t="shared" si="149"/>
        <v>0</v>
      </c>
      <c r="J521" s="1290">
        <f t="shared" si="149"/>
        <v>0</v>
      </c>
      <c r="K521" s="1290">
        <f t="shared" si="149"/>
        <v>0</v>
      </c>
      <c r="L521" s="1290">
        <f t="shared" si="149"/>
        <v>0</v>
      </c>
      <c r="M521" s="1290">
        <f t="shared" si="149"/>
        <v>0</v>
      </c>
      <c r="R521" s="282"/>
      <c r="S521" s="282"/>
      <c r="T521" s="282"/>
      <c r="U521" s="282"/>
      <c r="V521" s="282"/>
      <c r="W521" s="282"/>
      <c r="X521" s="282"/>
      <c r="Y521" s="282"/>
      <c r="Z521" s="282"/>
      <c r="AA521" s="282"/>
    </row>
    <row r="522" spans="1:27" s="428" customFormat="1" outlineLevel="3" x14ac:dyDescent="0.25">
      <c r="A522" s="276">
        <f t="shared" si="138"/>
        <v>226</v>
      </c>
      <c r="B522" s="758" t="str">
        <f>$B$226</f>
        <v>8th Grade Teacher</v>
      </c>
      <c r="C522" s="560"/>
      <c r="D522" s="429"/>
      <c r="E522" s="429"/>
      <c r="F522" s="429"/>
      <c r="G522" s="1290">
        <f>(G226*$C$88*$C$86)</f>
        <v>0</v>
      </c>
      <c r="H522" s="1290">
        <f t="shared" si="149"/>
        <v>0</v>
      </c>
      <c r="I522" s="1290">
        <f t="shared" si="149"/>
        <v>0</v>
      </c>
      <c r="J522" s="1290">
        <f t="shared" si="149"/>
        <v>0</v>
      </c>
      <c r="K522" s="1290">
        <f t="shared" si="149"/>
        <v>0</v>
      </c>
      <c r="L522" s="1290">
        <f t="shared" si="149"/>
        <v>0</v>
      </c>
      <c r="M522" s="1290">
        <f t="shared" si="149"/>
        <v>0</v>
      </c>
      <c r="R522" s="282"/>
      <c r="S522" s="282"/>
      <c r="T522" s="282"/>
      <c r="U522" s="282"/>
      <c r="V522" s="282"/>
      <c r="W522" s="282"/>
      <c r="X522" s="282"/>
      <c r="Y522" s="282"/>
      <c r="Z522" s="282"/>
      <c r="AA522" s="282"/>
    </row>
    <row r="523" spans="1:27" s="428" customFormat="1" outlineLevel="3" x14ac:dyDescent="0.25">
      <c r="A523" s="276">
        <f t="shared" si="138"/>
        <v>227</v>
      </c>
      <c r="B523" s="758" t="str">
        <f>$B$227</f>
        <v>8th Grade Teacher</v>
      </c>
      <c r="C523" s="560"/>
      <c r="D523" s="429"/>
      <c r="E523" s="429"/>
      <c r="F523" s="429"/>
      <c r="G523" s="1290">
        <f>(G227*$C$88*$C$86)</f>
        <v>0</v>
      </c>
      <c r="H523" s="1290">
        <f t="shared" si="149"/>
        <v>0</v>
      </c>
      <c r="I523" s="1290">
        <f t="shared" si="149"/>
        <v>0</v>
      </c>
      <c r="J523" s="1290">
        <f t="shared" si="149"/>
        <v>0</v>
      </c>
      <c r="K523" s="1290">
        <f t="shared" si="149"/>
        <v>0</v>
      </c>
      <c r="L523" s="1290">
        <f t="shared" si="149"/>
        <v>0</v>
      </c>
      <c r="M523" s="1290">
        <f t="shared" si="149"/>
        <v>0</v>
      </c>
      <c r="R523" s="282"/>
      <c r="S523" s="282"/>
      <c r="T523" s="282"/>
      <c r="U523" s="282"/>
      <c r="V523" s="282"/>
      <c r="W523" s="282"/>
      <c r="X523" s="282"/>
      <c r="Y523" s="282"/>
      <c r="Z523" s="282"/>
      <c r="AA523" s="282"/>
    </row>
    <row r="524" spans="1:27" s="428" customFormat="1" outlineLevel="3" x14ac:dyDescent="0.25">
      <c r="A524" s="276">
        <f t="shared" si="138"/>
        <v>228</v>
      </c>
      <c r="B524" s="758" t="str">
        <f>$B$228</f>
        <v>8th Grade Teacher</v>
      </c>
      <c r="C524" s="560"/>
      <c r="D524" s="429"/>
      <c r="E524" s="429"/>
      <c r="F524" s="429"/>
      <c r="G524" s="1290">
        <f>(G228*$C$88*$C$86)</f>
        <v>0</v>
      </c>
      <c r="H524" s="1290">
        <f t="shared" si="149"/>
        <v>0</v>
      </c>
      <c r="I524" s="1290">
        <f t="shared" si="149"/>
        <v>0</v>
      </c>
      <c r="J524" s="1290">
        <f t="shared" si="149"/>
        <v>0</v>
      </c>
      <c r="K524" s="1290">
        <f t="shared" si="149"/>
        <v>0</v>
      </c>
      <c r="L524" s="1290">
        <f t="shared" si="149"/>
        <v>0</v>
      </c>
      <c r="M524" s="1290">
        <f t="shared" si="149"/>
        <v>0</v>
      </c>
      <c r="R524" s="282"/>
      <c r="S524" s="282"/>
      <c r="T524" s="282"/>
      <c r="U524" s="282"/>
      <c r="V524" s="282"/>
      <c r="W524" s="282"/>
      <c r="X524" s="282"/>
      <c r="Y524" s="282"/>
      <c r="Z524" s="282"/>
      <c r="AA524" s="282"/>
    </row>
    <row r="525" spans="1:27" s="428" customFormat="1" outlineLevel="3" x14ac:dyDescent="0.25">
      <c r="A525" s="276">
        <f t="shared" si="138"/>
        <v>229</v>
      </c>
      <c r="B525" s="758">
        <f>$B$229</f>
        <v>0</v>
      </c>
      <c r="C525" s="560"/>
      <c r="D525" s="429"/>
      <c r="E525" s="429"/>
      <c r="F525" s="429"/>
      <c r="G525" s="1290">
        <f>(G229*$C$88*$C$86)</f>
        <v>0</v>
      </c>
      <c r="H525" s="1290">
        <f t="shared" si="149"/>
        <v>0</v>
      </c>
      <c r="I525" s="1290">
        <f t="shared" si="149"/>
        <v>0</v>
      </c>
      <c r="J525" s="1290">
        <f t="shared" si="149"/>
        <v>0</v>
      </c>
      <c r="K525" s="1290">
        <f t="shared" si="149"/>
        <v>0</v>
      </c>
      <c r="L525" s="1290">
        <f t="shared" si="149"/>
        <v>0</v>
      </c>
      <c r="M525" s="1290">
        <f t="shared" si="149"/>
        <v>0</v>
      </c>
      <c r="R525" s="282"/>
      <c r="S525" s="282"/>
      <c r="T525" s="282"/>
      <c r="U525" s="282"/>
      <c r="V525" s="282"/>
      <c r="W525" s="282"/>
      <c r="X525" s="282"/>
      <c r="Y525" s="282"/>
      <c r="Z525" s="282"/>
      <c r="AA525" s="282"/>
    </row>
    <row r="526" spans="1:27" s="428" customFormat="1" outlineLevel="3" x14ac:dyDescent="0.25">
      <c r="A526" s="276">
        <f t="shared" si="138"/>
        <v>230</v>
      </c>
      <c r="B526" s="758"/>
      <c r="C526" s="560"/>
      <c r="D526" s="429"/>
      <c r="E526" s="429"/>
      <c r="F526" s="429"/>
      <c r="G526" s="1290"/>
      <c r="H526" s="1290"/>
      <c r="I526" s="1290"/>
      <c r="J526" s="1290"/>
      <c r="K526" s="1290"/>
      <c r="L526" s="1290"/>
      <c r="M526" s="1290"/>
      <c r="R526" s="282"/>
      <c r="S526" s="282"/>
      <c r="T526" s="282"/>
      <c r="U526" s="282"/>
      <c r="V526" s="282"/>
      <c r="W526" s="282"/>
      <c r="X526" s="282"/>
      <c r="Y526" s="282"/>
      <c r="Z526" s="282"/>
      <c r="AA526" s="282"/>
    </row>
    <row r="527" spans="1:27" s="428" customFormat="1" outlineLevel="3" x14ac:dyDescent="0.25">
      <c r="A527" s="276">
        <f t="shared" si="138"/>
        <v>231</v>
      </c>
      <c r="B527" s="758" t="str">
        <f>$B$231</f>
        <v>PE teacher</v>
      </c>
      <c r="C527" s="560"/>
      <c r="D527" s="429"/>
      <c r="E527" s="429"/>
      <c r="F527" s="429"/>
      <c r="G527" s="1290">
        <f>(G231*$C$88*$C$86)</f>
        <v>0</v>
      </c>
      <c r="H527" s="1290">
        <f t="shared" ref="H527:M531" si="150">(H231*$C$88*$C$86)*$C$46^(H$11-$G$11)</f>
        <v>0</v>
      </c>
      <c r="I527" s="1290">
        <f t="shared" si="150"/>
        <v>0</v>
      </c>
      <c r="J527" s="1290">
        <f t="shared" si="150"/>
        <v>0</v>
      </c>
      <c r="K527" s="1290">
        <f t="shared" si="150"/>
        <v>0</v>
      </c>
      <c r="L527" s="1290">
        <f t="shared" si="150"/>
        <v>0</v>
      </c>
      <c r="M527" s="1290">
        <f t="shared" si="150"/>
        <v>0</v>
      </c>
      <c r="R527" s="282"/>
      <c r="S527" s="282"/>
      <c r="T527" s="282"/>
      <c r="U527" s="282"/>
      <c r="V527" s="282"/>
      <c r="W527" s="282"/>
      <c r="X527" s="282"/>
      <c r="Y527" s="282"/>
      <c r="Z527" s="282"/>
      <c r="AA527" s="282"/>
    </row>
    <row r="528" spans="1:27" s="428" customFormat="1" outlineLevel="3" x14ac:dyDescent="0.25">
      <c r="A528" s="276">
        <f t="shared" si="138"/>
        <v>232</v>
      </c>
      <c r="B528" s="758" t="str">
        <f>$B$232</f>
        <v>PE teacher</v>
      </c>
      <c r="C528" s="560"/>
      <c r="D528" s="429"/>
      <c r="E528" s="429"/>
      <c r="F528" s="429"/>
      <c r="G528" s="1290">
        <f>(G232*$C$88*$C$86)</f>
        <v>0</v>
      </c>
      <c r="H528" s="1290">
        <f t="shared" si="150"/>
        <v>0</v>
      </c>
      <c r="I528" s="1290">
        <f t="shared" si="150"/>
        <v>0</v>
      </c>
      <c r="J528" s="1290">
        <f t="shared" si="150"/>
        <v>0</v>
      </c>
      <c r="K528" s="1290">
        <f t="shared" si="150"/>
        <v>0</v>
      </c>
      <c r="L528" s="1290">
        <f t="shared" si="150"/>
        <v>0</v>
      </c>
      <c r="M528" s="1290">
        <f t="shared" si="150"/>
        <v>0</v>
      </c>
      <c r="R528" s="282"/>
      <c r="S528" s="282"/>
      <c r="T528" s="282"/>
      <c r="U528" s="282"/>
      <c r="V528" s="282"/>
      <c r="W528" s="282"/>
      <c r="X528" s="282"/>
      <c r="Y528" s="282"/>
      <c r="Z528" s="282"/>
      <c r="AA528" s="282"/>
    </row>
    <row r="529" spans="1:27" s="428" customFormat="1" outlineLevel="3" x14ac:dyDescent="0.25">
      <c r="A529" s="276">
        <f t="shared" si="138"/>
        <v>233</v>
      </c>
      <c r="B529" s="758" t="str">
        <f>$B$233</f>
        <v>Grade Level Teacher</v>
      </c>
      <c r="C529" s="560"/>
      <c r="D529" s="429"/>
      <c r="E529" s="429"/>
      <c r="F529" s="429"/>
      <c r="G529" s="1290">
        <f>(G233*$C$88*$C$86)</f>
        <v>0</v>
      </c>
      <c r="H529" s="1290">
        <f t="shared" si="150"/>
        <v>0</v>
      </c>
      <c r="I529" s="1290">
        <f t="shared" si="150"/>
        <v>0</v>
      </c>
      <c r="J529" s="1290">
        <f t="shared" si="150"/>
        <v>0</v>
      </c>
      <c r="K529" s="1290">
        <f t="shared" si="150"/>
        <v>0</v>
      </c>
      <c r="L529" s="1290">
        <f t="shared" si="150"/>
        <v>0</v>
      </c>
      <c r="M529" s="1290">
        <f t="shared" si="150"/>
        <v>0</v>
      </c>
      <c r="R529" s="282"/>
      <c r="S529" s="282"/>
      <c r="T529" s="282"/>
      <c r="U529" s="282"/>
      <c r="V529" s="282"/>
      <c r="W529" s="282"/>
      <c r="X529" s="282"/>
      <c r="Y529" s="282"/>
      <c r="Z529" s="282"/>
      <c r="AA529" s="282"/>
    </row>
    <row r="530" spans="1:27" s="428" customFormat="1" outlineLevel="3" x14ac:dyDescent="0.25">
      <c r="A530" s="276">
        <f t="shared" si="138"/>
        <v>234</v>
      </c>
      <c r="B530" s="758" t="str">
        <f>$B$234</f>
        <v>Grade Level Teacher</v>
      </c>
      <c r="C530" s="560"/>
      <c r="D530" s="429"/>
      <c r="E530" s="429"/>
      <c r="F530" s="429"/>
      <c r="G530" s="1290">
        <f>(G234*$C$88*$C$86)</f>
        <v>0</v>
      </c>
      <c r="H530" s="1290">
        <f t="shared" si="150"/>
        <v>0</v>
      </c>
      <c r="I530" s="1290">
        <f t="shared" si="150"/>
        <v>0</v>
      </c>
      <c r="J530" s="1290">
        <f t="shared" si="150"/>
        <v>0</v>
      </c>
      <c r="K530" s="1290">
        <f t="shared" si="150"/>
        <v>0</v>
      </c>
      <c r="L530" s="1290">
        <f t="shared" si="150"/>
        <v>0</v>
      </c>
      <c r="M530" s="1290">
        <f t="shared" si="150"/>
        <v>0</v>
      </c>
      <c r="R530" s="282"/>
      <c r="S530" s="282"/>
      <c r="T530" s="282"/>
      <c r="U530" s="282"/>
      <c r="V530" s="282"/>
      <c r="W530" s="282"/>
      <c r="X530" s="282"/>
      <c r="Y530" s="282"/>
      <c r="Z530" s="282"/>
      <c r="AA530" s="282"/>
    </row>
    <row r="531" spans="1:27" s="428" customFormat="1" outlineLevel="3" x14ac:dyDescent="0.25">
      <c r="A531" s="276">
        <f t="shared" si="138"/>
        <v>235</v>
      </c>
      <c r="B531" s="758" t="str">
        <f>$B$235</f>
        <v>Grade Level Teacher</v>
      </c>
      <c r="C531" s="560"/>
      <c r="D531" s="429"/>
      <c r="E531" s="429"/>
      <c r="F531" s="429"/>
      <c r="G531" s="1290">
        <f>(G235*$C$88*$C$86)</f>
        <v>0</v>
      </c>
      <c r="H531" s="1290">
        <f t="shared" si="150"/>
        <v>0</v>
      </c>
      <c r="I531" s="1290">
        <f t="shared" si="150"/>
        <v>0</v>
      </c>
      <c r="J531" s="1290">
        <f t="shared" si="150"/>
        <v>0</v>
      </c>
      <c r="K531" s="1290">
        <f t="shared" si="150"/>
        <v>0</v>
      </c>
      <c r="L531" s="1290">
        <f t="shared" si="150"/>
        <v>0</v>
      </c>
      <c r="M531" s="1290">
        <f t="shared" si="150"/>
        <v>0</v>
      </c>
      <c r="R531" s="282"/>
      <c r="S531" s="282"/>
      <c r="T531" s="282"/>
      <c r="U531" s="282"/>
      <c r="V531" s="282"/>
      <c r="W531" s="282"/>
      <c r="X531" s="282"/>
      <c r="Y531" s="282"/>
      <c r="Z531" s="282"/>
      <c r="AA531" s="282"/>
    </row>
    <row r="532" spans="1:27" s="428" customFormat="1" outlineLevel="3" x14ac:dyDescent="0.25">
      <c r="A532" s="276">
        <f t="shared" si="138"/>
        <v>236</v>
      </c>
      <c r="B532" s="758"/>
      <c r="C532" s="560"/>
      <c r="D532" s="429"/>
      <c r="E532" s="429"/>
      <c r="F532" s="429"/>
      <c r="G532" s="1290"/>
      <c r="H532" s="1290"/>
      <c r="I532" s="1290"/>
      <c r="J532" s="1290"/>
      <c r="K532" s="1290"/>
      <c r="L532" s="1290"/>
      <c r="M532" s="1290"/>
      <c r="R532" s="282"/>
      <c r="S532" s="282"/>
      <c r="T532" s="282"/>
      <c r="U532" s="282"/>
      <c r="V532" s="282"/>
      <c r="W532" s="282"/>
      <c r="X532" s="282"/>
      <c r="Y532" s="282"/>
      <c r="Z532" s="282"/>
      <c r="AA532" s="282"/>
    </row>
    <row r="533" spans="1:27" s="428" customFormat="1" outlineLevel="3" x14ac:dyDescent="0.25">
      <c r="A533" s="276">
        <f t="shared" ref="A533:A567" si="151">ROW(A237)</f>
        <v>237</v>
      </c>
      <c r="B533" s="758" t="str">
        <f>$B$237</f>
        <v>STEAM Teacher</v>
      </c>
      <c r="C533" s="560"/>
      <c r="D533" s="429"/>
      <c r="E533" s="429"/>
      <c r="F533" s="429"/>
      <c r="G533" s="1290">
        <f>(G237*$C$88*$C$86)</f>
        <v>0</v>
      </c>
      <c r="H533" s="1290">
        <f t="shared" ref="H533:M537" si="152">(H237*$C$88*$C$86)*$C$46^(H$11-$G$11)</f>
        <v>0</v>
      </c>
      <c r="I533" s="1290">
        <f t="shared" si="152"/>
        <v>0</v>
      </c>
      <c r="J533" s="1290">
        <f t="shared" si="152"/>
        <v>0</v>
      </c>
      <c r="K533" s="1290">
        <f t="shared" si="152"/>
        <v>0</v>
      </c>
      <c r="L533" s="1290">
        <f t="shared" si="152"/>
        <v>0</v>
      </c>
      <c r="M533" s="1290">
        <f t="shared" si="152"/>
        <v>0</v>
      </c>
      <c r="R533" s="282"/>
      <c r="S533" s="282"/>
      <c r="T533" s="282"/>
      <c r="U533" s="282"/>
      <c r="V533" s="282"/>
      <c r="W533" s="282"/>
      <c r="X533" s="282"/>
      <c r="Y533" s="282"/>
      <c r="Z533" s="282"/>
      <c r="AA533" s="282"/>
    </row>
    <row r="534" spans="1:27" s="428" customFormat="1" outlineLevel="3" x14ac:dyDescent="0.25">
      <c r="A534" s="276">
        <f t="shared" si="151"/>
        <v>238</v>
      </c>
      <c r="B534" s="758" t="str">
        <f>$B$238</f>
        <v>STEAM Teacher</v>
      </c>
      <c r="C534" s="560"/>
      <c r="D534" s="429"/>
      <c r="E534" s="429"/>
      <c r="F534" s="429"/>
      <c r="G534" s="1290">
        <f>(G238*$C$88*$C$86)</f>
        <v>0</v>
      </c>
      <c r="H534" s="1290">
        <f t="shared" si="152"/>
        <v>0</v>
      </c>
      <c r="I534" s="1290">
        <f t="shared" si="152"/>
        <v>0</v>
      </c>
      <c r="J534" s="1290">
        <f t="shared" si="152"/>
        <v>0</v>
      </c>
      <c r="K534" s="1290">
        <f t="shared" si="152"/>
        <v>0</v>
      </c>
      <c r="L534" s="1290">
        <f t="shared" si="152"/>
        <v>0</v>
      </c>
      <c r="M534" s="1290">
        <f t="shared" si="152"/>
        <v>0</v>
      </c>
      <c r="R534" s="282"/>
      <c r="S534" s="282"/>
      <c r="T534" s="282"/>
      <c r="U534" s="282"/>
      <c r="V534" s="282"/>
      <c r="W534" s="282"/>
      <c r="X534" s="282"/>
      <c r="Y534" s="282"/>
      <c r="Z534" s="282"/>
      <c r="AA534" s="282"/>
    </row>
    <row r="535" spans="1:27" s="428" customFormat="1" outlineLevel="3" x14ac:dyDescent="0.25">
      <c r="A535" s="276">
        <f t="shared" si="151"/>
        <v>239</v>
      </c>
      <c r="B535" s="758" t="str">
        <f>$B$239</f>
        <v>Grade Level Teacher</v>
      </c>
      <c r="C535" s="560"/>
      <c r="D535" s="429"/>
      <c r="E535" s="429"/>
      <c r="F535" s="429"/>
      <c r="G535" s="1290">
        <f>(G239*$C$88*$C$86)</f>
        <v>0</v>
      </c>
      <c r="H535" s="1290">
        <f t="shared" si="152"/>
        <v>0</v>
      </c>
      <c r="I535" s="1290">
        <f t="shared" si="152"/>
        <v>0</v>
      </c>
      <c r="J535" s="1290">
        <f t="shared" si="152"/>
        <v>0</v>
      </c>
      <c r="K535" s="1290">
        <f t="shared" si="152"/>
        <v>0</v>
      </c>
      <c r="L535" s="1290">
        <f t="shared" si="152"/>
        <v>0</v>
      </c>
      <c r="M535" s="1290">
        <f t="shared" si="152"/>
        <v>0</v>
      </c>
      <c r="R535" s="282"/>
      <c r="S535" s="282"/>
      <c r="T535" s="282"/>
      <c r="U535" s="282"/>
      <c r="V535" s="282"/>
      <c r="W535" s="282"/>
      <c r="X535" s="282"/>
      <c r="Y535" s="282"/>
      <c r="Z535" s="282"/>
      <c r="AA535" s="282"/>
    </row>
    <row r="536" spans="1:27" s="428" customFormat="1" outlineLevel="3" x14ac:dyDescent="0.25">
      <c r="A536" s="276">
        <f t="shared" si="151"/>
        <v>240</v>
      </c>
      <c r="B536" s="758" t="str">
        <f>$B$240</f>
        <v>Grade Level Teacher</v>
      </c>
      <c r="C536" s="560"/>
      <c r="D536" s="429"/>
      <c r="E536" s="429"/>
      <c r="F536" s="429"/>
      <c r="G536" s="1290">
        <f>(G240*$C$88*$C$86)</f>
        <v>0</v>
      </c>
      <c r="H536" s="1290">
        <f t="shared" si="152"/>
        <v>0</v>
      </c>
      <c r="I536" s="1290">
        <f t="shared" si="152"/>
        <v>0</v>
      </c>
      <c r="J536" s="1290">
        <f t="shared" si="152"/>
        <v>0</v>
      </c>
      <c r="K536" s="1290">
        <f t="shared" si="152"/>
        <v>0</v>
      </c>
      <c r="L536" s="1290">
        <f t="shared" si="152"/>
        <v>0</v>
      </c>
      <c r="M536" s="1290">
        <f t="shared" si="152"/>
        <v>0</v>
      </c>
      <c r="R536" s="282"/>
      <c r="S536" s="282"/>
      <c r="T536" s="282"/>
      <c r="U536" s="282"/>
      <c r="V536" s="282"/>
      <c r="W536" s="282"/>
      <c r="X536" s="282"/>
      <c r="Y536" s="282"/>
      <c r="Z536" s="282"/>
      <c r="AA536" s="282"/>
    </row>
    <row r="537" spans="1:27" s="428" customFormat="1" outlineLevel="3" x14ac:dyDescent="0.25">
      <c r="A537" s="276">
        <f t="shared" si="151"/>
        <v>241</v>
      </c>
      <c r="B537" s="758" t="str">
        <f>$B$241</f>
        <v>Grade Level Teacher</v>
      </c>
      <c r="C537" s="560"/>
      <c r="D537" s="429"/>
      <c r="E537" s="429"/>
      <c r="F537" s="429"/>
      <c r="G537" s="1290">
        <f>(G241*$C$88*$C$86)</f>
        <v>0</v>
      </c>
      <c r="H537" s="1290">
        <f t="shared" si="152"/>
        <v>0</v>
      </c>
      <c r="I537" s="1290">
        <f t="shared" si="152"/>
        <v>0</v>
      </c>
      <c r="J537" s="1290">
        <f t="shared" si="152"/>
        <v>0</v>
      </c>
      <c r="K537" s="1290">
        <f t="shared" si="152"/>
        <v>0</v>
      </c>
      <c r="L537" s="1290">
        <f t="shared" si="152"/>
        <v>0</v>
      </c>
      <c r="M537" s="1290">
        <f t="shared" si="152"/>
        <v>0</v>
      </c>
      <c r="R537" s="282"/>
      <c r="S537" s="282"/>
      <c r="T537" s="282"/>
      <c r="U537" s="282"/>
      <c r="V537" s="282"/>
      <c r="W537" s="282"/>
      <c r="X537" s="282"/>
      <c r="Y537" s="282"/>
      <c r="Z537" s="282"/>
      <c r="AA537" s="282"/>
    </row>
    <row r="538" spans="1:27" s="431" customFormat="1" outlineLevel="3" x14ac:dyDescent="0.25">
      <c r="A538" s="276">
        <f t="shared" si="151"/>
        <v>242</v>
      </c>
      <c r="B538" s="758"/>
      <c r="C538" s="561"/>
      <c r="D538" s="428"/>
      <c r="E538" s="428"/>
      <c r="F538" s="428"/>
      <c r="G538" s="1290"/>
      <c r="H538" s="1290"/>
      <c r="I538" s="1290"/>
      <c r="J538" s="1290"/>
      <c r="K538" s="1290"/>
      <c r="L538" s="1290"/>
      <c r="M538" s="1290"/>
      <c r="R538" s="282"/>
      <c r="S538" s="282"/>
      <c r="T538" s="282"/>
      <c r="U538" s="282"/>
      <c r="V538" s="282"/>
      <c r="W538" s="282"/>
      <c r="X538" s="282"/>
      <c r="Y538" s="282"/>
      <c r="Z538" s="282"/>
      <c r="AA538" s="282"/>
    </row>
    <row r="539" spans="1:27" s="428" customFormat="1" outlineLevel="3" x14ac:dyDescent="0.25">
      <c r="A539" s="276">
        <f t="shared" si="151"/>
        <v>243</v>
      </c>
      <c r="B539" s="758" t="str">
        <f>$B$243</f>
        <v>Spanish Teacher</v>
      </c>
      <c r="C539" s="560"/>
      <c r="D539" s="429"/>
      <c r="E539" s="429"/>
      <c r="F539" s="429"/>
      <c r="G539" s="1290">
        <f>(G243*$C$88*$C$86)</f>
        <v>0</v>
      </c>
      <c r="H539" s="1290">
        <f t="shared" ref="H539:M543" si="153">(H243*$C$88*$C$86)*$C$46^(H$11-$G$11)</f>
        <v>0</v>
      </c>
      <c r="I539" s="1290">
        <f t="shared" si="153"/>
        <v>0</v>
      </c>
      <c r="J539" s="1290">
        <f t="shared" si="153"/>
        <v>0</v>
      </c>
      <c r="K539" s="1290">
        <f t="shared" si="153"/>
        <v>0</v>
      </c>
      <c r="L539" s="1290">
        <f t="shared" si="153"/>
        <v>0</v>
      </c>
      <c r="M539" s="1290">
        <f t="shared" si="153"/>
        <v>0</v>
      </c>
      <c r="R539" s="282"/>
      <c r="S539" s="282"/>
      <c r="T539" s="282"/>
      <c r="U539" s="282"/>
      <c r="V539" s="282"/>
      <c r="W539" s="282"/>
      <c r="X539" s="282"/>
      <c r="Y539" s="282"/>
      <c r="Z539" s="282"/>
      <c r="AA539" s="282"/>
    </row>
    <row r="540" spans="1:27" s="428" customFormat="1" outlineLevel="3" x14ac:dyDescent="0.25">
      <c r="A540" s="276">
        <f t="shared" si="151"/>
        <v>244</v>
      </c>
      <c r="B540" s="758" t="str">
        <f>$B$244</f>
        <v>Art Teacher</v>
      </c>
      <c r="C540" s="560"/>
      <c r="D540" s="429"/>
      <c r="E540" s="429"/>
      <c r="F540" s="429"/>
      <c r="G540" s="1290">
        <f>(G244*$C$88*$C$86)</f>
        <v>0</v>
      </c>
      <c r="H540" s="1290">
        <f t="shared" si="153"/>
        <v>0</v>
      </c>
      <c r="I540" s="1290">
        <f t="shared" si="153"/>
        <v>0</v>
      </c>
      <c r="J540" s="1290">
        <f t="shared" si="153"/>
        <v>0</v>
      </c>
      <c r="K540" s="1290">
        <f t="shared" si="153"/>
        <v>0</v>
      </c>
      <c r="L540" s="1290">
        <f t="shared" si="153"/>
        <v>0</v>
      </c>
      <c r="M540" s="1290">
        <f t="shared" si="153"/>
        <v>0</v>
      </c>
      <c r="R540" s="282"/>
      <c r="S540" s="282"/>
      <c r="T540" s="282"/>
      <c r="U540" s="282"/>
      <c r="V540" s="282"/>
      <c r="W540" s="282"/>
      <c r="X540" s="282"/>
      <c r="Y540" s="282"/>
      <c r="Z540" s="282"/>
      <c r="AA540" s="282"/>
    </row>
    <row r="541" spans="1:27" s="428" customFormat="1" outlineLevel="3" x14ac:dyDescent="0.25">
      <c r="A541" s="276">
        <f t="shared" si="151"/>
        <v>245</v>
      </c>
      <c r="B541" s="758" t="str">
        <f>$B$245</f>
        <v>Grade Level Teacher</v>
      </c>
      <c r="C541" s="560"/>
      <c r="D541" s="429"/>
      <c r="E541" s="429"/>
      <c r="F541" s="429"/>
      <c r="G541" s="1290">
        <f>(G245*$C$88*$C$86)</f>
        <v>0</v>
      </c>
      <c r="H541" s="1290">
        <f t="shared" si="153"/>
        <v>0</v>
      </c>
      <c r="I541" s="1290">
        <f t="shared" si="153"/>
        <v>0</v>
      </c>
      <c r="J541" s="1290">
        <f t="shared" si="153"/>
        <v>0</v>
      </c>
      <c r="K541" s="1290">
        <f t="shared" si="153"/>
        <v>0</v>
      </c>
      <c r="L541" s="1290">
        <f t="shared" si="153"/>
        <v>0</v>
      </c>
      <c r="M541" s="1290">
        <f t="shared" si="153"/>
        <v>0</v>
      </c>
      <c r="R541" s="282"/>
      <c r="S541" s="282"/>
      <c r="T541" s="282"/>
      <c r="U541" s="282"/>
      <c r="V541" s="282"/>
      <c r="W541" s="282"/>
      <c r="X541" s="282"/>
      <c r="Y541" s="282"/>
      <c r="Z541" s="282"/>
      <c r="AA541" s="282"/>
    </row>
    <row r="542" spans="1:27" s="428" customFormat="1" outlineLevel="3" x14ac:dyDescent="0.25">
      <c r="A542" s="276">
        <f t="shared" si="151"/>
        <v>246</v>
      </c>
      <c r="B542" s="758" t="str">
        <f>$B$246</f>
        <v>Grade Level Teacher</v>
      </c>
      <c r="C542" s="560"/>
      <c r="D542" s="429"/>
      <c r="E542" s="429"/>
      <c r="F542" s="429"/>
      <c r="G542" s="1290">
        <f>(G246*$C$88*$C$86)</f>
        <v>0</v>
      </c>
      <c r="H542" s="1290">
        <f t="shared" si="153"/>
        <v>0</v>
      </c>
      <c r="I542" s="1290">
        <f t="shared" si="153"/>
        <v>0</v>
      </c>
      <c r="J542" s="1290">
        <f t="shared" si="153"/>
        <v>0</v>
      </c>
      <c r="K542" s="1290">
        <f t="shared" si="153"/>
        <v>0</v>
      </c>
      <c r="L542" s="1290">
        <f t="shared" si="153"/>
        <v>0</v>
      </c>
      <c r="M542" s="1290">
        <f t="shared" si="153"/>
        <v>0</v>
      </c>
      <c r="R542" s="282"/>
      <c r="S542" s="282"/>
      <c r="T542" s="282"/>
      <c r="U542" s="282"/>
      <c r="V542" s="282"/>
      <c r="W542" s="282"/>
      <c r="X542" s="282"/>
      <c r="Y542" s="282"/>
      <c r="Z542" s="282"/>
      <c r="AA542" s="282"/>
    </row>
    <row r="543" spans="1:27" s="428" customFormat="1" outlineLevel="3" x14ac:dyDescent="0.25">
      <c r="A543" s="276">
        <f t="shared" si="151"/>
        <v>247</v>
      </c>
      <c r="B543" s="758" t="str">
        <f>$B$247</f>
        <v>Grade Level Teacher</v>
      </c>
      <c r="C543" s="560"/>
      <c r="D543" s="429"/>
      <c r="E543" s="429"/>
      <c r="F543" s="429"/>
      <c r="G543" s="1290">
        <f>(G247*$C$88*$C$86)</f>
        <v>0</v>
      </c>
      <c r="H543" s="1290">
        <f t="shared" si="153"/>
        <v>0</v>
      </c>
      <c r="I543" s="1290">
        <f t="shared" si="153"/>
        <v>0</v>
      </c>
      <c r="J543" s="1290">
        <f t="shared" si="153"/>
        <v>0</v>
      </c>
      <c r="K543" s="1290">
        <f t="shared" si="153"/>
        <v>0</v>
      </c>
      <c r="L543" s="1290">
        <f t="shared" si="153"/>
        <v>0</v>
      </c>
      <c r="M543" s="1290">
        <f t="shared" si="153"/>
        <v>0</v>
      </c>
      <c r="R543" s="282"/>
      <c r="S543" s="282"/>
      <c r="T543" s="282"/>
      <c r="U543" s="282"/>
      <c r="V543" s="282"/>
      <c r="W543" s="282"/>
      <c r="X543" s="282"/>
      <c r="Y543" s="282"/>
      <c r="Z543" s="282"/>
      <c r="AA543" s="282"/>
    </row>
    <row r="544" spans="1:27" s="431" customFormat="1" outlineLevel="3" x14ac:dyDescent="0.25">
      <c r="A544" s="276">
        <f t="shared" si="151"/>
        <v>248</v>
      </c>
      <c r="B544" s="758"/>
      <c r="C544" s="561"/>
      <c r="D544" s="428"/>
      <c r="E544" s="428"/>
      <c r="F544" s="428"/>
      <c r="G544" s="1290"/>
      <c r="H544" s="1290"/>
      <c r="I544" s="1290"/>
      <c r="J544" s="1290"/>
      <c r="K544" s="1290"/>
      <c r="L544" s="1290"/>
      <c r="M544" s="1290"/>
      <c r="R544" s="282"/>
      <c r="S544" s="282"/>
      <c r="T544" s="282"/>
      <c r="U544" s="282"/>
      <c r="V544" s="282"/>
      <c r="W544" s="282"/>
      <c r="X544" s="282"/>
      <c r="Y544" s="282"/>
      <c r="Z544" s="282"/>
      <c r="AA544" s="282"/>
    </row>
    <row r="545" spans="1:27" s="428" customFormat="1" outlineLevel="3" x14ac:dyDescent="0.25">
      <c r="A545" s="276">
        <f t="shared" si="151"/>
        <v>249</v>
      </c>
      <c r="B545" s="758" t="str">
        <f>$B$249</f>
        <v>Grade Level Teacher</v>
      </c>
      <c r="C545" s="560"/>
      <c r="D545" s="429"/>
      <c r="E545" s="429"/>
      <c r="F545" s="429"/>
      <c r="G545" s="1290">
        <f>(G249*$C$88*$C$86)</f>
        <v>0</v>
      </c>
      <c r="H545" s="1290">
        <f t="shared" ref="H545:M549" si="154">(H249*$C$88*$C$86)*$C$46^(H$11-$G$11)</f>
        <v>0</v>
      </c>
      <c r="I545" s="1290">
        <f t="shared" si="154"/>
        <v>0</v>
      </c>
      <c r="J545" s="1290">
        <f t="shared" si="154"/>
        <v>0</v>
      </c>
      <c r="K545" s="1290">
        <f t="shared" si="154"/>
        <v>0</v>
      </c>
      <c r="L545" s="1290">
        <f t="shared" si="154"/>
        <v>0</v>
      </c>
      <c r="M545" s="1290">
        <f t="shared" si="154"/>
        <v>0</v>
      </c>
      <c r="R545" s="282"/>
      <c r="S545" s="282"/>
      <c r="T545" s="282"/>
      <c r="U545" s="282"/>
      <c r="V545" s="282"/>
      <c r="W545" s="282"/>
      <c r="X545" s="282"/>
      <c r="Y545" s="282"/>
      <c r="Z545" s="282"/>
      <c r="AA545" s="282"/>
    </row>
    <row r="546" spans="1:27" s="428" customFormat="1" outlineLevel="3" x14ac:dyDescent="0.25">
      <c r="A546" s="276">
        <f t="shared" si="151"/>
        <v>250</v>
      </c>
      <c r="B546" s="758" t="str">
        <f>$B$250</f>
        <v>Grade Level Teacher</v>
      </c>
      <c r="C546" s="560"/>
      <c r="D546" s="429"/>
      <c r="E546" s="429"/>
      <c r="F546" s="429"/>
      <c r="G546" s="1290">
        <f>(G250*$C$88*$C$86)</f>
        <v>0</v>
      </c>
      <c r="H546" s="1290">
        <f t="shared" si="154"/>
        <v>0</v>
      </c>
      <c r="I546" s="1290">
        <f t="shared" si="154"/>
        <v>0</v>
      </c>
      <c r="J546" s="1290">
        <f t="shared" si="154"/>
        <v>0</v>
      </c>
      <c r="K546" s="1290">
        <f t="shared" si="154"/>
        <v>0</v>
      </c>
      <c r="L546" s="1290">
        <f t="shared" si="154"/>
        <v>0</v>
      </c>
      <c r="M546" s="1290">
        <f t="shared" si="154"/>
        <v>0</v>
      </c>
      <c r="R546" s="282"/>
      <c r="S546" s="282"/>
      <c r="T546" s="282"/>
      <c r="U546" s="282"/>
      <c r="V546" s="282"/>
      <c r="W546" s="282"/>
      <c r="X546" s="282"/>
      <c r="Y546" s="282"/>
      <c r="Z546" s="282"/>
      <c r="AA546" s="282"/>
    </row>
    <row r="547" spans="1:27" s="428" customFormat="1" outlineLevel="3" x14ac:dyDescent="0.25">
      <c r="A547" s="276">
        <f t="shared" si="151"/>
        <v>251</v>
      </c>
      <c r="B547" s="758" t="str">
        <f>$B$251</f>
        <v>Grade Level Teacher</v>
      </c>
      <c r="C547" s="560"/>
      <c r="D547" s="429"/>
      <c r="E547" s="429"/>
      <c r="F547" s="429"/>
      <c r="G547" s="1290">
        <f>(G251*$C$88*$C$86)</f>
        <v>0</v>
      </c>
      <c r="H547" s="1290">
        <f t="shared" si="154"/>
        <v>0</v>
      </c>
      <c r="I547" s="1290">
        <f t="shared" si="154"/>
        <v>0</v>
      </c>
      <c r="J547" s="1290">
        <f t="shared" si="154"/>
        <v>0</v>
      </c>
      <c r="K547" s="1290">
        <f t="shared" si="154"/>
        <v>0</v>
      </c>
      <c r="L547" s="1290">
        <f t="shared" si="154"/>
        <v>0</v>
      </c>
      <c r="M547" s="1290">
        <f t="shared" si="154"/>
        <v>0</v>
      </c>
      <c r="R547" s="282"/>
      <c r="S547" s="282"/>
      <c r="T547" s="282"/>
      <c r="U547" s="282"/>
      <c r="V547" s="282"/>
      <c r="W547" s="282"/>
      <c r="X547" s="282"/>
      <c r="Y547" s="282"/>
      <c r="Z547" s="282"/>
      <c r="AA547" s="282"/>
    </row>
    <row r="548" spans="1:27" s="428" customFormat="1" outlineLevel="3" x14ac:dyDescent="0.25">
      <c r="A548" s="276">
        <f t="shared" si="151"/>
        <v>252</v>
      </c>
      <c r="B548" s="758" t="str">
        <f>$B$252</f>
        <v>Grade Level Teacher</v>
      </c>
      <c r="C548" s="560"/>
      <c r="D548" s="429"/>
      <c r="E548" s="429"/>
      <c r="F548" s="429"/>
      <c r="G548" s="1290">
        <f>(G252*$C$88*$C$86)</f>
        <v>0</v>
      </c>
      <c r="H548" s="1290">
        <f t="shared" si="154"/>
        <v>0</v>
      </c>
      <c r="I548" s="1290">
        <f t="shared" si="154"/>
        <v>0</v>
      </c>
      <c r="J548" s="1290">
        <f t="shared" si="154"/>
        <v>0</v>
      </c>
      <c r="K548" s="1290">
        <f t="shared" si="154"/>
        <v>0</v>
      </c>
      <c r="L548" s="1290">
        <f t="shared" si="154"/>
        <v>0</v>
      </c>
      <c r="M548" s="1290">
        <f t="shared" si="154"/>
        <v>0</v>
      </c>
      <c r="R548" s="282"/>
      <c r="S548" s="282"/>
      <c r="T548" s="282"/>
      <c r="U548" s="282"/>
      <c r="V548" s="282"/>
      <c r="W548" s="282"/>
      <c r="X548" s="282"/>
      <c r="Y548" s="282"/>
      <c r="Z548" s="282"/>
      <c r="AA548" s="282"/>
    </row>
    <row r="549" spans="1:27" s="428" customFormat="1" outlineLevel="3" x14ac:dyDescent="0.25">
      <c r="A549" s="276">
        <f t="shared" si="151"/>
        <v>253</v>
      </c>
      <c r="B549" s="758" t="str">
        <f>$B$253</f>
        <v>Grade Level Teacher</v>
      </c>
      <c r="C549" s="560"/>
      <c r="D549" s="429"/>
      <c r="E549" s="429"/>
      <c r="F549" s="429"/>
      <c r="G549" s="1290">
        <f>(G253*$C$88*$C$86)</f>
        <v>0</v>
      </c>
      <c r="H549" s="1290">
        <f t="shared" si="154"/>
        <v>0</v>
      </c>
      <c r="I549" s="1290">
        <f t="shared" si="154"/>
        <v>0</v>
      </c>
      <c r="J549" s="1290">
        <f t="shared" si="154"/>
        <v>0</v>
      </c>
      <c r="K549" s="1290">
        <f t="shared" si="154"/>
        <v>0</v>
      </c>
      <c r="L549" s="1290">
        <f t="shared" si="154"/>
        <v>0</v>
      </c>
      <c r="M549" s="1290">
        <f t="shared" si="154"/>
        <v>0</v>
      </c>
      <c r="R549" s="282"/>
      <c r="S549" s="282"/>
      <c r="T549" s="282"/>
      <c r="U549" s="282"/>
      <c r="V549" s="282"/>
      <c r="W549" s="282"/>
      <c r="X549" s="282"/>
      <c r="Y549" s="282"/>
      <c r="Z549" s="282"/>
      <c r="AA549" s="282"/>
    </row>
    <row r="550" spans="1:27" s="428" customFormat="1" outlineLevel="3" x14ac:dyDescent="0.25">
      <c r="A550" s="276">
        <f t="shared" si="151"/>
        <v>254</v>
      </c>
      <c r="B550" s="758"/>
      <c r="C550" s="560"/>
      <c r="D550" s="429"/>
      <c r="E550" s="429"/>
      <c r="F550" s="429"/>
      <c r="G550" s="1290"/>
      <c r="H550" s="1290"/>
      <c r="I550" s="1290"/>
      <c r="J550" s="1290"/>
      <c r="K550" s="1290"/>
      <c r="L550" s="1290"/>
      <c r="M550" s="1290"/>
      <c r="R550" s="282"/>
      <c r="S550" s="282"/>
      <c r="T550" s="282"/>
      <c r="U550" s="282"/>
      <c r="V550" s="282"/>
      <c r="W550" s="282"/>
      <c r="X550" s="282"/>
      <c r="Y550" s="282"/>
      <c r="Z550" s="282"/>
      <c r="AA550" s="282"/>
    </row>
    <row r="551" spans="1:27" s="428" customFormat="1" outlineLevel="3" x14ac:dyDescent="0.25">
      <c r="A551" s="276">
        <f t="shared" si="151"/>
        <v>255</v>
      </c>
      <c r="B551" s="758" t="str">
        <f>$B$255</f>
        <v>Grade Level Teacher</v>
      </c>
      <c r="C551" s="560"/>
      <c r="D551" s="429"/>
      <c r="E551" s="429"/>
      <c r="F551" s="429"/>
      <c r="G551" s="1290">
        <f>(G255*$C$88*$C$86)</f>
        <v>0</v>
      </c>
      <c r="H551" s="1290">
        <f t="shared" ref="H551:M555" si="155">(H255*$C$88*$C$86)*$C$46^(H$11-$G$11)</f>
        <v>0</v>
      </c>
      <c r="I551" s="1290">
        <f t="shared" si="155"/>
        <v>0</v>
      </c>
      <c r="J551" s="1290">
        <f t="shared" si="155"/>
        <v>0</v>
      </c>
      <c r="K551" s="1290">
        <f t="shared" si="155"/>
        <v>0</v>
      </c>
      <c r="L551" s="1290">
        <f t="shared" si="155"/>
        <v>0</v>
      </c>
      <c r="M551" s="1290">
        <f t="shared" si="155"/>
        <v>0</v>
      </c>
      <c r="R551" s="282"/>
      <c r="S551" s="282"/>
      <c r="T551" s="282"/>
      <c r="U551" s="282"/>
      <c r="V551" s="282"/>
      <c r="W551" s="282"/>
      <c r="X551" s="282"/>
      <c r="Y551" s="282"/>
      <c r="Z551" s="282"/>
      <c r="AA551" s="282"/>
    </row>
    <row r="552" spans="1:27" s="428" customFormat="1" outlineLevel="3" x14ac:dyDescent="0.25">
      <c r="A552" s="276">
        <f t="shared" si="151"/>
        <v>256</v>
      </c>
      <c r="B552" s="758" t="str">
        <f>$B$256</f>
        <v>Grade Level Teacher</v>
      </c>
      <c r="C552" s="560"/>
      <c r="D552" s="429"/>
      <c r="E552" s="429"/>
      <c r="F552" s="429"/>
      <c r="G552" s="1290">
        <f>(G256*$C$88*$C$86)</f>
        <v>0</v>
      </c>
      <c r="H552" s="1290">
        <f t="shared" si="155"/>
        <v>0</v>
      </c>
      <c r="I552" s="1290">
        <f t="shared" si="155"/>
        <v>0</v>
      </c>
      <c r="J552" s="1290">
        <f t="shared" si="155"/>
        <v>0</v>
      </c>
      <c r="K552" s="1290">
        <f t="shared" si="155"/>
        <v>0</v>
      </c>
      <c r="L552" s="1290">
        <f t="shared" si="155"/>
        <v>0</v>
      </c>
      <c r="M552" s="1290">
        <f t="shared" si="155"/>
        <v>0</v>
      </c>
      <c r="R552" s="282"/>
      <c r="S552" s="282"/>
      <c r="T552" s="282"/>
      <c r="U552" s="282"/>
      <c r="V552" s="282"/>
      <c r="W552" s="282"/>
      <c r="X552" s="282"/>
      <c r="Y552" s="282"/>
      <c r="Z552" s="282"/>
      <c r="AA552" s="282"/>
    </row>
    <row r="553" spans="1:27" s="428" customFormat="1" outlineLevel="3" x14ac:dyDescent="0.25">
      <c r="A553" s="276">
        <f t="shared" si="151"/>
        <v>257</v>
      </c>
      <c r="B553" s="758" t="str">
        <f>$B$257</f>
        <v>Grade Level Teacher</v>
      </c>
      <c r="C553" s="560"/>
      <c r="D553" s="429"/>
      <c r="E553" s="429"/>
      <c r="F553" s="429"/>
      <c r="G553" s="1290">
        <f>(G257*$C$88*$C$86)</f>
        <v>0</v>
      </c>
      <c r="H553" s="1290">
        <f t="shared" si="155"/>
        <v>0</v>
      </c>
      <c r="I553" s="1290">
        <f t="shared" si="155"/>
        <v>0</v>
      </c>
      <c r="J553" s="1290">
        <f t="shared" si="155"/>
        <v>0</v>
      </c>
      <c r="K553" s="1290">
        <f t="shared" si="155"/>
        <v>0</v>
      </c>
      <c r="L553" s="1290">
        <f t="shared" si="155"/>
        <v>0</v>
      </c>
      <c r="M553" s="1290">
        <f t="shared" si="155"/>
        <v>0</v>
      </c>
      <c r="R553" s="282"/>
      <c r="S553" s="282"/>
      <c r="T553" s="282"/>
      <c r="U553" s="282"/>
      <c r="V553" s="282"/>
      <c r="W553" s="282"/>
      <c r="X553" s="282"/>
      <c r="Y553" s="282"/>
      <c r="Z553" s="282"/>
      <c r="AA553" s="282"/>
    </row>
    <row r="554" spans="1:27" s="428" customFormat="1" outlineLevel="3" x14ac:dyDescent="0.25">
      <c r="A554" s="276">
        <f t="shared" si="151"/>
        <v>258</v>
      </c>
      <c r="B554" s="758" t="str">
        <f>$B$258</f>
        <v>Grade Level Teacher</v>
      </c>
      <c r="C554" s="560"/>
      <c r="D554" s="429"/>
      <c r="E554" s="429"/>
      <c r="F554" s="429"/>
      <c r="G554" s="1290">
        <f>(G258*$C$88*$C$86)</f>
        <v>0</v>
      </c>
      <c r="H554" s="1290">
        <f t="shared" si="155"/>
        <v>0</v>
      </c>
      <c r="I554" s="1290">
        <f t="shared" si="155"/>
        <v>0</v>
      </c>
      <c r="J554" s="1290">
        <f t="shared" si="155"/>
        <v>0</v>
      </c>
      <c r="K554" s="1290">
        <f t="shared" si="155"/>
        <v>0</v>
      </c>
      <c r="L554" s="1290">
        <f t="shared" si="155"/>
        <v>0</v>
      </c>
      <c r="M554" s="1290">
        <f t="shared" si="155"/>
        <v>0</v>
      </c>
      <c r="R554" s="282"/>
      <c r="S554" s="282"/>
      <c r="T554" s="282"/>
      <c r="U554" s="282"/>
      <c r="V554" s="282"/>
      <c r="W554" s="282"/>
      <c r="X554" s="282"/>
      <c r="Y554" s="282"/>
      <c r="Z554" s="282"/>
      <c r="AA554" s="282"/>
    </row>
    <row r="555" spans="1:27" s="428" customFormat="1" outlineLevel="3" x14ac:dyDescent="0.25">
      <c r="A555" s="276">
        <f t="shared" si="151"/>
        <v>259</v>
      </c>
      <c r="B555" s="758" t="str">
        <f>$B$259</f>
        <v>Grade Level Teacher</v>
      </c>
      <c r="C555" s="560"/>
      <c r="D555" s="429"/>
      <c r="E555" s="429"/>
      <c r="F555" s="429"/>
      <c r="G555" s="1290">
        <f>(G259*$C$88*$C$86)</f>
        <v>0</v>
      </c>
      <c r="H555" s="1290">
        <f t="shared" si="155"/>
        <v>0</v>
      </c>
      <c r="I555" s="1290">
        <f t="shared" si="155"/>
        <v>0</v>
      </c>
      <c r="J555" s="1290">
        <f t="shared" si="155"/>
        <v>0</v>
      </c>
      <c r="K555" s="1290">
        <f t="shared" si="155"/>
        <v>0</v>
      </c>
      <c r="L555" s="1290">
        <f t="shared" si="155"/>
        <v>0</v>
      </c>
      <c r="M555" s="1290">
        <f t="shared" si="155"/>
        <v>0</v>
      </c>
      <c r="R555" s="282"/>
      <c r="S555" s="282"/>
      <c r="T555" s="282"/>
      <c r="U555" s="282"/>
      <c r="V555" s="282"/>
      <c r="W555" s="282"/>
      <c r="X555" s="282"/>
      <c r="Y555" s="282"/>
      <c r="Z555" s="282"/>
      <c r="AA555" s="282"/>
    </row>
    <row r="556" spans="1:27" s="428" customFormat="1" outlineLevel="3" x14ac:dyDescent="0.25">
      <c r="A556" s="276">
        <f t="shared" si="151"/>
        <v>260</v>
      </c>
      <c r="B556" s="758"/>
      <c r="C556" s="560"/>
      <c r="D556" s="429"/>
      <c r="E556" s="429"/>
      <c r="F556" s="429"/>
      <c r="G556" s="1290"/>
      <c r="H556" s="1290"/>
      <c r="I556" s="1290"/>
      <c r="J556" s="1290"/>
      <c r="K556" s="1290"/>
      <c r="L556" s="1290"/>
      <c r="M556" s="1290"/>
      <c r="R556" s="282"/>
      <c r="S556" s="282"/>
      <c r="T556" s="282"/>
      <c r="U556" s="282"/>
      <c r="V556" s="282"/>
      <c r="W556" s="282"/>
      <c r="X556" s="282"/>
      <c r="Y556" s="282"/>
      <c r="Z556" s="282"/>
      <c r="AA556" s="282"/>
    </row>
    <row r="557" spans="1:27" s="428" customFormat="1" outlineLevel="3" x14ac:dyDescent="0.25">
      <c r="A557" s="276">
        <f t="shared" si="151"/>
        <v>261</v>
      </c>
      <c r="B557" s="758" t="str">
        <f>$B$261</f>
        <v>Grade Level Teacher</v>
      </c>
      <c r="C557" s="560"/>
      <c r="D557" s="429"/>
      <c r="E557" s="429"/>
      <c r="F557" s="429"/>
      <c r="G557" s="1290">
        <f>(G261*$C$88*$C$86)</f>
        <v>0</v>
      </c>
      <c r="H557" s="1290">
        <f t="shared" ref="H557:M561" si="156">(H261*$C$88*$C$86)*$C$46^(H$11-$G$11)</f>
        <v>0</v>
      </c>
      <c r="I557" s="1290">
        <f t="shared" si="156"/>
        <v>0</v>
      </c>
      <c r="J557" s="1290">
        <f t="shared" si="156"/>
        <v>0</v>
      </c>
      <c r="K557" s="1290">
        <f t="shared" si="156"/>
        <v>0</v>
      </c>
      <c r="L557" s="1290">
        <f t="shared" si="156"/>
        <v>0</v>
      </c>
      <c r="M557" s="1290">
        <f t="shared" si="156"/>
        <v>0</v>
      </c>
      <c r="R557" s="282"/>
      <c r="S557" s="282"/>
      <c r="T557" s="282"/>
      <c r="U557" s="282"/>
      <c r="V557" s="282"/>
      <c r="W557" s="282"/>
      <c r="X557" s="282"/>
      <c r="Y557" s="282"/>
      <c r="Z557" s="282"/>
      <c r="AA557" s="282"/>
    </row>
    <row r="558" spans="1:27" s="428" customFormat="1" outlineLevel="3" x14ac:dyDescent="0.25">
      <c r="A558" s="276">
        <f t="shared" si="151"/>
        <v>262</v>
      </c>
      <c r="B558" s="758" t="str">
        <f>$B$262</f>
        <v>Grade Level Teacher</v>
      </c>
      <c r="C558" s="560"/>
      <c r="D558" s="429"/>
      <c r="E558" s="429"/>
      <c r="F558" s="429"/>
      <c r="G558" s="1290">
        <f>(G262*$C$88*$C$86)</f>
        <v>0</v>
      </c>
      <c r="H558" s="1290">
        <f t="shared" si="156"/>
        <v>0</v>
      </c>
      <c r="I558" s="1290">
        <f t="shared" si="156"/>
        <v>0</v>
      </c>
      <c r="J558" s="1290">
        <f t="shared" si="156"/>
        <v>0</v>
      </c>
      <c r="K558" s="1290">
        <f t="shared" si="156"/>
        <v>0</v>
      </c>
      <c r="L558" s="1290">
        <f t="shared" si="156"/>
        <v>0</v>
      </c>
      <c r="M558" s="1290">
        <f t="shared" si="156"/>
        <v>0</v>
      </c>
      <c r="R558" s="282"/>
      <c r="S558" s="282"/>
      <c r="T558" s="282"/>
      <c r="U558" s="282"/>
      <c r="V558" s="282"/>
      <c r="W558" s="282"/>
      <c r="X558" s="282"/>
      <c r="Y558" s="282"/>
      <c r="Z558" s="282"/>
      <c r="AA558" s="282"/>
    </row>
    <row r="559" spans="1:27" s="428" customFormat="1" outlineLevel="3" x14ac:dyDescent="0.25">
      <c r="A559" s="276">
        <f t="shared" si="151"/>
        <v>263</v>
      </c>
      <c r="B559" s="758" t="str">
        <f>$B$263</f>
        <v>Grade Level Teacher</v>
      </c>
      <c r="C559" s="560"/>
      <c r="D559" s="429"/>
      <c r="E559" s="429"/>
      <c r="F559" s="429"/>
      <c r="G559" s="1290">
        <f>(G263*$C$88*$C$86)</f>
        <v>0</v>
      </c>
      <c r="H559" s="1290">
        <f t="shared" si="156"/>
        <v>0</v>
      </c>
      <c r="I559" s="1290">
        <f t="shared" si="156"/>
        <v>0</v>
      </c>
      <c r="J559" s="1290">
        <f t="shared" si="156"/>
        <v>0</v>
      </c>
      <c r="K559" s="1290">
        <f t="shared" si="156"/>
        <v>0</v>
      </c>
      <c r="L559" s="1290">
        <f t="shared" si="156"/>
        <v>0</v>
      </c>
      <c r="M559" s="1290">
        <f t="shared" si="156"/>
        <v>0</v>
      </c>
      <c r="R559" s="282"/>
      <c r="S559" s="282"/>
      <c r="T559" s="282"/>
      <c r="U559" s="282"/>
      <c r="V559" s="282"/>
      <c r="W559" s="282"/>
      <c r="X559" s="282"/>
      <c r="Y559" s="282"/>
      <c r="Z559" s="282"/>
      <c r="AA559" s="282"/>
    </row>
    <row r="560" spans="1:27" s="428" customFormat="1" outlineLevel="3" x14ac:dyDescent="0.25">
      <c r="A560" s="276">
        <f t="shared" si="151"/>
        <v>264</v>
      </c>
      <c r="B560" s="758" t="str">
        <f>$B$264</f>
        <v>Grade Level Teacher</v>
      </c>
      <c r="C560" s="560"/>
      <c r="D560" s="429"/>
      <c r="E560" s="429"/>
      <c r="F560" s="429"/>
      <c r="G560" s="1290">
        <f>(G264*$C$88*$C$86)</f>
        <v>0</v>
      </c>
      <c r="H560" s="1290">
        <f t="shared" si="156"/>
        <v>0</v>
      </c>
      <c r="I560" s="1290">
        <f t="shared" si="156"/>
        <v>0</v>
      </c>
      <c r="J560" s="1290">
        <f t="shared" si="156"/>
        <v>0</v>
      </c>
      <c r="K560" s="1290">
        <f t="shared" si="156"/>
        <v>0</v>
      </c>
      <c r="L560" s="1290">
        <f t="shared" si="156"/>
        <v>0</v>
      </c>
      <c r="M560" s="1290">
        <f t="shared" si="156"/>
        <v>0</v>
      </c>
      <c r="R560" s="282"/>
      <c r="S560" s="282"/>
      <c r="T560" s="282"/>
      <c r="U560" s="282"/>
      <c r="V560" s="282"/>
      <c r="W560" s="282"/>
      <c r="X560" s="282"/>
      <c r="Y560" s="282"/>
      <c r="Z560" s="282"/>
      <c r="AA560" s="282"/>
    </row>
    <row r="561" spans="1:27" s="428" customFormat="1" outlineLevel="3" x14ac:dyDescent="0.25">
      <c r="A561" s="276">
        <f t="shared" si="151"/>
        <v>265</v>
      </c>
      <c r="B561" s="758" t="str">
        <f>$B$265</f>
        <v>Grade Level Teacher</v>
      </c>
      <c r="C561" s="560"/>
      <c r="D561" s="429"/>
      <c r="E561" s="429"/>
      <c r="F561" s="429"/>
      <c r="G561" s="1290">
        <f>(G265*$C$88*$C$86)</f>
        <v>0</v>
      </c>
      <c r="H561" s="1290">
        <f t="shared" si="156"/>
        <v>0</v>
      </c>
      <c r="I561" s="1290">
        <f t="shared" si="156"/>
        <v>0</v>
      </c>
      <c r="J561" s="1290">
        <f t="shared" si="156"/>
        <v>0</v>
      </c>
      <c r="K561" s="1290">
        <f t="shared" si="156"/>
        <v>0</v>
      </c>
      <c r="L561" s="1290">
        <f t="shared" si="156"/>
        <v>0</v>
      </c>
      <c r="M561" s="1290">
        <f t="shared" si="156"/>
        <v>0</v>
      </c>
      <c r="R561" s="282"/>
      <c r="S561" s="282"/>
      <c r="T561" s="282"/>
      <c r="U561" s="282"/>
      <c r="V561" s="282"/>
      <c r="W561" s="282"/>
      <c r="X561" s="282"/>
      <c r="Y561" s="282"/>
      <c r="Z561" s="282"/>
      <c r="AA561" s="282"/>
    </row>
    <row r="562" spans="1:27" s="431" customFormat="1" outlineLevel="3" x14ac:dyDescent="0.25">
      <c r="A562" s="276">
        <f t="shared" si="151"/>
        <v>266</v>
      </c>
      <c r="B562" s="432"/>
      <c r="C562" s="559"/>
      <c r="D562" s="432"/>
      <c r="E562" s="432"/>
      <c r="F562" s="432"/>
      <c r="G562" s="1290"/>
      <c r="H562" s="1290"/>
      <c r="I562" s="1290"/>
      <c r="J562" s="1290"/>
      <c r="K562" s="1290"/>
      <c r="L562" s="1290"/>
      <c r="M562" s="1290"/>
      <c r="R562" s="282"/>
      <c r="S562" s="282"/>
      <c r="T562" s="282"/>
      <c r="U562" s="282"/>
      <c r="V562" s="282"/>
      <c r="W562" s="282"/>
      <c r="X562" s="282"/>
      <c r="Y562" s="282"/>
      <c r="Z562" s="282"/>
      <c r="AA562" s="282"/>
    </row>
    <row r="563" spans="1:27" s="431" customFormat="1" outlineLevel="2" x14ac:dyDescent="0.25">
      <c r="A563" s="276">
        <f t="shared" si="151"/>
        <v>267</v>
      </c>
      <c r="B563" s="701" t="s">
        <v>24</v>
      </c>
      <c r="C563" s="733"/>
      <c r="D563" s="701"/>
      <c r="E563" s="701"/>
      <c r="F563" s="701"/>
      <c r="G563" s="1291">
        <f t="shared" ref="G563:M563" si="157">SUM(G468:G561)</f>
        <v>0</v>
      </c>
      <c r="H563" s="1291">
        <f t="shared" si="157"/>
        <v>94040.648000000016</v>
      </c>
      <c r="I563" s="1291">
        <f t="shared" si="157"/>
        <v>186272.82199999996</v>
      </c>
      <c r="J563" s="1291">
        <f t="shared" si="157"/>
        <v>237907.64825839986</v>
      </c>
      <c r="K563" s="1291">
        <f t="shared" si="157"/>
        <v>292472.9185525041</v>
      </c>
      <c r="L563" s="1291">
        <f t="shared" si="157"/>
        <v>325672.54714495043</v>
      </c>
      <c r="M563" s="1291">
        <f t="shared" si="157"/>
        <v>360600.92782624671</v>
      </c>
      <c r="R563" s="282"/>
      <c r="S563" s="282"/>
      <c r="T563" s="282"/>
      <c r="U563" s="282"/>
      <c r="V563" s="282"/>
      <c r="W563" s="282"/>
      <c r="X563" s="282"/>
      <c r="Y563" s="282"/>
      <c r="Z563" s="282"/>
      <c r="AA563" s="282"/>
    </row>
    <row r="564" spans="1:27" s="431" customFormat="1" outlineLevel="2" x14ac:dyDescent="0.25">
      <c r="A564" s="276">
        <f t="shared" si="151"/>
        <v>268</v>
      </c>
      <c r="B564" s="432"/>
      <c r="C564" s="559"/>
      <c r="D564" s="432"/>
      <c r="G564" s="141"/>
      <c r="H564" s="141"/>
      <c r="I564" s="1290"/>
      <c r="J564" s="1290"/>
      <c r="K564" s="1290"/>
      <c r="L564" s="1290"/>
      <c r="M564" s="1290"/>
      <c r="R564" s="282"/>
      <c r="S564" s="282"/>
      <c r="T564" s="282"/>
      <c r="U564" s="282"/>
      <c r="V564" s="282"/>
      <c r="W564" s="282"/>
      <c r="X564" s="282"/>
      <c r="Y564" s="282"/>
      <c r="Z564" s="282"/>
      <c r="AA564" s="282"/>
    </row>
    <row r="565" spans="1:27" s="431" customFormat="1" outlineLevel="2" x14ac:dyDescent="0.25">
      <c r="A565" s="276">
        <f t="shared" si="151"/>
        <v>269</v>
      </c>
      <c r="B565" s="432"/>
      <c r="C565" s="559"/>
      <c r="D565" s="432"/>
      <c r="G565" s="141"/>
      <c r="H565" s="141"/>
      <c r="I565" s="1290"/>
      <c r="J565" s="1290"/>
      <c r="K565" s="1290"/>
      <c r="L565" s="1290"/>
      <c r="M565" s="1290"/>
      <c r="R565" s="282"/>
      <c r="S565" s="282"/>
      <c r="T565" s="282"/>
      <c r="U565" s="282"/>
      <c r="V565" s="282"/>
      <c r="W565" s="282"/>
      <c r="X565" s="282"/>
      <c r="Y565" s="282"/>
      <c r="Z565" s="282"/>
      <c r="AA565" s="282"/>
    </row>
    <row r="566" spans="1:27" outlineLevel="1" x14ac:dyDescent="0.25">
      <c r="A566" s="276">
        <f t="shared" si="151"/>
        <v>270</v>
      </c>
      <c r="B566" s="529" t="s">
        <v>163</v>
      </c>
      <c r="C566" s="747"/>
      <c r="D566" s="529"/>
      <c r="E566" s="517"/>
      <c r="F566" s="517"/>
      <c r="G566" s="1292">
        <f t="shared" ref="G566:M566" si="158">G563+G465+G441</f>
        <v>0</v>
      </c>
      <c r="H566" s="1292">
        <f t="shared" si="158"/>
        <v>151911.81600000005</v>
      </c>
      <c r="I566" s="1292">
        <f t="shared" si="158"/>
        <v>283134.68943999999</v>
      </c>
      <c r="J566" s="1292">
        <f t="shared" si="158"/>
        <v>383722.01331999979</v>
      </c>
      <c r="K566" s="1292">
        <f t="shared" si="158"/>
        <v>474280.40846352011</v>
      </c>
      <c r="L566" s="1292">
        <f t="shared" si="158"/>
        <v>545501.51646779198</v>
      </c>
      <c r="M566" s="1292">
        <f t="shared" si="158"/>
        <v>620569.03858470346</v>
      </c>
      <c r="R566" s="282"/>
      <c r="S566" s="282"/>
      <c r="T566" s="282"/>
      <c r="U566" s="282"/>
      <c r="V566" s="282"/>
      <c r="W566" s="282"/>
      <c r="X566" s="282"/>
      <c r="Y566" s="282"/>
      <c r="Z566" s="282"/>
      <c r="AA566" s="282"/>
    </row>
    <row r="567" spans="1:27" s="428" customFormat="1" outlineLevel="1" x14ac:dyDescent="0.25">
      <c r="A567" s="276">
        <f t="shared" si="151"/>
        <v>271</v>
      </c>
      <c r="C567" s="560"/>
      <c r="D567" s="429"/>
      <c r="G567" s="168"/>
      <c r="H567" s="1054"/>
      <c r="I567" s="1054"/>
      <c r="J567" s="1054"/>
      <c r="K567" s="1054"/>
      <c r="L567" s="1054"/>
      <c r="M567" s="1054"/>
      <c r="R567" s="282"/>
      <c r="S567" s="282"/>
      <c r="T567" s="282"/>
      <c r="U567" s="282"/>
      <c r="V567" s="282"/>
      <c r="W567" s="282"/>
      <c r="X567" s="282"/>
      <c r="Y567" s="282"/>
      <c r="Z567" s="282"/>
      <c r="AA567" s="282"/>
    </row>
    <row r="568" spans="1:27" s="431" customFormat="1" outlineLevel="2" x14ac:dyDescent="0.25">
      <c r="A568" s="276">
        <f>ROW()</f>
        <v>568</v>
      </c>
      <c r="B568" s="1357" t="s">
        <v>39</v>
      </c>
      <c r="C568" s="1358"/>
      <c r="D568" s="1359"/>
      <c r="E568" s="1360"/>
      <c r="F568" s="1360"/>
      <c r="G568" s="1362"/>
      <c r="H568" s="1362"/>
      <c r="I568" s="1362"/>
      <c r="J568" s="1362"/>
      <c r="K568" s="1362"/>
      <c r="L568" s="1362"/>
      <c r="M568" s="1362"/>
      <c r="R568" s="282"/>
      <c r="S568" s="282"/>
      <c r="T568" s="282"/>
      <c r="U568" s="282"/>
      <c r="V568" s="282"/>
      <c r="W568" s="282"/>
      <c r="X568" s="282"/>
      <c r="Y568" s="282"/>
      <c r="Z568" s="282"/>
      <c r="AA568" s="282"/>
    </row>
    <row r="569" spans="1:27" s="431" customFormat="1" outlineLevel="2" x14ac:dyDescent="0.25">
      <c r="A569" s="276">
        <f>ROW()</f>
        <v>569</v>
      </c>
      <c r="B569" s="377"/>
      <c r="C569" s="561"/>
      <c r="D569" s="428"/>
      <c r="G569" s="1290"/>
      <c r="H569" s="1290"/>
      <c r="I569" s="1290"/>
      <c r="J569" s="1290"/>
      <c r="K569" s="1290"/>
      <c r="L569" s="1290"/>
      <c r="M569" s="1290"/>
      <c r="R569" s="282"/>
      <c r="S569" s="282"/>
      <c r="T569" s="282"/>
      <c r="U569" s="282"/>
      <c r="V569" s="282"/>
      <c r="W569" s="282"/>
      <c r="X569" s="282"/>
      <c r="Y569" s="282"/>
      <c r="Z569" s="282"/>
      <c r="AA569" s="282"/>
    </row>
    <row r="570" spans="1:27" s="431" customFormat="1" outlineLevel="2" x14ac:dyDescent="0.25">
      <c r="A570" s="276">
        <f>ROW()</f>
        <v>570</v>
      </c>
      <c r="B570" s="377" t="str">
        <f>$B$113</f>
        <v>Administrators</v>
      </c>
      <c r="C570" s="561"/>
      <c r="D570" s="428"/>
      <c r="G570" s="1290"/>
      <c r="H570" s="1290"/>
      <c r="I570" s="1290"/>
      <c r="J570" s="1290"/>
      <c r="K570" s="1290"/>
      <c r="L570" s="1290"/>
      <c r="M570" s="1290"/>
      <c r="R570" s="282"/>
      <c r="S570" s="282"/>
      <c r="T570" s="282"/>
      <c r="U570" s="282"/>
      <c r="V570" s="282"/>
      <c r="W570" s="282"/>
      <c r="X570" s="282"/>
      <c r="Y570" s="282"/>
      <c r="Z570" s="282"/>
      <c r="AA570" s="282"/>
    </row>
    <row r="571" spans="1:27" s="431" customFormat="1" outlineLevel="2" x14ac:dyDescent="0.25">
      <c r="A571" s="276">
        <f>ROW()</f>
        <v>571</v>
      </c>
      <c r="B571" s="428" t="str">
        <f>$B$114</f>
        <v>Principal</v>
      </c>
      <c r="C571" s="561"/>
      <c r="D571" s="428"/>
      <c r="G571" s="1290">
        <f t="shared" ref="G571:M575" si="159">G273*$C$89</f>
        <v>0</v>
      </c>
      <c r="H571" s="1290">
        <f t="shared" si="159"/>
        <v>7000.0000000000009</v>
      </c>
      <c r="I571" s="1290">
        <f t="shared" si="159"/>
        <v>7210.0000000000009</v>
      </c>
      <c r="J571" s="1290">
        <f t="shared" si="159"/>
        <v>7426.3000000000011</v>
      </c>
      <c r="K571" s="1290">
        <f t="shared" si="159"/>
        <v>7649.0890000000009</v>
      </c>
      <c r="L571" s="1290">
        <f t="shared" si="159"/>
        <v>7878.56167</v>
      </c>
      <c r="M571" s="1290">
        <f t="shared" si="159"/>
        <v>8114.9185200999991</v>
      </c>
      <c r="R571" s="282"/>
      <c r="S571" s="282"/>
      <c r="T571" s="282"/>
      <c r="U571" s="282"/>
      <c r="V571" s="282"/>
      <c r="W571" s="282"/>
      <c r="X571" s="282"/>
      <c r="Y571" s="282"/>
      <c r="Z571" s="282"/>
      <c r="AA571" s="282"/>
    </row>
    <row r="572" spans="1:27" s="431" customFormat="1" outlineLevel="2" x14ac:dyDescent="0.25">
      <c r="A572" s="276">
        <f>ROW()</f>
        <v>572</v>
      </c>
      <c r="B572" s="428" t="str">
        <f>$B$115</f>
        <v>Assistant Principal</v>
      </c>
      <c r="C572" s="561"/>
      <c r="D572" s="428"/>
      <c r="G572" s="1290">
        <f t="shared" si="159"/>
        <v>0</v>
      </c>
      <c r="H572" s="1290">
        <f t="shared" si="159"/>
        <v>0</v>
      </c>
      <c r="I572" s="1290">
        <f t="shared" si="159"/>
        <v>5047.0000000000009</v>
      </c>
      <c r="J572" s="1290">
        <f t="shared" si="159"/>
        <v>5198.4100000000008</v>
      </c>
      <c r="K572" s="1290">
        <f t="shared" si="159"/>
        <v>5354.3623000000007</v>
      </c>
      <c r="L572" s="1290">
        <f t="shared" si="159"/>
        <v>5514.9931690000003</v>
      </c>
      <c r="M572" s="1290">
        <f t="shared" si="159"/>
        <v>5680.4429640699991</v>
      </c>
      <c r="R572" s="282"/>
      <c r="S572" s="282"/>
      <c r="T572" s="282"/>
      <c r="U572" s="282"/>
      <c r="V572" s="282"/>
      <c r="W572" s="282"/>
      <c r="X572" s="282"/>
      <c r="Y572" s="282"/>
      <c r="Z572" s="282"/>
      <c r="AA572" s="282"/>
    </row>
    <row r="573" spans="1:27" s="431" customFormat="1" outlineLevel="2" x14ac:dyDescent="0.25">
      <c r="A573" s="276">
        <f>ROW()</f>
        <v>573</v>
      </c>
      <c r="B573" s="428" t="str">
        <f>$B$116</f>
        <v>Assistant Principal</v>
      </c>
      <c r="C573" s="561"/>
      <c r="D573" s="428"/>
      <c r="G573" s="1290">
        <f t="shared" si="159"/>
        <v>0</v>
      </c>
      <c r="H573" s="1290">
        <f t="shared" si="159"/>
        <v>0</v>
      </c>
      <c r="I573" s="1290">
        <f t="shared" si="159"/>
        <v>0</v>
      </c>
      <c r="J573" s="1290">
        <f t="shared" si="159"/>
        <v>0</v>
      </c>
      <c r="K573" s="1290">
        <f t="shared" si="159"/>
        <v>5354.3623000000007</v>
      </c>
      <c r="L573" s="1290">
        <f t="shared" si="159"/>
        <v>5514.9931690000003</v>
      </c>
      <c r="M573" s="1290">
        <f t="shared" si="159"/>
        <v>5680.4429640699991</v>
      </c>
      <c r="R573" s="282"/>
      <c r="S573" s="282"/>
      <c r="T573" s="282"/>
      <c r="U573" s="282"/>
      <c r="V573" s="282"/>
      <c r="W573" s="282"/>
      <c r="X573" s="282"/>
      <c r="Y573" s="282"/>
      <c r="Z573" s="282"/>
      <c r="AA573" s="282"/>
    </row>
    <row r="574" spans="1:27" s="431" customFormat="1" outlineLevel="2" x14ac:dyDescent="0.25">
      <c r="A574" s="276">
        <f>ROW()</f>
        <v>574</v>
      </c>
      <c r="B574" s="428" t="str">
        <f>$B$117</f>
        <v>Admin 4</v>
      </c>
      <c r="C574" s="561"/>
      <c r="D574" s="428"/>
      <c r="G574" s="1290">
        <f t="shared" si="159"/>
        <v>0</v>
      </c>
      <c r="H574" s="1290">
        <f t="shared" si="159"/>
        <v>0</v>
      </c>
      <c r="I574" s="1290">
        <f t="shared" si="159"/>
        <v>0</v>
      </c>
      <c r="J574" s="1290">
        <f t="shared" si="159"/>
        <v>0</v>
      </c>
      <c r="K574" s="1290">
        <f t="shared" si="159"/>
        <v>0</v>
      </c>
      <c r="L574" s="1290">
        <f t="shared" si="159"/>
        <v>0</v>
      </c>
      <c r="M574" s="1290">
        <f t="shared" si="159"/>
        <v>0</v>
      </c>
      <c r="R574" s="282"/>
      <c r="S574" s="282"/>
      <c r="T574" s="282"/>
      <c r="U574" s="282"/>
      <c r="V574" s="282"/>
      <c r="W574" s="282"/>
      <c r="X574" s="282"/>
      <c r="Y574" s="282"/>
      <c r="Z574" s="282"/>
      <c r="AA574" s="282"/>
    </row>
    <row r="575" spans="1:27" s="431" customFormat="1" outlineLevel="2" x14ac:dyDescent="0.25">
      <c r="A575" s="276">
        <f>ROW()</f>
        <v>575</v>
      </c>
      <c r="B575" s="428" t="str">
        <f>$B$118</f>
        <v>Admin 5</v>
      </c>
      <c r="C575" s="561"/>
      <c r="D575" s="428"/>
      <c r="G575" s="1290">
        <f t="shared" si="159"/>
        <v>0</v>
      </c>
      <c r="H575" s="1290">
        <f t="shared" si="159"/>
        <v>0</v>
      </c>
      <c r="I575" s="1290">
        <f t="shared" si="159"/>
        <v>0</v>
      </c>
      <c r="J575" s="1290">
        <f t="shared" si="159"/>
        <v>0</v>
      </c>
      <c r="K575" s="1290">
        <f t="shared" si="159"/>
        <v>0</v>
      </c>
      <c r="L575" s="1290">
        <f t="shared" si="159"/>
        <v>0</v>
      </c>
      <c r="M575" s="1290">
        <f t="shared" si="159"/>
        <v>0</v>
      </c>
      <c r="R575" s="282"/>
      <c r="S575" s="282"/>
      <c r="T575" s="282"/>
      <c r="U575" s="282"/>
      <c r="V575" s="282"/>
      <c r="W575" s="282"/>
      <c r="X575" s="282"/>
      <c r="Y575" s="282"/>
      <c r="Z575" s="282"/>
      <c r="AA575" s="282"/>
    </row>
    <row r="576" spans="1:27" s="431" customFormat="1" outlineLevel="2" x14ac:dyDescent="0.25">
      <c r="A576" s="276">
        <f>ROW()</f>
        <v>576</v>
      </c>
      <c r="B576" s="428"/>
      <c r="C576" s="561"/>
      <c r="D576" s="428"/>
      <c r="G576" s="1290"/>
      <c r="H576" s="1290"/>
      <c r="I576" s="1290"/>
      <c r="J576" s="1290"/>
      <c r="K576" s="1290"/>
      <c r="L576" s="1290"/>
      <c r="M576" s="1290"/>
      <c r="R576" s="282"/>
      <c r="S576" s="282"/>
      <c r="T576" s="282"/>
      <c r="U576" s="282"/>
      <c r="V576" s="282"/>
      <c r="W576" s="282"/>
      <c r="X576" s="282"/>
      <c r="Y576" s="282"/>
      <c r="Z576" s="282"/>
      <c r="AA576" s="282"/>
    </row>
    <row r="577" spans="1:27" s="431" customFormat="1" outlineLevel="2" x14ac:dyDescent="0.25">
      <c r="A577" s="276">
        <f>ROW()</f>
        <v>577</v>
      </c>
      <c r="B577" s="377" t="str">
        <f>$B$122</f>
        <v>Office Staff</v>
      </c>
      <c r="C577" s="561"/>
      <c r="D577" s="428"/>
      <c r="G577" s="1290"/>
      <c r="H577" s="1290"/>
      <c r="I577" s="1290"/>
      <c r="J577" s="1290"/>
      <c r="K577" s="1290"/>
      <c r="L577" s="1290"/>
      <c r="M577" s="1290"/>
      <c r="R577" s="282"/>
      <c r="S577" s="282"/>
      <c r="T577" s="282"/>
      <c r="U577" s="282"/>
      <c r="V577" s="282"/>
      <c r="W577" s="282"/>
      <c r="X577" s="282"/>
      <c r="Y577" s="282"/>
      <c r="Z577" s="282"/>
      <c r="AA577" s="282"/>
    </row>
    <row r="578" spans="1:27" s="431" customFormat="1" outlineLevel="2" x14ac:dyDescent="0.25">
      <c r="A578" s="276">
        <f>ROW()</f>
        <v>578</v>
      </c>
      <c r="B578" s="428" t="str">
        <f>$B$123</f>
        <v>Office Manager</v>
      </c>
      <c r="C578" s="561"/>
      <c r="D578" s="428"/>
      <c r="G578" s="1290">
        <f t="shared" ref="G578:M580" si="160">G280*$C$89</f>
        <v>0</v>
      </c>
      <c r="H578" s="1290">
        <f t="shared" si="160"/>
        <v>3150.0000000000005</v>
      </c>
      <c r="I578" s="1290">
        <f t="shared" si="160"/>
        <v>3244.5000000000005</v>
      </c>
      <c r="J578" s="1290">
        <f t="shared" si="160"/>
        <v>3341.8350000000005</v>
      </c>
      <c r="K578" s="1290">
        <f t="shared" si="160"/>
        <v>3442.0900500000007</v>
      </c>
      <c r="L578" s="1290">
        <f t="shared" si="160"/>
        <v>3545.3527515000001</v>
      </c>
      <c r="M578" s="1290">
        <f t="shared" si="160"/>
        <v>3651.713334045</v>
      </c>
      <c r="R578" s="282"/>
      <c r="S578" s="282"/>
      <c r="T578" s="282"/>
      <c r="U578" s="282"/>
      <c r="V578" s="282"/>
      <c r="W578" s="282"/>
      <c r="X578" s="282"/>
      <c r="Y578" s="282"/>
      <c r="Z578" s="282"/>
      <c r="AA578" s="282"/>
    </row>
    <row r="579" spans="1:27" s="431" customFormat="1" outlineLevel="2" x14ac:dyDescent="0.25">
      <c r="A579" s="276">
        <f>ROW()</f>
        <v>579</v>
      </c>
      <c r="B579" s="428" t="str">
        <f>$B$124</f>
        <v>Registrar</v>
      </c>
      <c r="C579" s="561"/>
      <c r="D579" s="428"/>
      <c r="G579" s="1290">
        <f t="shared" si="160"/>
        <v>0</v>
      </c>
      <c r="H579" s="1290">
        <f t="shared" si="160"/>
        <v>0</v>
      </c>
      <c r="I579" s="1290">
        <f t="shared" si="160"/>
        <v>0</v>
      </c>
      <c r="J579" s="1290">
        <f t="shared" si="160"/>
        <v>2970.5200000000004</v>
      </c>
      <c r="K579" s="1290">
        <f t="shared" si="160"/>
        <v>3059.6356000000005</v>
      </c>
      <c r="L579" s="1290">
        <f t="shared" si="160"/>
        <v>3151.4246680000001</v>
      </c>
      <c r="M579" s="1290">
        <f t="shared" si="160"/>
        <v>3245.96740804</v>
      </c>
      <c r="R579" s="282"/>
      <c r="S579" s="282"/>
      <c r="T579" s="282"/>
      <c r="U579" s="282"/>
      <c r="V579" s="282"/>
      <c r="W579" s="282"/>
      <c r="X579" s="282"/>
      <c r="Y579" s="282"/>
      <c r="Z579" s="282"/>
      <c r="AA579" s="282"/>
    </row>
    <row r="580" spans="1:27" s="431" customFormat="1" outlineLevel="2" x14ac:dyDescent="0.25">
      <c r="A580" s="276">
        <f>ROW()</f>
        <v>580</v>
      </c>
      <c r="B580" s="428">
        <f>$B$125</f>
        <v>0</v>
      </c>
      <c r="C580" s="561"/>
      <c r="D580" s="428"/>
      <c r="G580" s="1290">
        <f t="shared" si="160"/>
        <v>0</v>
      </c>
      <c r="H580" s="1290">
        <f t="shared" si="160"/>
        <v>0</v>
      </c>
      <c r="I580" s="1290">
        <f t="shared" si="160"/>
        <v>0</v>
      </c>
      <c r="J580" s="1290">
        <f t="shared" si="160"/>
        <v>0</v>
      </c>
      <c r="K580" s="1290">
        <f t="shared" si="160"/>
        <v>0</v>
      </c>
      <c r="L580" s="1290">
        <f t="shared" si="160"/>
        <v>0</v>
      </c>
      <c r="M580" s="1290">
        <f t="shared" si="160"/>
        <v>0</v>
      </c>
      <c r="R580" s="282"/>
      <c r="S580" s="282"/>
      <c r="T580" s="282"/>
      <c r="U580" s="282"/>
      <c r="V580" s="282"/>
      <c r="W580" s="282"/>
      <c r="X580" s="282"/>
      <c r="Y580" s="282"/>
      <c r="Z580" s="282"/>
      <c r="AA580" s="282"/>
    </row>
    <row r="581" spans="1:27" s="431" customFormat="1" outlineLevel="2" x14ac:dyDescent="0.25">
      <c r="A581" s="276">
        <f>ROW()</f>
        <v>581</v>
      </c>
      <c r="B581" s="428"/>
      <c r="C581" s="561"/>
      <c r="D581" s="428"/>
      <c r="G581" s="1290"/>
      <c r="H581" s="1290"/>
      <c r="I581" s="1290"/>
      <c r="J581" s="1290"/>
      <c r="K581" s="1290"/>
      <c r="L581" s="1290"/>
      <c r="M581" s="1290"/>
      <c r="R581" s="282"/>
      <c r="S581" s="282"/>
      <c r="T581" s="282"/>
      <c r="U581" s="282"/>
      <c r="V581" s="282"/>
      <c r="W581" s="282"/>
      <c r="X581" s="282"/>
      <c r="Y581" s="282"/>
      <c r="Z581" s="282"/>
      <c r="AA581" s="282"/>
    </row>
    <row r="582" spans="1:27" s="431" customFormat="1" outlineLevel="2" x14ac:dyDescent="0.25">
      <c r="A582" s="276">
        <f>ROW()</f>
        <v>582</v>
      </c>
      <c r="B582" s="377"/>
      <c r="C582" s="561"/>
      <c r="D582" s="428"/>
      <c r="G582" s="1290"/>
      <c r="H582" s="1290"/>
      <c r="I582" s="1290"/>
      <c r="J582" s="1290"/>
      <c r="K582" s="1290"/>
      <c r="L582" s="1290"/>
      <c r="M582" s="1290"/>
      <c r="R582" s="282"/>
      <c r="S582" s="282"/>
      <c r="T582" s="282"/>
      <c r="U582" s="282"/>
      <c r="V582" s="282"/>
      <c r="W582" s="282"/>
      <c r="X582" s="282"/>
      <c r="Y582" s="282"/>
      <c r="Z582" s="282"/>
      <c r="AA582" s="282"/>
    </row>
    <row r="583" spans="1:27" s="431" customFormat="1" outlineLevel="2" x14ac:dyDescent="0.25">
      <c r="A583" s="276">
        <f>ROW()</f>
        <v>583</v>
      </c>
      <c r="B583" s="701" t="str">
        <f>$B$128</f>
        <v>Total Administrators and Office Staff</v>
      </c>
      <c r="C583" s="702"/>
      <c r="D583" s="703"/>
      <c r="E583" s="750"/>
      <c r="F583" s="750"/>
      <c r="G583" s="1291">
        <f t="shared" ref="G583:M583" si="161">SUM(G571:G581)</f>
        <v>0</v>
      </c>
      <c r="H583" s="1291">
        <f t="shared" si="161"/>
        <v>10150.000000000002</v>
      </c>
      <c r="I583" s="1291">
        <f t="shared" si="161"/>
        <v>15501.500000000002</v>
      </c>
      <c r="J583" s="1291">
        <f t="shared" si="161"/>
        <v>18937.065000000002</v>
      </c>
      <c r="K583" s="1291">
        <f t="shared" si="161"/>
        <v>24859.539250000002</v>
      </c>
      <c r="L583" s="1291">
        <f t="shared" si="161"/>
        <v>25605.3254275</v>
      </c>
      <c r="M583" s="1291">
        <f t="shared" si="161"/>
        <v>26373.485190324995</v>
      </c>
      <c r="R583" s="282"/>
      <c r="S583" s="282"/>
      <c r="T583" s="282"/>
      <c r="U583" s="282"/>
      <c r="V583" s="282"/>
      <c r="W583" s="282"/>
      <c r="X583" s="282"/>
      <c r="Y583" s="282"/>
      <c r="Z583" s="282"/>
      <c r="AA583" s="282"/>
    </row>
    <row r="584" spans="1:27" s="431" customFormat="1" outlineLevel="2" x14ac:dyDescent="0.25">
      <c r="A584" s="276">
        <f>ROW()</f>
        <v>584</v>
      </c>
      <c r="B584" s="377"/>
      <c r="C584" s="561"/>
      <c r="D584" s="428"/>
      <c r="G584" s="1290"/>
      <c r="H584" s="1290"/>
      <c r="I584" s="1290"/>
      <c r="J584" s="1290"/>
      <c r="K584" s="1290"/>
      <c r="L584" s="1290"/>
      <c r="M584" s="1290"/>
      <c r="R584" s="282"/>
      <c r="S584" s="282"/>
      <c r="T584" s="282"/>
      <c r="U584" s="282"/>
      <c r="V584" s="282"/>
      <c r="W584" s="282"/>
      <c r="X584" s="282"/>
      <c r="Y584" s="282"/>
      <c r="Z584" s="282"/>
      <c r="AA584" s="282"/>
    </row>
    <row r="585" spans="1:27" s="431" customFormat="1" outlineLevel="2" x14ac:dyDescent="0.25">
      <c r="A585" s="276">
        <f>ROW()</f>
        <v>585</v>
      </c>
      <c r="B585" s="377" t="str">
        <f>$B$130</f>
        <v>Special Education (SPED) Teachers</v>
      </c>
      <c r="C585" s="561"/>
      <c r="D585" s="428"/>
      <c r="G585" s="1290"/>
      <c r="H585" s="1290"/>
      <c r="I585" s="1290"/>
      <c r="J585" s="1290"/>
      <c r="K585" s="1290"/>
      <c r="L585" s="1290"/>
      <c r="M585" s="1290"/>
      <c r="R585" s="282"/>
      <c r="S585" s="282"/>
      <c r="T585" s="282"/>
      <c r="U585" s="282"/>
      <c r="V585" s="282"/>
      <c r="W585" s="282"/>
      <c r="X585" s="282"/>
      <c r="Y585" s="282"/>
      <c r="Z585" s="282"/>
      <c r="AA585" s="282"/>
    </row>
    <row r="586" spans="1:27" s="431" customFormat="1" outlineLevel="2" x14ac:dyDescent="0.25">
      <c r="A586" s="276">
        <f t="shared" ref="A586:A604" si="162">ROW(A288)</f>
        <v>288</v>
      </c>
      <c r="B586" s="751" t="str">
        <f t="shared" ref="B586:B607" si="163">$B288</f>
        <v>Special Education (SPED) Teacher</v>
      </c>
      <c r="C586" s="561"/>
      <c r="D586" s="428"/>
      <c r="G586" s="1290">
        <f t="shared" ref="G586:M595" si="164">G288*$C$89</f>
        <v>0</v>
      </c>
      <c r="H586" s="1290">
        <f t="shared" si="164"/>
        <v>2940.0000000000005</v>
      </c>
      <c r="I586" s="1290">
        <f t="shared" si="164"/>
        <v>3028.2000000000003</v>
      </c>
      <c r="J586" s="1290">
        <f t="shared" si="164"/>
        <v>3119.0459999999998</v>
      </c>
      <c r="K586" s="1290">
        <f t="shared" si="164"/>
        <v>3212.6173800000001</v>
      </c>
      <c r="L586" s="1290">
        <f t="shared" si="164"/>
        <v>3308.9959014000001</v>
      </c>
      <c r="M586" s="1290">
        <f t="shared" si="164"/>
        <v>3408.2657784419998</v>
      </c>
      <c r="R586" s="282"/>
      <c r="S586" s="282"/>
      <c r="T586" s="282"/>
      <c r="U586" s="282"/>
      <c r="V586" s="282"/>
      <c r="W586" s="282"/>
      <c r="X586" s="282"/>
      <c r="Y586" s="282"/>
      <c r="Z586" s="282"/>
      <c r="AA586" s="282"/>
    </row>
    <row r="587" spans="1:27" s="431" customFormat="1" outlineLevel="2" x14ac:dyDescent="0.25">
      <c r="A587" s="276">
        <f t="shared" si="162"/>
        <v>289</v>
      </c>
      <c r="B587" s="751" t="str">
        <f t="shared" si="163"/>
        <v>Special Education (SPED) Teacher</v>
      </c>
      <c r="C587" s="561"/>
      <c r="D587" s="428"/>
      <c r="G587" s="1290">
        <f t="shared" si="164"/>
        <v>0</v>
      </c>
      <c r="H587" s="1290">
        <f t="shared" si="164"/>
        <v>2940.0000000000005</v>
      </c>
      <c r="I587" s="1290">
        <f t="shared" si="164"/>
        <v>3028.2000000000003</v>
      </c>
      <c r="J587" s="1290">
        <f t="shared" si="164"/>
        <v>3119.0459999999998</v>
      </c>
      <c r="K587" s="1290">
        <f t="shared" si="164"/>
        <v>3212.6173800000001</v>
      </c>
      <c r="L587" s="1290">
        <f t="shared" si="164"/>
        <v>3308.9959014000001</v>
      </c>
      <c r="M587" s="1290">
        <f t="shared" si="164"/>
        <v>3408.2657784419998</v>
      </c>
      <c r="R587" s="282"/>
      <c r="S587" s="282"/>
      <c r="T587" s="282"/>
      <c r="U587" s="282"/>
      <c r="V587" s="282"/>
      <c r="W587" s="282"/>
      <c r="X587" s="282"/>
      <c r="Y587" s="282"/>
      <c r="Z587" s="282"/>
      <c r="AA587" s="282"/>
    </row>
    <row r="588" spans="1:27" s="431" customFormat="1" outlineLevel="2" x14ac:dyDescent="0.25">
      <c r="A588" s="276">
        <f t="shared" si="162"/>
        <v>290</v>
      </c>
      <c r="B588" s="751" t="str">
        <f t="shared" si="163"/>
        <v>Special Education (SPED) Teacher</v>
      </c>
      <c r="C588" s="561"/>
      <c r="D588" s="428"/>
      <c r="G588" s="1290">
        <f t="shared" si="164"/>
        <v>0</v>
      </c>
      <c r="H588" s="1290">
        <f t="shared" si="164"/>
        <v>0</v>
      </c>
      <c r="I588" s="1290">
        <f t="shared" si="164"/>
        <v>3073.6230000000005</v>
      </c>
      <c r="J588" s="1290">
        <f t="shared" si="164"/>
        <v>3165.8316900000004</v>
      </c>
      <c r="K588" s="1290">
        <f t="shared" si="164"/>
        <v>3260.8066407000006</v>
      </c>
      <c r="L588" s="1290">
        <f t="shared" si="164"/>
        <v>3358.6308399209997</v>
      </c>
      <c r="M588" s="1290">
        <f t="shared" si="164"/>
        <v>3459.3897651186298</v>
      </c>
      <c r="R588" s="282"/>
      <c r="S588" s="282"/>
      <c r="T588" s="282"/>
      <c r="U588" s="282"/>
      <c r="V588" s="282"/>
      <c r="W588" s="282"/>
      <c r="X588" s="282"/>
      <c r="Y588" s="282"/>
      <c r="Z588" s="282"/>
      <c r="AA588" s="282"/>
    </row>
    <row r="589" spans="1:27" s="431" customFormat="1" outlineLevel="2" x14ac:dyDescent="0.25">
      <c r="A589" s="276">
        <f t="shared" si="162"/>
        <v>291</v>
      </c>
      <c r="B589" s="751" t="str">
        <f t="shared" si="163"/>
        <v>Special Education (SPED) Teacher</v>
      </c>
      <c r="C589" s="561"/>
      <c r="D589" s="428"/>
      <c r="G589" s="1290">
        <f t="shared" si="164"/>
        <v>0</v>
      </c>
      <c r="H589" s="1290">
        <f t="shared" si="164"/>
        <v>0</v>
      </c>
      <c r="I589" s="1290">
        <f t="shared" si="164"/>
        <v>0</v>
      </c>
      <c r="J589" s="1290">
        <f t="shared" si="164"/>
        <v>3215.5879000000004</v>
      </c>
      <c r="K589" s="1290">
        <f t="shared" si="164"/>
        <v>3312.0555370000006</v>
      </c>
      <c r="L589" s="1290">
        <f t="shared" si="164"/>
        <v>3411.4172031100002</v>
      </c>
      <c r="M589" s="1290">
        <f t="shared" si="164"/>
        <v>3513.7597192032999</v>
      </c>
      <c r="R589" s="282"/>
      <c r="S589" s="282"/>
      <c r="T589" s="282"/>
      <c r="U589" s="282"/>
      <c r="V589" s="282"/>
      <c r="W589" s="282"/>
      <c r="X589" s="282"/>
      <c r="Y589" s="282"/>
      <c r="Z589" s="282"/>
      <c r="AA589" s="282"/>
    </row>
    <row r="590" spans="1:27" s="431" customFormat="1" outlineLevel="2" x14ac:dyDescent="0.25">
      <c r="A590" s="276">
        <f t="shared" si="162"/>
        <v>292</v>
      </c>
      <c r="B590" s="751" t="str">
        <f t="shared" si="163"/>
        <v>Special Education (SPED) Teacher</v>
      </c>
      <c r="C590" s="561"/>
      <c r="D590" s="428"/>
      <c r="G590" s="1290">
        <f t="shared" si="164"/>
        <v>0</v>
      </c>
      <c r="H590" s="1290">
        <f t="shared" si="164"/>
        <v>0</v>
      </c>
      <c r="I590" s="1290">
        <f t="shared" si="164"/>
        <v>0</v>
      </c>
      <c r="J590" s="1290">
        <f t="shared" si="164"/>
        <v>0</v>
      </c>
      <c r="K590" s="1290">
        <f t="shared" si="164"/>
        <v>3365.5991600000002</v>
      </c>
      <c r="L590" s="1290">
        <f t="shared" si="164"/>
        <v>3466.5671348000001</v>
      </c>
      <c r="M590" s="1290">
        <f t="shared" si="164"/>
        <v>3570.5641488439996</v>
      </c>
      <c r="R590" s="282"/>
      <c r="S590" s="282"/>
      <c r="T590" s="282"/>
      <c r="U590" s="282"/>
      <c r="V590" s="282"/>
      <c r="W590" s="282"/>
      <c r="X590" s="282"/>
      <c r="Y590" s="282"/>
      <c r="Z590" s="282"/>
      <c r="AA590" s="282"/>
    </row>
    <row r="591" spans="1:27" s="431" customFormat="1" outlineLevel="2" x14ac:dyDescent="0.25">
      <c r="A591" s="276">
        <f t="shared" si="162"/>
        <v>293</v>
      </c>
      <c r="B591" s="751" t="str">
        <f t="shared" si="163"/>
        <v>Special Education (SPED) Teacher</v>
      </c>
      <c r="C591" s="561"/>
      <c r="D591" s="428"/>
      <c r="G591" s="1290">
        <f t="shared" si="164"/>
        <v>0</v>
      </c>
      <c r="H591" s="1290">
        <f t="shared" si="164"/>
        <v>0</v>
      </c>
      <c r="I591" s="1290">
        <f t="shared" si="164"/>
        <v>0</v>
      </c>
      <c r="J591" s="1290">
        <f t="shared" si="164"/>
        <v>0</v>
      </c>
      <c r="K591" s="1290">
        <f t="shared" si="164"/>
        <v>0</v>
      </c>
      <c r="L591" s="1290">
        <f t="shared" si="164"/>
        <v>1760.8585332450002</v>
      </c>
      <c r="M591" s="1290">
        <f t="shared" si="164"/>
        <v>1813.6842892423499</v>
      </c>
      <c r="R591" s="282"/>
      <c r="S591" s="282"/>
      <c r="T591" s="282"/>
      <c r="U591" s="282"/>
      <c r="V591" s="282"/>
      <c r="W591" s="282"/>
      <c r="X591" s="282"/>
      <c r="Y591" s="282"/>
      <c r="Z591" s="282"/>
      <c r="AA591" s="282"/>
    </row>
    <row r="592" spans="1:27" s="431" customFormat="1" outlineLevel="2" x14ac:dyDescent="0.25">
      <c r="A592" s="276">
        <f t="shared" si="162"/>
        <v>294</v>
      </c>
      <c r="B592" s="751" t="str">
        <f t="shared" si="163"/>
        <v>Special Education (SPED) Teacher</v>
      </c>
      <c r="C592" s="561"/>
      <c r="D592" s="428"/>
      <c r="G592" s="1290">
        <f t="shared" si="164"/>
        <v>0</v>
      </c>
      <c r="H592" s="1290">
        <f t="shared" si="164"/>
        <v>0</v>
      </c>
      <c r="I592" s="1290">
        <f t="shared" si="164"/>
        <v>0</v>
      </c>
      <c r="J592" s="1290">
        <f t="shared" si="164"/>
        <v>0</v>
      </c>
      <c r="K592" s="1290">
        <f t="shared" si="164"/>
        <v>0</v>
      </c>
      <c r="L592" s="1290">
        <f t="shared" si="164"/>
        <v>0</v>
      </c>
      <c r="M592" s="1290">
        <f t="shared" si="164"/>
        <v>1840.0577744326747</v>
      </c>
      <c r="R592" s="282"/>
      <c r="S592" s="282"/>
      <c r="T592" s="282"/>
      <c r="U592" s="282"/>
      <c r="V592" s="282"/>
      <c r="W592" s="282"/>
      <c r="X592" s="282"/>
      <c r="Y592" s="282"/>
      <c r="Z592" s="282"/>
      <c r="AA592" s="282"/>
    </row>
    <row r="593" spans="1:27" s="431" customFormat="1" outlineLevel="2" x14ac:dyDescent="0.25">
      <c r="A593" s="276">
        <f t="shared" si="162"/>
        <v>295</v>
      </c>
      <c r="B593" s="751" t="str">
        <f t="shared" si="163"/>
        <v>Teacher Assistant/Aide</v>
      </c>
      <c r="C593" s="561"/>
      <c r="D593" s="428"/>
      <c r="G593" s="1290">
        <f t="shared" si="164"/>
        <v>0</v>
      </c>
      <c r="H593" s="1290">
        <f t="shared" si="164"/>
        <v>0</v>
      </c>
      <c r="I593" s="1290">
        <f t="shared" si="164"/>
        <v>0</v>
      </c>
      <c r="J593" s="1290">
        <f t="shared" si="164"/>
        <v>0</v>
      </c>
      <c r="K593" s="1290">
        <f t="shared" si="164"/>
        <v>0</v>
      </c>
      <c r="L593" s="1290">
        <f t="shared" si="164"/>
        <v>1531.592388648</v>
      </c>
      <c r="M593" s="1290">
        <f t="shared" si="164"/>
        <v>1577.5401603074399</v>
      </c>
      <c r="R593" s="282"/>
      <c r="S593" s="282"/>
      <c r="T593" s="282"/>
      <c r="U593" s="282"/>
      <c r="V593" s="282"/>
      <c r="W593" s="282"/>
      <c r="X593" s="282"/>
      <c r="Y593" s="282"/>
      <c r="Z593" s="282"/>
      <c r="AA593" s="282"/>
    </row>
    <row r="594" spans="1:27" s="431" customFormat="1" outlineLevel="2" x14ac:dyDescent="0.25">
      <c r="A594" s="276">
        <f t="shared" si="162"/>
        <v>296</v>
      </c>
      <c r="B594" s="751" t="str">
        <f t="shared" si="163"/>
        <v>Teacher Assistant/Aide</v>
      </c>
      <c r="C594" s="561"/>
      <c r="D594" s="428"/>
      <c r="G594" s="1290">
        <f t="shared" si="164"/>
        <v>0</v>
      </c>
      <c r="H594" s="1290">
        <f t="shared" si="164"/>
        <v>0</v>
      </c>
      <c r="I594" s="1290">
        <f t="shared" si="164"/>
        <v>0</v>
      </c>
      <c r="J594" s="1290">
        <f t="shared" si="164"/>
        <v>0</v>
      </c>
      <c r="K594" s="1290">
        <f t="shared" si="164"/>
        <v>0</v>
      </c>
      <c r="L594" s="1290">
        <f t="shared" si="164"/>
        <v>0</v>
      </c>
      <c r="M594" s="1290">
        <f t="shared" si="164"/>
        <v>1606.7538669798</v>
      </c>
      <c r="R594" s="282"/>
      <c r="S594" s="282"/>
      <c r="T594" s="282"/>
      <c r="U594" s="282"/>
      <c r="V594" s="282"/>
      <c r="W594" s="282"/>
      <c r="X594" s="282"/>
      <c r="Y594" s="282"/>
      <c r="Z594" s="282"/>
      <c r="AA594" s="282"/>
    </row>
    <row r="595" spans="1:27" s="431" customFormat="1" outlineLevel="2" x14ac:dyDescent="0.25">
      <c r="A595" s="276">
        <f t="shared" si="162"/>
        <v>297</v>
      </c>
      <c r="B595" s="752" t="str">
        <f t="shared" si="163"/>
        <v xml:space="preserve">Total Special EducationTeachers </v>
      </c>
      <c r="C595" s="702"/>
      <c r="D595" s="703"/>
      <c r="E595" s="750"/>
      <c r="F595" s="750"/>
      <c r="G595" s="1296">
        <f t="shared" si="164"/>
        <v>0</v>
      </c>
      <c r="H595" s="1296">
        <f t="shared" si="164"/>
        <v>5880.0000000000009</v>
      </c>
      <c r="I595" s="1296">
        <f t="shared" si="164"/>
        <v>9130.023000000001</v>
      </c>
      <c r="J595" s="1296">
        <f t="shared" si="164"/>
        <v>12619.51159</v>
      </c>
      <c r="K595" s="1296">
        <f t="shared" si="164"/>
        <v>16363.696097700004</v>
      </c>
      <c r="L595" s="1296">
        <f t="shared" si="164"/>
        <v>20147.057902524004</v>
      </c>
      <c r="M595" s="1296">
        <f t="shared" si="164"/>
        <v>24198.281281012198</v>
      </c>
      <c r="R595" s="282"/>
      <c r="S595" s="282"/>
      <c r="T595" s="282"/>
      <c r="U595" s="282"/>
      <c r="V595" s="282"/>
      <c r="W595" s="282"/>
      <c r="X595" s="282"/>
      <c r="Y595" s="282"/>
      <c r="Z595" s="282"/>
      <c r="AA595" s="282"/>
    </row>
    <row r="596" spans="1:27" s="431" customFormat="1" outlineLevel="2" x14ac:dyDescent="0.25">
      <c r="A596" s="276">
        <f t="shared" si="162"/>
        <v>298</v>
      </c>
      <c r="B596" s="751">
        <f t="shared" si="163"/>
        <v>0</v>
      </c>
      <c r="C596" s="561"/>
      <c r="D596" s="428"/>
      <c r="G596" s="1290"/>
      <c r="H596" s="1290"/>
      <c r="I596" s="1290"/>
      <c r="J596" s="1290"/>
      <c r="K596" s="1290"/>
      <c r="L596" s="1290"/>
      <c r="M596" s="1290"/>
      <c r="R596" s="282"/>
      <c r="S596" s="282"/>
      <c r="T596" s="282"/>
      <c r="U596" s="282"/>
      <c r="V596" s="282"/>
      <c r="W596" s="282"/>
      <c r="X596" s="282"/>
      <c r="Y596" s="282"/>
      <c r="Z596" s="282"/>
      <c r="AA596" s="282"/>
    </row>
    <row r="597" spans="1:27" s="431" customFormat="1" outlineLevel="2" x14ac:dyDescent="0.25">
      <c r="A597" s="276">
        <f t="shared" si="162"/>
        <v>299</v>
      </c>
      <c r="B597" s="759" t="str">
        <f t="shared" si="163"/>
        <v>English Language Learner (ELL) Teachers</v>
      </c>
      <c r="C597" s="760"/>
      <c r="D597" s="757"/>
      <c r="E597" s="761"/>
      <c r="F597" s="761"/>
      <c r="G597" s="1295"/>
      <c r="H597" s="1295"/>
      <c r="I597" s="1295"/>
      <c r="J597" s="1295"/>
      <c r="K597" s="1295"/>
      <c r="L597" s="1295"/>
      <c r="M597" s="1295"/>
      <c r="R597" s="282"/>
      <c r="S597" s="282"/>
      <c r="T597" s="282"/>
      <c r="U597" s="282"/>
      <c r="V597" s="282"/>
      <c r="W597" s="282"/>
      <c r="X597" s="282"/>
      <c r="Y597" s="282"/>
      <c r="Z597" s="282"/>
      <c r="AA597" s="282"/>
    </row>
    <row r="598" spans="1:27" s="431" customFormat="1" outlineLevel="2" x14ac:dyDescent="0.25">
      <c r="A598" s="276">
        <f t="shared" si="162"/>
        <v>300</v>
      </c>
      <c r="B598" s="758" t="str">
        <f t="shared" si="163"/>
        <v>ELL Coordinator</v>
      </c>
      <c r="C598" s="561"/>
      <c r="D598" s="428"/>
      <c r="G598" s="1290">
        <f t="shared" ref="G598:M604" si="165">G300*$C$89</f>
        <v>0</v>
      </c>
      <c r="H598" s="1290">
        <f t="shared" si="165"/>
        <v>3990.0000000000005</v>
      </c>
      <c r="I598" s="1290">
        <f t="shared" si="165"/>
        <v>4109.7000000000007</v>
      </c>
      <c r="J598" s="1290">
        <f t="shared" si="165"/>
        <v>4232.991</v>
      </c>
      <c r="K598" s="1290">
        <f t="shared" si="165"/>
        <v>4359.9807300000002</v>
      </c>
      <c r="L598" s="1290">
        <f t="shared" si="165"/>
        <v>4490.7801518999995</v>
      </c>
      <c r="M598" s="1290">
        <f t="shared" si="165"/>
        <v>4625.5035564569998</v>
      </c>
      <c r="R598" s="282"/>
      <c r="S598" s="282"/>
      <c r="T598" s="282"/>
      <c r="U598" s="282"/>
      <c r="V598" s="282"/>
      <c r="W598" s="282"/>
      <c r="X598" s="282"/>
      <c r="Y598" s="282"/>
      <c r="Z598" s="282"/>
      <c r="AA598" s="282"/>
    </row>
    <row r="599" spans="1:27" s="431" customFormat="1" outlineLevel="2" x14ac:dyDescent="0.25">
      <c r="A599" s="276">
        <f t="shared" si="162"/>
        <v>301</v>
      </c>
      <c r="B599" s="758" t="str">
        <f t="shared" si="163"/>
        <v>Teacher Assistant/Aide</v>
      </c>
      <c r="C599" s="561"/>
      <c r="D599" s="428"/>
      <c r="G599" s="1290">
        <f t="shared" si="165"/>
        <v>0</v>
      </c>
      <c r="H599" s="1290">
        <f t="shared" si="165"/>
        <v>1260.0000000000002</v>
      </c>
      <c r="I599" s="1290">
        <f t="shared" si="165"/>
        <v>1297.8000000000002</v>
      </c>
      <c r="J599" s="1290">
        <f t="shared" si="165"/>
        <v>1336.7340000000002</v>
      </c>
      <c r="K599" s="1290">
        <f t="shared" si="165"/>
        <v>1376.8360200000002</v>
      </c>
      <c r="L599" s="1290">
        <f t="shared" si="165"/>
        <v>1418.1411006000001</v>
      </c>
      <c r="M599" s="1290">
        <f t="shared" si="165"/>
        <v>1460.685333618</v>
      </c>
      <c r="R599" s="282"/>
      <c r="S599" s="282"/>
      <c r="T599" s="282"/>
      <c r="U599" s="282"/>
      <c r="V599" s="282"/>
      <c r="W599" s="282"/>
      <c r="X599" s="282"/>
      <c r="Y599" s="282"/>
      <c r="Z599" s="282"/>
      <c r="AA599" s="282"/>
    </row>
    <row r="600" spans="1:27" s="431" customFormat="1" outlineLevel="2" x14ac:dyDescent="0.25">
      <c r="A600" s="276">
        <f t="shared" si="162"/>
        <v>302</v>
      </c>
      <c r="B600" s="758" t="str">
        <f t="shared" si="163"/>
        <v>Teacher Assistant/Aide</v>
      </c>
      <c r="C600" s="561"/>
      <c r="D600" s="428"/>
      <c r="G600" s="1290">
        <f t="shared" si="165"/>
        <v>0</v>
      </c>
      <c r="H600" s="1290">
        <f t="shared" si="165"/>
        <v>0</v>
      </c>
      <c r="I600" s="1290">
        <f t="shared" si="165"/>
        <v>1323.7560000000001</v>
      </c>
      <c r="J600" s="1290">
        <f t="shared" si="165"/>
        <v>1363.4686800000002</v>
      </c>
      <c r="K600" s="1290">
        <f t="shared" si="165"/>
        <v>1404.3727404000001</v>
      </c>
      <c r="L600" s="1290">
        <f t="shared" si="165"/>
        <v>1446.503922612</v>
      </c>
      <c r="M600" s="1290">
        <f t="shared" si="165"/>
        <v>1489.8990402903601</v>
      </c>
      <c r="R600" s="282"/>
      <c r="S600" s="282"/>
      <c r="T600" s="282"/>
      <c r="U600" s="282"/>
      <c r="V600" s="282"/>
      <c r="W600" s="282"/>
      <c r="X600" s="282"/>
      <c r="Y600" s="282"/>
      <c r="Z600" s="282"/>
      <c r="AA600" s="282"/>
    </row>
    <row r="601" spans="1:27" s="431" customFormat="1" outlineLevel="2" x14ac:dyDescent="0.25">
      <c r="A601" s="276">
        <f t="shared" si="162"/>
        <v>303</v>
      </c>
      <c r="B601" s="758" t="str">
        <f t="shared" si="163"/>
        <v>Teacher Assistant/Aide</v>
      </c>
      <c r="C601" s="561"/>
      <c r="D601" s="428"/>
      <c r="G601" s="1290">
        <f t="shared" si="165"/>
        <v>0</v>
      </c>
      <c r="H601" s="1290">
        <f t="shared" si="165"/>
        <v>0</v>
      </c>
      <c r="I601" s="1290">
        <f t="shared" si="165"/>
        <v>1323.7560000000001</v>
      </c>
      <c r="J601" s="1290">
        <f t="shared" si="165"/>
        <v>1363.4686800000002</v>
      </c>
      <c r="K601" s="1290">
        <f t="shared" si="165"/>
        <v>1404.3727404000001</v>
      </c>
      <c r="L601" s="1290">
        <f t="shared" si="165"/>
        <v>1446.503922612</v>
      </c>
      <c r="M601" s="1290">
        <f t="shared" si="165"/>
        <v>1489.8990402903601</v>
      </c>
      <c r="R601" s="282"/>
      <c r="S601" s="282"/>
      <c r="T601" s="282"/>
      <c r="U601" s="282"/>
      <c r="V601" s="282"/>
      <c r="W601" s="282"/>
      <c r="X601" s="282"/>
      <c r="Y601" s="282"/>
      <c r="Z601" s="282"/>
      <c r="AA601" s="282"/>
    </row>
    <row r="602" spans="1:27" s="431" customFormat="1" outlineLevel="2" x14ac:dyDescent="0.25">
      <c r="A602" s="276">
        <f t="shared" si="162"/>
        <v>304</v>
      </c>
      <c r="B602" s="758" t="str">
        <f t="shared" si="163"/>
        <v>Teacher Assistant/Aide</v>
      </c>
      <c r="C602" s="561"/>
      <c r="D602" s="428"/>
      <c r="G602" s="1290">
        <f t="shared" si="165"/>
        <v>0</v>
      </c>
      <c r="H602" s="1290">
        <f t="shared" si="165"/>
        <v>0</v>
      </c>
      <c r="I602" s="1290">
        <f t="shared" si="165"/>
        <v>0</v>
      </c>
      <c r="J602" s="1290">
        <f t="shared" si="165"/>
        <v>1390.20336</v>
      </c>
      <c r="K602" s="1290">
        <f t="shared" si="165"/>
        <v>1431.9094608000003</v>
      </c>
      <c r="L602" s="1290">
        <f t="shared" si="165"/>
        <v>1474.8667446240001</v>
      </c>
      <c r="M602" s="1290">
        <f t="shared" si="165"/>
        <v>1519.1127469627199</v>
      </c>
      <c r="R602" s="282"/>
      <c r="S602" s="282"/>
      <c r="T602" s="282"/>
      <c r="U602" s="282"/>
      <c r="V602" s="282"/>
      <c r="W602" s="282"/>
      <c r="X602" s="282"/>
      <c r="Y602" s="282"/>
      <c r="Z602" s="282"/>
      <c r="AA602" s="282"/>
    </row>
    <row r="603" spans="1:27" s="431" customFormat="1" outlineLevel="2" x14ac:dyDescent="0.25">
      <c r="A603" s="276">
        <f t="shared" si="162"/>
        <v>305</v>
      </c>
      <c r="B603" s="758" t="str">
        <f t="shared" si="163"/>
        <v>Teacher Assistant/Aide</v>
      </c>
      <c r="C603" s="561"/>
      <c r="D603" s="428"/>
      <c r="G603" s="1290">
        <f t="shared" si="165"/>
        <v>0</v>
      </c>
      <c r="H603" s="1290">
        <f t="shared" si="165"/>
        <v>0</v>
      </c>
      <c r="I603" s="1290">
        <f t="shared" si="165"/>
        <v>0</v>
      </c>
      <c r="J603" s="1290">
        <f t="shared" si="165"/>
        <v>1390.20336</v>
      </c>
      <c r="K603" s="1290">
        <f t="shared" si="165"/>
        <v>1431.9094608000003</v>
      </c>
      <c r="L603" s="1290">
        <f t="shared" si="165"/>
        <v>1474.8667446240001</v>
      </c>
      <c r="M603" s="1290">
        <f t="shared" si="165"/>
        <v>1519.1127469627199</v>
      </c>
      <c r="R603" s="282"/>
      <c r="S603" s="282"/>
      <c r="T603" s="282"/>
      <c r="U603" s="282"/>
      <c r="V603" s="282"/>
      <c r="W603" s="282"/>
      <c r="X603" s="282"/>
      <c r="Y603" s="282"/>
      <c r="Z603" s="282"/>
      <c r="AA603" s="282"/>
    </row>
    <row r="604" spans="1:27" s="431" customFormat="1" outlineLevel="2" x14ac:dyDescent="0.25">
      <c r="A604" s="276">
        <f t="shared" si="162"/>
        <v>306</v>
      </c>
      <c r="B604" s="758" t="str">
        <f t="shared" si="163"/>
        <v>Teacher Assistant/Aide</v>
      </c>
      <c r="C604" s="561"/>
      <c r="D604" s="428"/>
      <c r="G604" s="1290">
        <f t="shared" si="165"/>
        <v>0</v>
      </c>
      <c r="H604" s="1290">
        <f t="shared" si="165"/>
        <v>0</v>
      </c>
      <c r="I604" s="1290">
        <f t="shared" si="165"/>
        <v>0</v>
      </c>
      <c r="J604" s="1290">
        <f t="shared" si="165"/>
        <v>1390.20336</v>
      </c>
      <c r="K604" s="1290">
        <f t="shared" si="165"/>
        <v>1431.9094608000003</v>
      </c>
      <c r="L604" s="1290">
        <f t="shared" si="165"/>
        <v>1474.8667446240001</v>
      </c>
      <c r="M604" s="1290">
        <f t="shared" si="165"/>
        <v>1519.1127469627199</v>
      </c>
      <c r="R604" s="282"/>
      <c r="S604" s="282"/>
      <c r="T604" s="282"/>
      <c r="U604" s="282"/>
      <c r="V604" s="282"/>
      <c r="W604" s="282"/>
      <c r="X604" s="282"/>
      <c r="Y604" s="282"/>
      <c r="Z604" s="282"/>
      <c r="AA604" s="282"/>
    </row>
    <row r="605" spans="1:27" s="431" customFormat="1" outlineLevel="2" x14ac:dyDescent="0.25">
      <c r="A605" s="276">
        <f>ROW(A307)</f>
        <v>307</v>
      </c>
      <c r="B605" s="758" t="str">
        <f t="shared" si="163"/>
        <v>Teacher Assistant/Aide</v>
      </c>
      <c r="C605" s="561"/>
      <c r="D605" s="428"/>
      <c r="G605" s="1290"/>
      <c r="H605" s="1290">
        <f t="shared" ref="H605:M605" si="166">H307*$C$89</f>
        <v>0</v>
      </c>
      <c r="I605" s="1290">
        <f t="shared" si="166"/>
        <v>0</v>
      </c>
      <c r="J605" s="1290">
        <f t="shared" si="166"/>
        <v>0</v>
      </c>
      <c r="K605" s="1290">
        <f t="shared" si="166"/>
        <v>1459.4461812000002</v>
      </c>
      <c r="L605" s="1290">
        <f t="shared" si="166"/>
        <v>1503.2295666359998</v>
      </c>
      <c r="M605" s="1290">
        <f t="shared" si="166"/>
        <v>1548.3264536350798</v>
      </c>
      <c r="R605" s="282"/>
      <c r="S605" s="282"/>
      <c r="T605" s="282"/>
      <c r="U605" s="282"/>
      <c r="V605" s="282"/>
      <c r="W605" s="282"/>
      <c r="X605" s="282"/>
      <c r="Y605" s="282"/>
      <c r="Z605" s="282"/>
      <c r="AA605" s="282"/>
    </row>
    <row r="606" spans="1:27" s="431" customFormat="1" outlineLevel="2" x14ac:dyDescent="0.25">
      <c r="A606" s="276"/>
      <c r="B606" s="1379" t="str">
        <f t="shared" si="163"/>
        <v>Teacher Assistant/Aide</v>
      </c>
      <c r="C606" s="561"/>
      <c r="D606" s="428"/>
      <c r="G606" s="1293"/>
      <c r="H606" s="1293"/>
      <c r="I606" s="1290"/>
      <c r="J606" s="1290"/>
      <c r="K606" s="1290"/>
      <c r="L606" s="1290"/>
      <c r="M606" s="1290"/>
      <c r="R606" s="282"/>
      <c r="S606" s="282"/>
      <c r="T606" s="282"/>
      <c r="U606" s="282"/>
      <c r="V606" s="282"/>
      <c r="W606" s="282"/>
      <c r="X606" s="282"/>
      <c r="Y606" s="282"/>
      <c r="Z606" s="282"/>
      <c r="AA606" s="282"/>
    </row>
    <row r="607" spans="1:27" s="431" customFormat="1" outlineLevel="2" x14ac:dyDescent="0.25">
      <c r="A607" s="276"/>
      <c r="B607" s="701" t="str">
        <f t="shared" si="163"/>
        <v>Total ELL Teachers</v>
      </c>
      <c r="C607" s="702"/>
      <c r="D607" s="703"/>
      <c r="E607" s="750"/>
      <c r="F607" s="750"/>
      <c r="G607" s="1291">
        <f t="shared" ref="G607:M607" si="167">SUM(G586:G605)</f>
        <v>0</v>
      </c>
      <c r="H607" s="1291">
        <f t="shared" si="167"/>
        <v>17010.000000000004</v>
      </c>
      <c r="I607" s="1291">
        <f t="shared" si="167"/>
        <v>26315.058000000005</v>
      </c>
      <c r="J607" s="1291">
        <f t="shared" si="167"/>
        <v>37706.295619999997</v>
      </c>
      <c r="K607" s="1291">
        <f t="shared" si="167"/>
        <v>47028.128989800018</v>
      </c>
      <c r="L607" s="1291">
        <f t="shared" si="167"/>
        <v>55023.874703279995</v>
      </c>
      <c r="M607" s="1291">
        <f t="shared" si="167"/>
        <v>63568.214227203338</v>
      </c>
      <c r="R607" s="282"/>
      <c r="S607" s="282"/>
      <c r="T607" s="282"/>
      <c r="U607" s="282"/>
      <c r="V607" s="282"/>
      <c r="W607" s="282"/>
      <c r="X607" s="282"/>
      <c r="Y607" s="282"/>
      <c r="Z607" s="282"/>
      <c r="AA607" s="282"/>
    </row>
    <row r="608" spans="1:27" s="431" customFormat="1" outlineLevel="2" x14ac:dyDescent="0.25">
      <c r="A608" s="276"/>
      <c r="B608" s="428"/>
      <c r="C608" s="561"/>
      <c r="D608" s="428"/>
      <c r="G608" s="1290"/>
      <c r="H608" s="1290"/>
      <c r="I608" s="1290"/>
      <c r="J608" s="1290"/>
      <c r="K608" s="1290"/>
      <c r="L608" s="1290"/>
      <c r="M608" s="1290"/>
      <c r="R608" s="282"/>
      <c r="S608" s="282"/>
      <c r="T608" s="282"/>
      <c r="U608" s="282"/>
      <c r="V608" s="282"/>
      <c r="W608" s="282"/>
      <c r="X608" s="282"/>
      <c r="Y608" s="282"/>
      <c r="Z608" s="282"/>
      <c r="AA608" s="282"/>
    </row>
    <row r="609" spans="1:27" s="428" customFormat="1" outlineLevel="2" x14ac:dyDescent="0.25">
      <c r="A609" s="276">
        <f t="shared" ref="A609:A645" si="168">ROW(A311)</f>
        <v>311</v>
      </c>
      <c r="B609" s="754" t="str">
        <f t="shared" ref="B609:B617" si="169">$B311</f>
        <v>Guidance Counselor &amp; Other</v>
      </c>
      <c r="C609" s="755"/>
      <c r="D609" s="756"/>
      <c r="E609" s="757"/>
      <c r="F609" s="757"/>
      <c r="G609" s="1295"/>
      <c r="H609" s="1295"/>
      <c r="I609" s="1295"/>
      <c r="J609" s="1295"/>
      <c r="K609" s="1295"/>
      <c r="L609" s="1295"/>
      <c r="M609" s="1295"/>
      <c r="R609" s="282"/>
      <c r="S609" s="282"/>
      <c r="T609" s="282"/>
      <c r="U609" s="282"/>
      <c r="V609" s="282"/>
      <c r="W609" s="282"/>
      <c r="X609" s="282"/>
      <c r="Y609" s="282"/>
      <c r="Z609" s="282"/>
      <c r="AA609" s="282"/>
    </row>
    <row r="610" spans="1:27" s="428" customFormat="1" outlineLevel="2" x14ac:dyDescent="0.25">
      <c r="A610" s="276">
        <f t="shared" si="168"/>
        <v>312</v>
      </c>
      <c r="B610" s="758" t="str">
        <f t="shared" si="169"/>
        <v xml:space="preserve">Guidance Counselor </v>
      </c>
      <c r="C610" s="560"/>
      <c r="D610" s="429"/>
      <c r="G610" s="1290">
        <f t="shared" ref="G610:M610" si="170">G312*$C$89</f>
        <v>0</v>
      </c>
      <c r="H610" s="1290">
        <f t="shared" si="170"/>
        <v>0</v>
      </c>
      <c r="I610" s="1290">
        <f t="shared" si="170"/>
        <v>0</v>
      </c>
      <c r="J610" s="1290">
        <f t="shared" si="170"/>
        <v>4084.4650000000006</v>
      </c>
      <c r="K610" s="1290">
        <f t="shared" si="170"/>
        <v>4206.9989500000001</v>
      </c>
      <c r="L610" s="1290">
        <f t="shared" si="170"/>
        <v>4333.2089184999995</v>
      </c>
      <c r="M610" s="1290">
        <f t="shared" si="170"/>
        <v>4463.205186055</v>
      </c>
      <c r="R610" s="282"/>
      <c r="S610" s="282"/>
      <c r="T610" s="282"/>
      <c r="U610" s="282"/>
      <c r="V610" s="282"/>
      <c r="W610" s="282"/>
      <c r="X610" s="282"/>
      <c r="Y610" s="282"/>
      <c r="Z610" s="282"/>
      <c r="AA610" s="282"/>
    </row>
    <row r="611" spans="1:27" s="428" customFormat="1" outlineLevel="2" x14ac:dyDescent="0.25">
      <c r="A611" s="276">
        <f t="shared" si="168"/>
        <v>313</v>
      </c>
      <c r="B611" s="758" t="str">
        <f t="shared" si="169"/>
        <v>Guidance Counselor</v>
      </c>
      <c r="C611" s="560"/>
      <c r="D611" s="429"/>
      <c r="G611" s="1290">
        <f t="shared" ref="G611:M611" si="171">G313*$C$89</f>
        <v>0</v>
      </c>
      <c r="H611" s="1290">
        <f t="shared" si="171"/>
        <v>0</v>
      </c>
      <c r="I611" s="1290">
        <f t="shared" si="171"/>
        <v>0</v>
      </c>
      <c r="J611" s="1290">
        <f t="shared" si="171"/>
        <v>0</v>
      </c>
      <c r="K611" s="1290">
        <f t="shared" si="171"/>
        <v>0</v>
      </c>
      <c r="L611" s="1290">
        <f t="shared" si="171"/>
        <v>4333.2089184999995</v>
      </c>
      <c r="M611" s="1290">
        <f t="shared" si="171"/>
        <v>4463.205186055</v>
      </c>
      <c r="R611" s="282"/>
      <c r="S611" s="282"/>
      <c r="T611" s="282"/>
      <c r="U611" s="282"/>
      <c r="V611" s="282"/>
      <c r="W611" s="282"/>
      <c r="X611" s="282"/>
      <c r="Y611" s="282"/>
      <c r="Z611" s="282"/>
      <c r="AA611" s="282"/>
    </row>
    <row r="612" spans="1:27" s="428" customFormat="1" outlineLevel="2" x14ac:dyDescent="0.25">
      <c r="A612" s="276">
        <f t="shared" si="168"/>
        <v>314</v>
      </c>
      <c r="B612" s="758" t="str">
        <f t="shared" si="169"/>
        <v>Curriculum Coach</v>
      </c>
      <c r="C612" s="560"/>
      <c r="D612" s="429"/>
      <c r="G612" s="1290"/>
      <c r="H612" s="1290"/>
      <c r="I612" s="1290"/>
      <c r="J612" s="1290"/>
      <c r="K612" s="1290"/>
      <c r="L612" s="1290"/>
      <c r="M612" s="1290"/>
      <c r="R612" s="282"/>
      <c r="S612" s="282"/>
      <c r="T612" s="282"/>
      <c r="U612" s="282"/>
      <c r="V612" s="282"/>
      <c r="W612" s="282"/>
      <c r="X612" s="282"/>
      <c r="Y612" s="282"/>
      <c r="Z612" s="282"/>
      <c r="AA612" s="282"/>
    </row>
    <row r="613" spans="1:27" s="428" customFormat="1" outlineLevel="2" x14ac:dyDescent="0.25">
      <c r="A613" s="276">
        <f t="shared" si="168"/>
        <v>315</v>
      </c>
      <c r="B613" s="758" t="str">
        <f t="shared" si="169"/>
        <v>School Nurse</v>
      </c>
      <c r="C613" s="560"/>
      <c r="D613" s="429"/>
      <c r="G613" s="1290">
        <f t="shared" ref="G613:M613" si="172">G315*$C$89</f>
        <v>0</v>
      </c>
      <c r="H613" s="1290">
        <f t="shared" si="172"/>
        <v>0</v>
      </c>
      <c r="I613" s="1290">
        <f t="shared" si="172"/>
        <v>0</v>
      </c>
      <c r="J613" s="1290">
        <f t="shared" si="172"/>
        <v>0</v>
      </c>
      <c r="K613" s="1290">
        <f t="shared" si="172"/>
        <v>3059.6356000000005</v>
      </c>
      <c r="L613" s="1290">
        <f t="shared" si="172"/>
        <v>3151.4246680000001</v>
      </c>
      <c r="M613" s="1290">
        <f t="shared" si="172"/>
        <v>3245.96740804</v>
      </c>
      <c r="R613" s="282"/>
      <c r="S613" s="282"/>
      <c r="T613" s="282"/>
      <c r="U613" s="282"/>
      <c r="V613" s="282"/>
      <c r="W613" s="282"/>
      <c r="X613" s="282"/>
      <c r="Y613" s="282"/>
      <c r="Z613" s="282"/>
      <c r="AA613" s="282"/>
    </row>
    <row r="614" spans="1:27" s="428" customFormat="1" outlineLevel="2" x14ac:dyDescent="0.25">
      <c r="A614" s="276">
        <f t="shared" si="168"/>
        <v>316</v>
      </c>
      <c r="B614" s="758" t="str">
        <f t="shared" si="169"/>
        <v>NSLP/Cafeteria Manager</v>
      </c>
      <c r="C614" s="560"/>
      <c r="D614" s="429"/>
      <c r="G614" s="1290">
        <f t="shared" ref="G614:M614" si="173">G316*$C$89</f>
        <v>0</v>
      </c>
      <c r="H614" s="1290">
        <f t="shared" si="173"/>
        <v>1411.2</v>
      </c>
      <c r="I614" s="1290">
        <f t="shared" si="173"/>
        <v>1453.5360000000001</v>
      </c>
      <c r="J614" s="1290">
        <f t="shared" si="173"/>
        <v>1497.1420800000001</v>
      </c>
      <c r="K614" s="1290">
        <f t="shared" si="173"/>
        <v>1542.0563424000002</v>
      </c>
      <c r="L614" s="1290">
        <f t="shared" si="173"/>
        <v>1588.3180326720001</v>
      </c>
      <c r="M614" s="1290">
        <f t="shared" si="173"/>
        <v>1635.9675736521599</v>
      </c>
      <c r="R614" s="282"/>
      <c r="S614" s="282"/>
      <c r="T614" s="282"/>
      <c r="U614" s="282"/>
      <c r="V614" s="282"/>
      <c r="W614" s="282"/>
      <c r="X614" s="282"/>
      <c r="Y614" s="282"/>
      <c r="Z614" s="282"/>
      <c r="AA614" s="282"/>
    </row>
    <row r="615" spans="1:27" s="428" customFormat="1" outlineLevel="2" x14ac:dyDescent="0.25">
      <c r="A615" s="276">
        <f t="shared" si="168"/>
        <v>317</v>
      </c>
      <c r="B615" s="758" t="str">
        <f t="shared" si="169"/>
        <v>Campus Monitor/Custodian</v>
      </c>
      <c r="C615" s="560"/>
      <c r="D615" s="429"/>
      <c r="G615" s="1290">
        <f t="shared" ref="G615:M615" si="174">G317*$C$89</f>
        <v>0</v>
      </c>
      <c r="H615" s="1290">
        <f t="shared" si="174"/>
        <v>0</v>
      </c>
      <c r="I615" s="1290">
        <f t="shared" si="174"/>
        <v>1868.8320000000003</v>
      </c>
      <c r="J615" s="1290">
        <f t="shared" si="174"/>
        <v>1924.89696</v>
      </c>
      <c r="K615" s="1290">
        <f t="shared" si="174"/>
        <v>1982.6438688000003</v>
      </c>
      <c r="L615" s="1290">
        <f t="shared" si="174"/>
        <v>2042.123184864</v>
      </c>
      <c r="M615" s="1290">
        <f t="shared" si="174"/>
        <v>2103.3868804099197</v>
      </c>
      <c r="R615" s="282"/>
      <c r="S615" s="282"/>
      <c r="T615" s="282"/>
      <c r="U615" s="282"/>
      <c r="V615" s="282"/>
      <c r="W615" s="282"/>
      <c r="X615" s="282"/>
      <c r="Y615" s="282"/>
      <c r="Z615" s="282"/>
      <c r="AA615" s="282"/>
    </row>
    <row r="616" spans="1:27" s="428" customFormat="1" outlineLevel="2" x14ac:dyDescent="0.25">
      <c r="A616" s="276">
        <f t="shared" si="168"/>
        <v>318</v>
      </c>
      <c r="B616" s="758" t="str">
        <f t="shared" si="169"/>
        <v xml:space="preserve">Receptionist </v>
      </c>
      <c r="C616" s="560"/>
      <c r="D616" s="429"/>
      <c r="G616" s="1290">
        <f t="shared" ref="G616:M616" si="175">G318*$C$89</f>
        <v>0</v>
      </c>
      <c r="H616" s="1290">
        <f t="shared" si="175"/>
        <v>1285.2</v>
      </c>
      <c r="I616" s="1290">
        <f t="shared" si="175"/>
        <v>1323.7560000000001</v>
      </c>
      <c r="J616" s="1290">
        <f t="shared" si="175"/>
        <v>1363.4686800000002</v>
      </c>
      <c r="K616" s="1290">
        <f t="shared" si="175"/>
        <v>1404.3727404000001</v>
      </c>
      <c r="L616" s="1290">
        <f t="shared" si="175"/>
        <v>1446.503922612</v>
      </c>
      <c r="M616" s="1290">
        <f t="shared" si="175"/>
        <v>1489.8990402903601</v>
      </c>
      <c r="R616" s="282"/>
      <c r="S616" s="282"/>
      <c r="T616" s="282"/>
      <c r="U616" s="282"/>
      <c r="V616" s="282"/>
      <c r="W616" s="282"/>
      <c r="X616" s="282"/>
      <c r="Y616" s="282"/>
      <c r="Z616" s="282"/>
      <c r="AA616" s="282"/>
    </row>
    <row r="617" spans="1:27" s="428" customFormat="1" outlineLevel="2" x14ac:dyDescent="0.25">
      <c r="A617" s="276">
        <f t="shared" si="168"/>
        <v>319</v>
      </c>
      <c r="B617" s="758" t="str">
        <f t="shared" si="169"/>
        <v>Clinic Aide / FASA</v>
      </c>
      <c r="C617" s="560"/>
      <c r="D617" s="429"/>
      <c r="G617" s="1290">
        <f t="shared" ref="G617:M617" si="176">G319*$C$89</f>
        <v>0</v>
      </c>
      <c r="H617" s="1290">
        <f t="shared" si="176"/>
        <v>0</v>
      </c>
      <c r="I617" s="1290">
        <f t="shared" si="176"/>
        <v>0</v>
      </c>
      <c r="J617" s="1290">
        <f t="shared" si="176"/>
        <v>1416.93804</v>
      </c>
      <c r="K617" s="1290">
        <f t="shared" si="176"/>
        <v>1459.4461812000002</v>
      </c>
      <c r="L617" s="1290">
        <f t="shared" si="176"/>
        <v>1503.2295666359998</v>
      </c>
      <c r="M617" s="1290">
        <f t="shared" si="176"/>
        <v>1548.3264536350798</v>
      </c>
      <c r="R617" s="282"/>
      <c r="S617" s="282"/>
      <c r="T617" s="282"/>
      <c r="U617" s="282"/>
      <c r="V617" s="282"/>
      <c r="W617" s="282"/>
      <c r="X617" s="282"/>
      <c r="Y617" s="282"/>
      <c r="Z617" s="282"/>
      <c r="AA617" s="282"/>
    </row>
    <row r="618" spans="1:27" s="428" customFormat="1" outlineLevel="2" x14ac:dyDescent="0.25">
      <c r="A618" s="276">
        <f t="shared" si="168"/>
        <v>320</v>
      </c>
      <c r="C618" s="560"/>
      <c r="D618" s="429"/>
      <c r="G618" s="1290"/>
      <c r="H618" s="1290"/>
      <c r="I618" s="1290"/>
      <c r="J618" s="1290"/>
      <c r="K618" s="1290"/>
      <c r="L618" s="1290"/>
      <c r="M618" s="1290"/>
      <c r="R618" s="282"/>
      <c r="S618" s="282"/>
      <c r="T618" s="282"/>
      <c r="U618" s="282"/>
      <c r="V618" s="282"/>
      <c r="W618" s="282"/>
      <c r="X618" s="282"/>
      <c r="Y618" s="282"/>
      <c r="Z618" s="282"/>
      <c r="AA618" s="282"/>
    </row>
    <row r="619" spans="1:27" s="428" customFormat="1" outlineLevel="2" x14ac:dyDescent="0.25">
      <c r="A619" s="276">
        <f t="shared" si="168"/>
        <v>321</v>
      </c>
      <c r="B619" s="701" t="str">
        <f>$B321</f>
        <v>Total Guidance Counselors/Other</v>
      </c>
      <c r="C619" s="733"/>
      <c r="D619" s="753"/>
      <c r="E619" s="703"/>
      <c r="F619" s="703"/>
      <c r="G619" s="1296">
        <f t="shared" ref="G619:M623" si="177">G321*$C$89</f>
        <v>0</v>
      </c>
      <c r="H619" s="1296">
        <f t="shared" si="177"/>
        <v>2696.4</v>
      </c>
      <c r="I619" s="1296">
        <f t="shared" si="177"/>
        <v>4646.1239999999998</v>
      </c>
      <c r="J619" s="1296">
        <f t="shared" si="177"/>
        <v>10286.910760000001</v>
      </c>
      <c r="K619" s="1296">
        <f t="shared" si="177"/>
        <v>18015.134412800002</v>
      </c>
      <c r="L619" s="1296">
        <f t="shared" si="177"/>
        <v>22888.797363684</v>
      </c>
      <c r="M619" s="1296">
        <f t="shared" si="177"/>
        <v>23575.461284594519</v>
      </c>
      <c r="R619" s="282"/>
      <c r="S619" s="282"/>
      <c r="T619" s="282"/>
      <c r="U619" s="282"/>
      <c r="V619" s="282"/>
      <c r="W619" s="282"/>
      <c r="X619" s="282"/>
      <c r="Y619" s="282"/>
      <c r="Z619" s="282"/>
      <c r="AA619" s="282"/>
    </row>
    <row r="620" spans="1:27" s="428" customFormat="1" outlineLevel="2" x14ac:dyDescent="0.25">
      <c r="A620" s="276">
        <f t="shared" si="168"/>
        <v>322</v>
      </c>
      <c r="B620" s="758">
        <f>$B322</f>
        <v>0</v>
      </c>
      <c r="C620" s="560"/>
      <c r="D620" s="429"/>
      <c r="G620" s="1290">
        <f t="shared" si="177"/>
        <v>0</v>
      </c>
      <c r="H620" s="1290">
        <f t="shared" si="177"/>
        <v>0</v>
      </c>
      <c r="I620" s="1290">
        <f t="shared" si="177"/>
        <v>0</v>
      </c>
      <c r="J620" s="1290">
        <f t="shared" si="177"/>
        <v>0</v>
      </c>
      <c r="K620" s="1290">
        <f t="shared" si="177"/>
        <v>0</v>
      </c>
      <c r="L620" s="1290">
        <f t="shared" si="177"/>
        <v>0</v>
      </c>
      <c r="M620" s="1290">
        <f t="shared" si="177"/>
        <v>0</v>
      </c>
      <c r="R620" s="282"/>
      <c r="S620" s="282"/>
      <c r="T620" s="282"/>
      <c r="U620" s="282"/>
      <c r="V620" s="282"/>
      <c r="W620" s="282"/>
      <c r="X620" s="282"/>
      <c r="Y620" s="282"/>
      <c r="Z620" s="282"/>
      <c r="AA620" s="282"/>
    </row>
    <row r="621" spans="1:27" s="428" customFormat="1" outlineLevel="2" x14ac:dyDescent="0.25">
      <c r="A621" s="276">
        <f t="shared" si="168"/>
        <v>323</v>
      </c>
      <c r="B621" s="758" t="str">
        <f>$B323</f>
        <v>Kindergarten Teacher</v>
      </c>
      <c r="C621" s="560"/>
      <c r="D621" s="429"/>
      <c r="G621" s="1290">
        <f t="shared" si="177"/>
        <v>0</v>
      </c>
      <c r="H621" s="1290">
        <f t="shared" si="177"/>
        <v>2940.0000000000005</v>
      </c>
      <c r="I621" s="1290">
        <f t="shared" si="177"/>
        <v>3028.2000000000003</v>
      </c>
      <c r="J621" s="1290">
        <f t="shared" si="177"/>
        <v>3119.0459999999998</v>
      </c>
      <c r="K621" s="1290">
        <f t="shared" si="177"/>
        <v>3212.6173800000001</v>
      </c>
      <c r="L621" s="1290">
        <f t="shared" si="177"/>
        <v>3308.9959014000001</v>
      </c>
      <c r="M621" s="1290">
        <f t="shared" si="177"/>
        <v>3408.2657784419998</v>
      </c>
      <c r="R621" s="282"/>
      <c r="S621" s="282"/>
      <c r="T621" s="282"/>
      <c r="U621" s="282"/>
      <c r="V621" s="282"/>
      <c r="W621" s="282"/>
      <c r="X621" s="282"/>
      <c r="Y621" s="282"/>
      <c r="Z621" s="282"/>
      <c r="AA621" s="282"/>
    </row>
    <row r="622" spans="1:27" s="428" customFormat="1" outlineLevel="2" x14ac:dyDescent="0.25">
      <c r="A622" s="276">
        <f t="shared" si="168"/>
        <v>324</v>
      </c>
      <c r="B622" s="758" t="str">
        <f>$B324</f>
        <v>Kindergarten Teacher</v>
      </c>
      <c r="C622" s="560"/>
      <c r="D622" s="429"/>
      <c r="G622" s="1290">
        <f t="shared" si="177"/>
        <v>0</v>
      </c>
      <c r="H622" s="1290">
        <f t="shared" si="177"/>
        <v>2940.0000000000005</v>
      </c>
      <c r="I622" s="1290">
        <f t="shared" si="177"/>
        <v>3028.2000000000003</v>
      </c>
      <c r="J622" s="1290">
        <f t="shared" si="177"/>
        <v>3119.0459999999998</v>
      </c>
      <c r="K622" s="1290">
        <f t="shared" si="177"/>
        <v>3212.6173800000001</v>
      </c>
      <c r="L622" s="1290">
        <f t="shared" si="177"/>
        <v>3308.9959014000001</v>
      </c>
      <c r="M622" s="1290">
        <f t="shared" si="177"/>
        <v>3408.2657784419998</v>
      </c>
      <c r="R622" s="282"/>
      <c r="S622" s="282"/>
      <c r="T622" s="282"/>
      <c r="U622" s="282"/>
      <c r="V622" s="282"/>
      <c r="W622" s="282"/>
      <c r="X622" s="282"/>
      <c r="Y622" s="282"/>
      <c r="Z622" s="282"/>
      <c r="AA622" s="282"/>
    </row>
    <row r="623" spans="1:27" s="428" customFormat="1" outlineLevel="2" x14ac:dyDescent="0.25">
      <c r="A623" s="276">
        <f t="shared" si="168"/>
        <v>325</v>
      </c>
      <c r="B623" s="758" t="str">
        <f>$B325</f>
        <v>Kindergarten Teacher</v>
      </c>
      <c r="C623" s="560"/>
      <c r="D623" s="429"/>
      <c r="G623" s="1290">
        <f t="shared" si="177"/>
        <v>0</v>
      </c>
      <c r="H623" s="1290">
        <f t="shared" si="177"/>
        <v>2940.0000000000005</v>
      </c>
      <c r="I623" s="1290">
        <f t="shared" si="177"/>
        <v>3028.2000000000003</v>
      </c>
      <c r="J623" s="1290">
        <f t="shared" si="177"/>
        <v>3119.0459999999998</v>
      </c>
      <c r="K623" s="1290">
        <f t="shared" si="177"/>
        <v>3212.6173800000001</v>
      </c>
      <c r="L623" s="1290">
        <f t="shared" si="177"/>
        <v>3308.9959014000001</v>
      </c>
      <c r="M623" s="1290">
        <f t="shared" si="177"/>
        <v>3408.2657784419998</v>
      </c>
      <c r="R623" s="282"/>
      <c r="S623" s="282"/>
      <c r="T623" s="282"/>
      <c r="U623" s="282"/>
      <c r="V623" s="282"/>
      <c r="W623" s="282"/>
      <c r="X623" s="282"/>
      <c r="Y623" s="282"/>
      <c r="Z623" s="282"/>
      <c r="AA623" s="282"/>
    </row>
    <row r="624" spans="1:27" s="428" customFormat="1" outlineLevel="2" x14ac:dyDescent="0.25">
      <c r="A624" s="276">
        <f t="shared" si="168"/>
        <v>326</v>
      </c>
      <c r="B624" s="758"/>
      <c r="C624" s="560"/>
      <c r="D624" s="429"/>
      <c r="G624" s="1290"/>
      <c r="H624" s="1290"/>
      <c r="I624" s="1290"/>
      <c r="J624" s="1290"/>
      <c r="K624" s="1290"/>
      <c r="L624" s="1290"/>
      <c r="M624" s="1290"/>
      <c r="R624" s="282"/>
      <c r="S624" s="282"/>
      <c r="T624" s="282"/>
      <c r="U624" s="282"/>
      <c r="V624" s="282"/>
      <c r="W624" s="282"/>
      <c r="X624" s="282"/>
      <c r="Y624" s="282"/>
      <c r="Z624" s="282"/>
      <c r="AA624" s="282"/>
    </row>
    <row r="625" spans="1:27" s="428" customFormat="1" outlineLevel="2" x14ac:dyDescent="0.25">
      <c r="A625" s="276">
        <f t="shared" si="168"/>
        <v>327</v>
      </c>
      <c r="B625" s="758" t="str">
        <f>$B327</f>
        <v>Kindergarten Teacher</v>
      </c>
      <c r="C625" s="560"/>
      <c r="D625" s="429"/>
      <c r="G625" s="1290">
        <f t="shared" ref="G625:M629" si="178">G327*$C$89</f>
        <v>0</v>
      </c>
      <c r="H625" s="1290">
        <f t="shared" si="178"/>
        <v>2940.0000000000005</v>
      </c>
      <c r="I625" s="1290">
        <f t="shared" si="178"/>
        <v>3028.2000000000003</v>
      </c>
      <c r="J625" s="1290">
        <f t="shared" si="178"/>
        <v>3119.0459999999998</v>
      </c>
      <c r="K625" s="1290">
        <f t="shared" si="178"/>
        <v>3212.6173800000001</v>
      </c>
      <c r="L625" s="1290">
        <f t="shared" si="178"/>
        <v>3308.9959014000001</v>
      </c>
      <c r="M625" s="1290">
        <f t="shared" si="178"/>
        <v>3408.2657784419998</v>
      </c>
      <c r="R625" s="282"/>
      <c r="S625" s="282"/>
      <c r="T625" s="282"/>
      <c r="U625" s="282"/>
      <c r="V625" s="282"/>
      <c r="W625" s="282"/>
      <c r="X625" s="282"/>
      <c r="Y625" s="282"/>
      <c r="Z625" s="282"/>
      <c r="AA625" s="282"/>
    </row>
    <row r="626" spans="1:27" s="428" customFormat="1" outlineLevel="2" x14ac:dyDescent="0.25">
      <c r="A626" s="276">
        <f t="shared" si="168"/>
        <v>328</v>
      </c>
      <c r="B626" s="758" t="str">
        <f>$B328</f>
        <v>1st Grade Teacher</v>
      </c>
      <c r="C626" s="560"/>
      <c r="D626" s="429"/>
      <c r="G626" s="1290">
        <f t="shared" si="178"/>
        <v>0</v>
      </c>
      <c r="H626" s="1290">
        <f t="shared" si="178"/>
        <v>2940.0000000000005</v>
      </c>
      <c r="I626" s="1290">
        <f t="shared" si="178"/>
        <v>3028.2000000000003</v>
      </c>
      <c r="J626" s="1290">
        <f t="shared" si="178"/>
        <v>3119.0459999999998</v>
      </c>
      <c r="K626" s="1290">
        <f t="shared" si="178"/>
        <v>3212.6173800000001</v>
      </c>
      <c r="L626" s="1290">
        <f t="shared" si="178"/>
        <v>3308.9959014000001</v>
      </c>
      <c r="M626" s="1290">
        <f t="shared" si="178"/>
        <v>3408.2657784419998</v>
      </c>
      <c r="R626" s="282"/>
      <c r="S626" s="282"/>
      <c r="T626" s="282"/>
      <c r="U626" s="282"/>
      <c r="V626" s="282"/>
      <c r="W626" s="282"/>
      <c r="X626" s="282"/>
      <c r="Y626" s="282"/>
      <c r="Z626" s="282"/>
      <c r="AA626" s="282"/>
    </row>
    <row r="627" spans="1:27" s="428" customFormat="1" outlineLevel="2" x14ac:dyDescent="0.25">
      <c r="A627" s="276">
        <f t="shared" si="168"/>
        <v>329</v>
      </c>
      <c r="B627" s="758" t="str">
        <f>$B329</f>
        <v>1st Grade Teacher</v>
      </c>
      <c r="C627" s="560"/>
      <c r="D627" s="429"/>
      <c r="G627" s="1290">
        <f t="shared" si="178"/>
        <v>0</v>
      </c>
      <c r="H627" s="1290">
        <f t="shared" si="178"/>
        <v>2940.0000000000005</v>
      </c>
      <c r="I627" s="1290">
        <f t="shared" si="178"/>
        <v>3028.2000000000003</v>
      </c>
      <c r="J627" s="1290">
        <f t="shared" si="178"/>
        <v>3119.0459999999998</v>
      </c>
      <c r="K627" s="1290">
        <f t="shared" si="178"/>
        <v>3212.6173800000001</v>
      </c>
      <c r="L627" s="1290">
        <f t="shared" si="178"/>
        <v>3308.9959014000001</v>
      </c>
      <c r="M627" s="1290">
        <f t="shared" si="178"/>
        <v>3408.2657784419998</v>
      </c>
      <c r="R627" s="282"/>
      <c r="S627" s="282"/>
      <c r="T627" s="282"/>
      <c r="U627" s="282"/>
      <c r="V627" s="282"/>
      <c r="W627" s="282"/>
      <c r="X627" s="282"/>
      <c r="Y627" s="282"/>
      <c r="Z627" s="282"/>
      <c r="AA627" s="282"/>
    </row>
    <row r="628" spans="1:27" s="428" customFormat="1" outlineLevel="2" x14ac:dyDescent="0.25">
      <c r="A628" s="276">
        <f t="shared" si="168"/>
        <v>330</v>
      </c>
      <c r="B628" s="758" t="str">
        <f>$B330</f>
        <v>1st Grade Teacher</v>
      </c>
      <c r="C628" s="560"/>
      <c r="D628" s="429"/>
      <c r="G628" s="1290">
        <f t="shared" si="178"/>
        <v>0</v>
      </c>
      <c r="H628" s="1290">
        <f t="shared" si="178"/>
        <v>0</v>
      </c>
      <c r="I628" s="1290">
        <f t="shared" si="178"/>
        <v>3073.6230000000005</v>
      </c>
      <c r="J628" s="1290">
        <f t="shared" si="178"/>
        <v>3165.8316900000004</v>
      </c>
      <c r="K628" s="1290">
        <f t="shared" si="178"/>
        <v>3260.8066407000006</v>
      </c>
      <c r="L628" s="1290">
        <f t="shared" si="178"/>
        <v>3358.6308399209997</v>
      </c>
      <c r="M628" s="1290">
        <f t="shared" si="178"/>
        <v>3459.3897651186298</v>
      </c>
      <c r="R628" s="282"/>
      <c r="S628" s="282"/>
      <c r="T628" s="282"/>
      <c r="U628" s="282"/>
      <c r="V628" s="282"/>
      <c r="W628" s="282"/>
      <c r="X628" s="282"/>
      <c r="Y628" s="282"/>
      <c r="Z628" s="282"/>
      <c r="AA628" s="282"/>
    </row>
    <row r="629" spans="1:27" s="431" customFormat="1" outlineLevel="2" x14ac:dyDescent="0.25">
      <c r="A629" s="276">
        <f t="shared" si="168"/>
        <v>331</v>
      </c>
      <c r="B629" s="758" t="str">
        <f>$B331</f>
        <v>1st Grade Teacher</v>
      </c>
      <c r="C629" s="560"/>
      <c r="D629" s="429"/>
      <c r="G629" s="1290">
        <f t="shared" si="178"/>
        <v>0</v>
      </c>
      <c r="H629" s="1290">
        <f t="shared" si="178"/>
        <v>0</v>
      </c>
      <c r="I629" s="1290">
        <f t="shared" si="178"/>
        <v>3073.6230000000005</v>
      </c>
      <c r="J629" s="1290">
        <f t="shared" si="178"/>
        <v>3165.8316900000004</v>
      </c>
      <c r="K629" s="1290">
        <f t="shared" si="178"/>
        <v>3260.8066407000006</v>
      </c>
      <c r="L629" s="1290">
        <f t="shared" si="178"/>
        <v>3358.6308399209997</v>
      </c>
      <c r="M629" s="1290">
        <f t="shared" si="178"/>
        <v>3459.3897651186298</v>
      </c>
      <c r="R629" s="282"/>
      <c r="S629" s="282"/>
      <c r="T629" s="282"/>
      <c r="U629" s="282"/>
      <c r="V629" s="282"/>
      <c r="W629" s="282"/>
      <c r="X629" s="282"/>
      <c r="Y629" s="282"/>
      <c r="Z629" s="282"/>
      <c r="AA629" s="282"/>
    </row>
    <row r="630" spans="1:27" s="431" customFormat="1" outlineLevel="2" x14ac:dyDescent="0.25">
      <c r="A630" s="276">
        <f t="shared" si="168"/>
        <v>332</v>
      </c>
      <c r="B630" s="758"/>
      <c r="C630" s="561"/>
      <c r="D630" s="428"/>
      <c r="G630" s="1290"/>
      <c r="H630" s="1290"/>
      <c r="I630" s="1290"/>
      <c r="J630" s="1290"/>
      <c r="K630" s="1290"/>
      <c r="L630" s="1290"/>
      <c r="M630" s="1290"/>
      <c r="R630" s="282"/>
      <c r="S630" s="282"/>
      <c r="T630" s="282"/>
      <c r="U630" s="282"/>
      <c r="V630" s="282"/>
      <c r="W630" s="282"/>
      <c r="X630" s="282"/>
      <c r="Y630" s="282"/>
      <c r="Z630" s="282"/>
      <c r="AA630" s="282"/>
    </row>
    <row r="631" spans="1:27" s="428" customFormat="1" outlineLevel="2" x14ac:dyDescent="0.25">
      <c r="A631" s="276">
        <f t="shared" si="168"/>
        <v>333</v>
      </c>
      <c r="B631" s="758" t="str">
        <f>$B333</f>
        <v>2nd Grade Teacher</v>
      </c>
      <c r="C631" s="560"/>
      <c r="D631" s="429"/>
      <c r="G631" s="1290">
        <f t="shared" ref="G631:M635" si="179">G333*$C$89</f>
        <v>0</v>
      </c>
      <c r="H631" s="1290">
        <f t="shared" si="179"/>
        <v>2940.0000000000005</v>
      </c>
      <c r="I631" s="1290">
        <f t="shared" si="179"/>
        <v>3028.2000000000003</v>
      </c>
      <c r="J631" s="1290">
        <f t="shared" si="179"/>
        <v>3119.0459999999998</v>
      </c>
      <c r="K631" s="1290">
        <f t="shared" si="179"/>
        <v>3212.6173800000001</v>
      </c>
      <c r="L631" s="1290">
        <f t="shared" si="179"/>
        <v>3308.9959014000001</v>
      </c>
      <c r="M631" s="1290">
        <f t="shared" si="179"/>
        <v>3408.2657784419998</v>
      </c>
      <c r="R631" s="282"/>
      <c r="S631" s="282"/>
      <c r="T631" s="282"/>
      <c r="U631" s="282"/>
      <c r="V631" s="282"/>
      <c r="W631" s="282"/>
      <c r="X631" s="282"/>
      <c r="Y631" s="282"/>
      <c r="Z631" s="282"/>
      <c r="AA631" s="282"/>
    </row>
    <row r="632" spans="1:27" s="428" customFormat="1" outlineLevel="2" x14ac:dyDescent="0.25">
      <c r="A632" s="276">
        <f t="shared" si="168"/>
        <v>334</v>
      </c>
      <c r="B632" s="758" t="str">
        <f>$B334</f>
        <v>2nd Grade Teacher</v>
      </c>
      <c r="C632" s="560"/>
      <c r="D632" s="429"/>
      <c r="G632" s="1290">
        <f t="shared" si="179"/>
        <v>0</v>
      </c>
      <c r="H632" s="1290">
        <f t="shared" si="179"/>
        <v>2940.0000000000005</v>
      </c>
      <c r="I632" s="1290">
        <f t="shared" si="179"/>
        <v>3028.2000000000003</v>
      </c>
      <c r="J632" s="1290">
        <f t="shared" si="179"/>
        <v>3119.0459999999998</v>
      </c>
      <c r="K632" s="1290">
        <f t="shared" si="179"/>
        <v>3212.6173800000001</v>
      </c>
      <c r="L632" s="1290">
        <f t="shared" si="179"/>
        <v>3308.9959014000001</v>
      </c>
      <c r="M632" s="1290">
        <f t="shared" si="179"/>
        <v>3408.2657784419998</v>
      </c>
      <c r="R632" s="282"/>
      <c r="S632" s="282"/>
      <c r="T632" s="282"/>
      <c r="U632" s="282"/>
      <c r="V632" s="282"/>
      <c r="W632" s="282"/>
      <c r="X632" s="282"/>
      <c r="Y632" s="282"/>
      <c r="Z632" s="282"/>
      <c r="AA632" s="282"/>
    </row>
    <row r="633" spans="1:27" s="428" customFormat="1" outlineLevel="2" x14ac:dyDescent="0.25">
      <c r="A633" s="276">
        <f t="shared" si="168"/>
        <v>335</v>
      </c>
      <c r="B633" s="758" t="str">
        <f>$B335</f>
        <v>2nd Grade Teacher</v>
      </c>
      <c r="C633" s="560"/>
      <c r="D633" s="429"/>
      <c r="G633" s="1290">
        <f t="shared" si="179"/>
        <v>0</v>
      </c>
      <c r="H633" s="1290">
        <f t="shared" si="179"/>
        <v>0</v>
      </c>
      <c r="I633" s="1290">
        <f t="shared" si="179"/>
        <v>3073.6230000000005</v>
      </c>
      <c r="J633" s="1290">
        <f t="shared" si="179"/>
        <v>3165.8316900000004</v>
      </c>
      <c r="K633" s="1290">
        <f t="shared" si="179"/>
        <v>3260.8066407000006</v>
      </c>
      <c r="L633" s="1290">
        <f t="shared" si="179"/>
        <v>3358.6308399209997</v>
      </c>
      <c r="M633" s="1290">
        <f t="shared" si="179"/>
        <v>3459.3897651186298</v>
      </c>
      <c r="R633" s="282"/>
      <c r="S633" s="282"/>
      <c r="T633" s="282"/>
      <c r="U633" s="282"/>
      <c r="V633" s="282"/>
      <c r="W633" s="282"/>
      <c r="X633" s="282"/>
      <c r="Y633" s="282"/>
      <c r="Z633" s="282"/>
      <c r="AA633" s="282"/>
    </row>
    <row r="634" spans="1:27" s="428" customFormat="1" outlineLevel="2" x14ac:dyDescent="0.25">
      <c r="A634" s="276">
        <f t="shared" si="168"/>
        <v>336</v>
      </c>
      <c r="B634" s="758" t="str">
        <f>$B336</f>
        <v>2nd Grade Teacher</v>
      </c>
      <c r="C634" s="560"/>
      <c r="D634" s="429"/>
      <c r="G634" s="1290">
        <f t="shared" si="179"/>
        <v>0</v>
      </c>
      <c r="H634" s="1290">
        <f t="shared" si="179"/>
        <v>0</v>
      </c>
      <c r="I634" s="1290">
        <f t="shared" si="179"/>
        <v>3073.6230000000005</v>
      </c>
      <c r="J634" s="1290">
        <f t="shared" si="179"/>
        <v>3165.8316900000004</v>
      </c>
      <c r="K634" s="1290">
        <f t="shared" si="179"/>
        <v>3260.8066407000006</v>
      </c>
      <c r="L634" s="1290">
        <f t="shared" si="179"/>
        <v>3358.6308399209997</v>
      </c>
      <c r="M634" s="1290">
        <f t="shared" si="179"/>
        <v>3459.3897651186298</v>
      </c>
      <c r="R634" s="282"/>
      <c r="S634" s="282"/>
      <c r="T634" s="282"/>
      <c r="U634" s="282"/>
      <c r="V634" s="282"/>
      <c r="W634" s="282"/>
      <c r="X634" s="282"/>
      <c r="Y634" s="282"/>
      <c r="Z634" s="282"/>
      <c r="AA634" s="282"/>
    </row>
    <row r="635" spans="1:27" s="428" customFormat="1" outlineLevel="2" x14ac:dyDescent="0.25">
      <c r="A635" s="276">
        <f t="shared" si="168"/>
        <v>337</v>
      </c>
      <c r="B635" s="758" t="str">
        <f>$B337</f>
        <v>3rd Grade Teacher</v>
      </c>
      <c r="C635" s="560"/>
      <c r="D635" s="429"/>
      <c r="G635" s="1290">
        <f t="shared" si="179"/>
        <v>0</v>
      </c>
      <c r="H635" s="1290">
        <f t="shared" si="179"/>
        <v>2940.0000000000005</v>
      </c>
      <c r="I635" s="1290">
        <f t="shared" si="179"/>
        <v>3028.2000000000003</v>
      </c>
      <c r="J635" s="1290">
        <f t="shared" si="179"/>
        <v>3119.0459999999998</v>
      </c>
      <c r="K635" s="1290">
        <f t="shared" si="179"/>
        <v>3212.6173800000001</v>
      </c>
      <c r="L635" s="1290">
        <f t="shared" si="179"/>
        <v>3308.9959014000001</v>
      </c>
      <c r="M635" s="1290">
        <f t="shared" si="179"/>
        <v>3408.2657784419998</v>
      </c>
      <c r="R635" s="282"/>
      <c r="S635" s="282"/>
      <c r="T635" s="282"/>
      <c r="U635" s="282"/>
      <c r="V635" s="282"/>
      <c r="W635" s="282"/>
      <c r="X635" s="282"/>
      <c r="Y635" s="282"/>
      <c r="Z635" s="282"/>
      <c r="AA635" s="282"/>
    </row>
    <row r="636" spans="1:27" s="428" customFormat="1" outlineLevel="2" x14ac:dyDescent="0.25">
      <c r="A636" s="276">
        <f t="shared" si="168"/>
        <v>338</v>
      </c>
      <c r="B636" s="758"/>
      <c r="C636" s="560"/>
      <c r="D636" s="429"/>
      <c r="G636" s="1290"/>
      <c r="H636" s="1290"/>
      <c r="I636" s="1290"/>
      <c r="J636" s="1290"/>
      <c r="K636" s="1290"/>
      <c r="L636" s="1290"/>
      <c r="M636" s="1290"/>
      <c r="R636" s="282"/>
      <c r="S636" s="282"/>
      <c r="T636" s="282"/>
      <c r="U636" s="282"/>
      <c r="V636" s="282"/>
      <c r="W636" s="282"/>
      <c r="X636" s="282"/>
      <c r="Y636" s="282"/>
      <c r="Z636" s="282"/>
      <c r="AA636" s="282"/>
    </row>
    <row r="637" spans="1:27" s="428" customFormat="1" outlineLevel="2" x14ac:dyDescent="0.25">
      <c r="A637" s="276">
        <f t="shared" si="168"/>
        <v>339</v>
      </c>
      <c r="B637" s="758" t="str">
        <f>$B339</f>
        <v>3rd Grade Teacher</v>
      </c>
      <c r="C637" s="560"/>
      <c r="D637" s="429"/>
      <c r="G637" s="1290">
        <f t="shared" ref="G637:M641" si="180">G339*$C$89</f>
        <v>0</v>
      </c>
      <c r="H637" s="1290">
        <f t="shared" si="180"/>
        <v>2940.0000000000005</v>
      </c>
      <c r="I637" s="1290">
        <f t="shared" si="180"/>
        <v>3028.2000000000003</v>
      </c>
      <c r="J637" s="1290">
        <f t="shared" si="180"/>
        <v>3119.0459999999998</v>
      </c>
      <c r="K637" s="1290">
        <f t="shared" si="180"/>
        <v>3212.6173800000001</v>
      </c>
      <c r="L637" s="1290">
        <f t="shared" si="180"/>
        <v>3308.9959014000001</v>
      </c>
      <c r="M637" s="1290">
        <f t="shared" si="180"/>
        <v>3408.2657784419998</v>
      </c>
      <c r="R637" s="282"/>
      <c r="S637" s="282"/>
      <c r="T637" s="282"/>
      <c r="U637" s="282"/>
      <c r="V637" s="282"/>
      <c r="W637" s="282"/>
      <c r="X637" s="282"/>
      <c r="Y637" s="282"/>
      <c r="Z637" s="282"/>
      <c r="AA637" s="282"/>
    </row>
    <row r="638" spans="1:27" s="428" customFormat="1" outlineLevel="2" x14ac:dyDescent="0.25">
      <c r="A638" s="276">
        <f t="shared" si="168"/>
        <v>340</v>
      </c>
      <c r="B638" s="758" t="str">
        <f>$B340</f>
        <v>3rd Grade Teacher</v>
      </c>
      <c r="C638" s="560"/>
      <c r="D638" s="429"/>
      <c r="G638" s="1290">
        <f t="shared" si="180"/>
        <v>0</v>
      </c>
      <c r="H638" s="1290">
        <f t="shared" si="180"/>
        <v>0</v>
      </c>
      <c r="I638" s="1290">
        <f t="shared" si="180"/>
        <v>3073.6230000000005</v>
      </c>
      <c r="J638" s="1290">
        <f t="shared" si="180"/>
        <v>3165.8316900000004</v>
      </c>
      <c r="K638" s="1290">
        <f t="shared" si="180"/>
        <v>3260.8066407000006</v>
      </c>
      <c r="L638" s="1290">
        <f t="shared" si="180"/>
        <v>3358.6308399209997</v>
      </c>
      <c r="M638" s="1290">
        <f t="shared" si="180"/>
        <v>3459.3897651186298</v>
      </c>
      <c r="R638" s="282"/>
      <c r="S638" s="282"/>
      <c r="T638" s="282"/>
      <c r="U638" s="282"/>
      <c r="V638" s="282"/>
      <c r="W638" s="282"/>
      <c r="X638" s="282"/>
      <c r="Y638" s="282"/>
      <c r="Z638" s="282"/>
      <c r="AA638" s="282"/>
    </row>
    <row r="639" spans="1:27" s="428" customFormat="1" outlineLevel="2" x14ac:dyDescent="0.25">
      <c r="A639" s="276">
        <f t="shared" si="168"/>
        <v>341</v>
      </c>
      <c r="B639" s="758" t="str">
        <f>$B341</f>
        <v>3rd Grade Teacher</v>
      </c>
      <c r="C639" s="560"/>
      <c r="D639" s="429"/>
      <c r="G639" s="1290">
        <f t="shared" si="180"/>
        <v>0</v>
      </c>
      <c r="H639" s="1290">
        <f t="shared" si="180"/>
        <v>0</v>
      </c>
      <c r="I639" s="1290">
        <f t="shared" si="180"/>
        <v>3073.6230000000005</v>
      </c>
      <c r="J639" s="1290">
        <f t="shared" si="180"/>
        <v>3165.8316900000004</v>
      </c>
      <c r="K639" s="1290">
        <f t="shared" si="180"/>
        <v>3260.8066407000006</v>
      </c>
      <c r="L639" s="1290">
        <f t="shared" si="180"/>
        <v>3358.6308399209997</v>
      </c>
      <c r="M639" s="1290">
        <f t="shared" si="180"/>
        <v>3459.3897651186298</v>
      </c>
      <c r="R639" s="282"/>
      <c r="S639" s="282"/>
      <c r="T639" s="282"/>
      <c r="U639" s="282"/>
      <c r="V639" s="282"/>
      <c r="W639" s="282"/>
      <c r="X639" s="282"/>
      <c r="Y639" s="282"/>
      <c r="Z639" s="282"/>
      <c r="AA639" s="282"/>
    </row>
    <row r="640" spans="1:27" s="428" customFormat="1" outlineLevel="2" x14ac:dyDescent="0.25">
      <c r="A640" s="276">
        <f t="shared" si="168"/>
        <v>342</v>
      </c>
      <c r="B640" s="758" t="str">
        <f>$B342</f>
        <v>4th Grade Teacher</v>
      </c>
      <c r="C640" s="560"/>
      <c r="D640" s="429"/>
      <c r="G640" s="1290">
        <f t="shared" si="180"/>
        <v>0</v>
      </c>
      <c r="H640" s="1290">
        <f t="shared" si="180"/>
        <v>2940.0000000000005</v>
      </c>
      <c r="I640" s="1290">
        <f t="shared" si="180"/>
        <v>3028.2000000000003</v>
      </c>
      <c r="J640" s="1290">
        <f t="shared" si="180"/>
        <v>3119.0459999999998</v>
      </c>
      <c r="K640" s="1290">
        <f t="shared" si="180"/>
        <v>3212.6173800000001</v>
      </c>
      <c r="L640" s="1290">
        <f t="shared" si="180"/>
        <v>3308.9959014000001</v>
      </c>
      <c r="M640" s="1290">
        <f t="shared" si="180"/>
        <v>3408.2657784419998</v>
      </c>
      <c r="R640" s="282"/>
      <c r="S640" s="282"/>
      <c r="T640" s="282"/>
      <c r="U640" s="282"/>
      <c r="V640" s="282"/>
      <c r="W640" s="282"/>
      <c r="X640" s="282"/>
      <c r="Y640" s="282"/>
      <c r="Z640" s="282"/>
      <c r="AA640" s="282"/>
    </row>
    <row r="641" spans="1:27" s="431" customFormat="1" outlineLevel="2" x14ac:dyDescent="0.25">
      <c r="A641" s="276">
        <f t="shared" si="168"/>
        <v>343</v>
      </c>
      <c r="B641" s="758" t="str">
        <f>$B343</f>
        <v>4th Grade Teacher</v>
      </c>
      <c r="C641" s="560"/>
      <c r="D641" s="429"/>
      <c r="G641" s="1290">
        <f t="shared" si="180"/>
        <v>0</v>
      </c>
      <c r="H641" s="1290">
        <f t="shared" si="180"/>
        <v>0</v>
      </c>
      <c r="I641" s="1290">
        <f t="shared" si="180"/>
        <v>3073.6230000000005</v>
      </c>
      <c r="J641" s="1290">
        <f t="shared" si="180"/>
        <v>3165.8316900000004</v>
      </c>
      <c r="K641" s="1290">
        <f t="shared" si="180"/>
        <v>3260.8066407000006</v>
      </c>
      <c r="L641" s="1290">
        <f t="shared" si="180"/>
        <v>3358.6308399209997</v>
      </c>
      <c r="M641" s="1290">
        <f t="shared" si="180"/>
        <v>3459.3897651186298</v>
      </c>
      <c r="R641" s="282"/>
      <c r="S641" s="282"/>
      <c r="T641" s="282"/>
      <c r="U641" s="282"/>
      <c r="V641" s="282"/>
      <c r="W641" s="282"/>
      <c r="X641" s="282"/>
      <c r="Y641" s="282"/>
      <c r="Z641" s="282"/>
      <c r="AA641" s="282"/>
    </row>
    <row r="642" spans="1:27" s="431" customFormat="1" outlineLevel="2" x14ac:dyDescent="0.25">
      <c r="A642" s="276">
        <f t="shared" si="168"/>
        <v>344</v>
      </c>
      <c r="B642" s="758"/>
      <c r="C642" s="561"/>
      <c r="D642" s="428"/>
      <c r="G642" s="1290"/>
      <c r="H642" s="1290"/>
      <c r="I642" s="1290"/>
      <c r="J642" s="1290"/>
      <c r="K642" s="1290"/>
      <c r="L642" s="1290"/>
      <c r="M642" s="1290"/>
      <c r="R642" s="282"/>
      <c r="S642" s="282"/>
      <c r="T642" s="282"/>
      <c r="U642" s="282"/>
      <c r="V642" s="282"/>
      <c r="W642" s="282"/>
      <c r="X642" s="282"/>
      <c r="Y642" s="282"/>
      <c r="Z642" s="282"/>
      <c r="AA642" s="282"/>
    </row>
    <row r="643" spans="1:27" s="428" customFormat="1" outlineLevel="2" x14ac:dyDescent="0.25">
      <c r="A643" s="276">
        <f t="shared" si="168"/>
        <v>345</v>
      </c>
      <c r="B643" s="758" t="str">
        <f>$B345</f>
        <v>4th Grade Teacher</v>
      </c>
      <c r="C643" s="560"/>
      <c r="D643" s="429"/>
      <c r="G643" s="1290">
        <f t="shared" ref="G643:M647" si="181">G345*$C$89</f>
        <v>0</v>
      </c>
      <c r="H643" s="1290">
        <f t="shared" si="181"/>
        <v>0</v>
      </c>
      <c r="I643" s="1290">
        <f t="shared" si="181"/>
        <v>0</v>
      </c>
      <c r="J643" s="1290">
        <f t="shared" si="181"/>
        <v>3215.5879000000004</v>
      </c>
      <c r="K643" s="1290">
        <f t="shared" si="181"/>
        <v>3312.0555370000006</v>
      </c>
      <c r="L643" s="1290">
        <f t="shared" si="181"/>
        <v>3411.4172031100002</v>
      </c>
      <c r="M643" s="1290">
        <f t="shared" si="181"/>
        <v>3513.7597192032999</v>
      </c>
      <c r="R643" s="282"/>
      <c r="S643" s="282"/>
      <c r="T643" s="282"/>
      <c r="U643" s="282"/>
      <c r="V643" s="282"/>
      <c r="W643" s="282"/>
      <c r="X643" s="282"/>
      <c r="Y643" s="282"/>
      <c r="Z643" s="282"/>
      <c r="AA643" s="282"/>
    </row>
    <row r="644" spans="1:27" s="428" customFormat="1" outlineLevel="2" x14ac:dyDescent="0.25">
      <c r="A644" s="276">
        <f t="shared" si="168"/>
        <v>346</v>
      </c>
      <c r="B644" s="758" t="str">
        <f>$B346</f>
        <v>4th Grade Teacher</v>
      </c>
      <c r="C644" s="560"/>
      <c r="D644" s="429"/>
      <c r="G644" s="1290">
        <f t="shared" si="181"/>
        <v>0</v>
      </c>
      <c r="H644" s="1290">
        <f t="shared" si="181"/>
        <v>0</v>
      </c>
      <c r="I644" s="1290">
        <f t="shared" si="181"/>
        <v>0</v>
      </c>
      <c r="J644" s="1290">
        <f t="shared" si="181"/>
        <v>3215.5879000000004</v>
      </c>
      <c r="K644" s="1290">
        <f t="shared" si="181"/>
        <v>3312.0555370000006</v>
      </c>
      <c r="L644" s="1290">
        <f t="shared" si="181"/>
        <v>3411.4172031100002</v>
      </c>
      <c r="M644" s="1290">
        <f t="shared" si="181"/>
        <v>3513.7597192032999</v>
      </c>
      <c r="R644" s="282"/>
      <c r="S644" s="282"/>
      <c r="T644" s="282"/>
      <c r="U644" s="282"/>
      <c r="V644" s="282"/>
      <c r="W644" s="282"/>
      <c r="X644" s="282"/>
      <c r="Y644" s="282"/>
      <c r="Z644" s="282"/>
      <c r="AA644" s="282"/>
    </row>
    <row r="645" spans="1:27" s="428" customFormat="1" outlineLevel="2" x14ac:dyDescent="0.25">
      <c r="A645" s="276">
        <f t="shared" si="168"/>
        <v>347</v>
      </c>
      <c r="B645" s="758" t="str">
        <f>$B347</f>
        <v>5th Grade Teacher</v>
      </c>
      <c r="C645" s="560"/>
      <c r="D645" s="429"/>
      <c r="G645" s="1290">
        <f t="shared" si="181"/>
        <v>0</v>
      </c>
      <c r="H645" s="1290">
        <f t="shared" si="181"/>
        <v>2940.0000000000005</v>
      </c>
      <c r="I645" s="1290">
        <f t="shared" si="181"/>
        <v>3028.2000000000003</v>
      </c>
      <c r="J645" s="1290">
        <f t="shared" si="181"/>
        <v>3119.0459999999998</v>
      </c>
      <c r="K645" s="1290">
        <f t="shared" si="181"/>
        <v>3212.6173800000001</v>
      </c>
      <c r="L645" s="1290">
        <f t="shared" si="181"/>
        <v>3308.9959014000001</v>
      </c>
      <c r="M645" s="1290">
        <f t="shared" si="181"/>
        <v>3408.2657784419998</v>
      </c>
      <c r="R645" s="282"/>
      <c r="S645" s="282"/>
      <c r="T645" s="282"/>
      <c r="U645" s="282"/>
      <c r="V645" s="282"/>
      <c r="W645" s="282"/>
      <c r="X645" s="282"/>
      <c r="Y645" s="282"/>
      <c r="Z645" s="282"/>
      <c r="AA645" s="282"/>
    </row>
    <row r="646" spans="1:27" s="428" customFormat="1" outlineLevel="2" x14ac:dyDescent="0.25">
      <c r="A646" s="276">
        <f t="shared" ref="A646:A673" si="182">ROW(A348)</f>
        <v>348</v>
      </c>
      <c r="B646" s="758" t="str">
        <f>$B348</f>
        <v>5th Grade Teacher</v>
      </c>
      <c r="C646" s="560"/>
      <c r="D646" s="429"/>
      <c r="G646" s="1290">
        <f t="shared" si="181"/>
        <v>0</v>
      </c>
      <c r="H646" s="1290">
        <f t="shared" si="181"/>
        <v>0</v>
      </c>
      <c r="I646" s="1290">
        <f t="shared" si="181"/>
        <v>0</v>
      </c>
      <c r="J646" s="1290">
        <f t="shared" si="181"/>
        <v>3215.5879000000004</v>
      </c>
      <c r="K646" s="1290">
        <f t="shared" si="181"/>
        <v>3312.0555370000006</v>
      </c>
      <c r="L646" s="1290">
        <f t="shared" si="181"/>
        <v>3411.4172031100002</v>
      </c>
      <c r="M646" s="1290">
        <f t="shared" si="181"/>
        <v>3513.7597192032999</v>
      </c>
      <c r="R646" s="282"/>
      <c r="S646" s="282"/>
      <c r="T646" s="282"/>
      <c r="U646" s="282"/>
      <c r="V646" s="282"/>
      <c r="W646" s="282"/>
      <c r="X646" s="282"/>
      <c r="Y646" s="282"/>
      <c r="Z646" s="282"/>
      <c r="AA646" s="282"/>
    </row>
    <row r="647" spans="1:27" s="428" customFormat="1" outlineLevel="2" x14ac:dyDescent="0.25">
      <c r="A647" s="276">
        <f t="shared" si="182"/>
        <v>349</v>
      </c>
      <c r="B647" s="758" t="str">
        <f>$B349</f>
        <v>5th Grade Teacher</v>
      </c>
      <c r="C647" s="560"/>
      <c r="D647" s="429"/>
      <c r="G647" s="1290">
        <f t="shared" si="181"/>
        <v>0</v>
      </c>
      <c r="H647" s="1290">
        <f t="shared" si="181"/>
        <v>0</v>
      </c>
      <c r="I647" s="1290">
        <f t="shared" si="181"/>
        <v>0</v>
      </c>
      <c r="J647" s="1290">
        <f t="shared" si="181"/>
        <v>0</v>
      </c>
      <c r="K647" s="1290">
        <f t="shared" si="181"/>
        <v>3365.5991600000002</v>
      </c>
      <c r="L647" s="1290">
        <f t="shared" si="181"/>
        <v>3466.5671348000001</v>
      </c>
      <c r="M647" s="1290">
        <f t="shared" si="181"/>
        <v>3570.5641488439996</v>
      </c>
      <c r="R647" s="282"/>
      <c r="S647" s="282"/>
      <c r="T647" s="282"/>
      <c r="U647" s="282"/>
      <c r="V647" s="282"/>
      <c r="W647" s="282"/>
      <c r="X647" s="282"/>
      <c r="Y647" s="282"/>
      <c r="Z647" s="282"/>
      <c r="AA647" s="282"/>
    </row>
    <row r="648" spans="1:27" s="428" customFormat="1" outlineLevel="2" x14ac:dyDescent="0.25">
      <c r="A648" s="276">
        <f t="shared" si="182"/>
        <v>350</v>
      </c>
      <c r="B648" s="758"/>
      <c r="C648" s="560"/>
      <c r="D648" s="429"/>
      <c r="G648" s="1290"/>
      <c r="H648" s="1290"/>
      <c r="I648" s="1290"/>
      <c r="J648" s="1290"/>
      <c r="K648" s="1290"/>
      <c r="L648" s="1290"/>
      <c r="M648" s="1290"/>
      <c r="R648" s="282"/>
      <c r="S648" s="282"/>
      <c r="T648" s="282"/>
      <c r="U648" s="282"/>
      <c r="V648" s="282"/>
      <c r="W648" s="282"/>
      <c r="X648" s="282"/>
      <c r="Y648" s="282"/>
      <c r="Z648" s="282"/>
      <c r="AA648" s="282"/>
    </row>
    <row r="649" spans="1:27" s="428" customFormat="1" outlineLevel="2" x14ac:dyDescent="0.25">
      <c r="A649" s="276">
        <f t="shared" si="182"/>
        <v>351</v>
      </c>
      <c r="B649" s="758" t="str">
        <f>$B351</f>
        <v>5th Grade Teacher</v>
      </c>
      <c r="C649" s="560"/>
      <c r="D649" s="429"/>
      <c r="G649" s="1290">
        <f t="shared" ref="G649:M653" si="183">G351*$C$89</f>
        <v>0</v>
      </c>
      <c r="H649" s="1290">
        <f t="shared" si="183"/>
        <v>0</v>
      </c>
      <c r="I649" s="1290">
        <f t="shared" si="183"/>
        <v>0</v>
      </c>
      <c r="J649" s="1290">
        <f t="shared" si="183"/>
        <v>0</v>
      </c>
      <c r="K649" s="1290">
        <f t="shared" si="183"/>
        <v>3365.5991600000002</v>
      </c>
      <c r="L649" s="1290">
        <f t="shared" si="183"/>
        <v>3466.5671348000001</v>
      </c>
      <c r="M649" s="1290">
        <f t="shared" si="183"/>
        <v>3570.5641488439996</v>
      </c>
      <c r="R649" s="282"/>
      <c r="S649" s="282"/>
      <c r="T649" s="282"/>
      <c r="U649" s="282"/>
      <c r="V649" s="282"/>
      <c r="W649" s="282"/>
      <c r="X649" s="282"/>
      <c r="Y649" s="282"/>
      <c r="Z649" s="282"/>
      <c r="AA649" s="282"/>
    </row>
    <row r="650" spans="1:27" s="428" customFormat="1" outlineLevel="2" x14ac:dyDescent="0.25">
      <c r="A650" s="276">
        <f t="shared" si="182"/>
        <v>352</v>
      </c>
      <c r="B650" s="758" t="str">
        <f>$B352</f>
        <v>6th Grade Teacher</v>
      </c>
      <c r="C650" s="560"/>
      <c r="D650" s="429"/>
      <c r="G650" s="1290">
        <f t="shared" si="183"/>
        <v>0</v>
      </c>
      <c r="H650" s="1290">
        <f t="shared" si="183"/>
        <v>2940.0000000000005</v>
      </c>
      <c r="I650" s="1290">
        <f t="shared" si="183"/>
        <v>3028.2000000000003</v>
      </c>
      <c r="J650" s="1290">
        <f t="shared" si="183"/>
        <v>3119.0459999999998</v>
      </c>
      <c r="K650" s="1290">
        <f t="shared" si="183"/>
        <v>3212.6173800000001</v>
      </c>
      <c r="L650" s="1290">
        <f t="shared" si="183"/>
        <v>3308.9959014000001</v>
      </c>
      <c r="M650" s="1290">
        <f t="shared" si="183"/>
        <v>3408.2657784419998</v>
      </c>
      <c r="R650" s="282"/>
      <c r="S650" s="282"/>
      <c r="T650" s="282"/>
      <c r="U650" s="282"/>
      <c r="V650" s="282"/>
      <c r="W650" s="282"/>
      <c r="X650" s="282"/>
      <c r="Y650" s="282"/>
      <c r="Z650" s="282"/>
      <c r="AA650" s="282"/>
    </row>
    <row r="651" spans="1:27" s="428" customFormat="1" outlineLevel="2" x14ac:dyDescent="0.25">
      <c r="A651" s="276">
        <f t="shared" si="182"/>
        <v>353</v>
      </c>
      <c r="B651" s="758" t="str">
        <f>$B353</f>
        <v>6th Grade Teacher</v>
      </c>
      <c r="C651" s="560"/>
      <c r="D651" s="429"/>
      <c r="G651" s="1290">
        <f t="shared" si="183"/>
        <v>0</v>
      </c>
      <c r="H651" s="1290">
        <f t="shared" si="183"/>
        <v>0</v>
      </c>
      <c r="I651" s="1290">
        <f t="shared" si="183"/>
        <v>3073.6230000000005</v>
      </c>
      <c r="J651" s="1290">
        <f t="shared" si="183"/>
        <v>3165.8316900000004</v>
      </c>
      <c r="K651" s="1290">
        <f t="shared" si="183"/>
        <v>3260.8066407000006</v>
      </c>
      <c r="L651" s="1290">
        <f t="shared" si="183"/>
        <v>3358.6308399209997</v>
      </c>
      <c r="M651" s="1290">
        <f t="shared" si="183"/>
        <v>3459.3897651186298</v>
      </c>
      <c r="R651" s="282"/>
      <c r="S651" s="282"/>
      <c r="T651" s="282"/>
      <c r="U651" s="282"/>
      <c r="V651" s="282"/>
      <c r="W651" s="282"/>
      <c r="X651" s="282"/>
      <c r="Y651" s="282"/>
      <c r="Z651" s="282"/>
      <c r="AA651" s="282"/>
    </row>
    <row r="652" spans="1:27" s="428" customFormat="1" outlineLevel="2" x14ac:dyDescent="0.25">
      <c r="A652" s="276">
        <f t="shared" si="182"/>
        <v>354</v>
      </c>
      <c r="B652" s="758" t="str">
        <f>$B354</f>
        <v>6th Grade Teacher</v>
      </c>
      <c r="C652" s="560"/>
      <c r="D652" s="429"/>
      <c r="G652" s="1290">
        <f t="shared" si="183"/>
        <v>0</v>
      </c>
      <c r="H652" s="1290">
        <f t="shared" si="183"/>
        <v>0</v>
      </c>
      <c r="I652" s="1290">
        <f t="shared" si="183"/>
        <v>0</v>
      </c>
      <c r="J652" s="1290">
        <f t="shared" si="183"/>
        <v>0</v>
      </c>
      <c r="K652" s="1290">
        <f t="shared" si="183"/>
        <v>3365.5991600000002</v>
      </c>
      <c r="L652" s="1290">
        <f t="shared" si="183"/>
        <v>3466.5671348000001</v>
      </c>
      <c r="M652" s="1290">
        <f t="shared" si="183"/>
        <v>3570.5641488439996</v>
      </c>
      <c r="R652" s="282"/>
      <c r="S652" s="282"/>
      <c r="T652" s="282"/>
      <c r="U652" s="282"/>
      <c r="V652" s="282"/>
      <c r="W652" s="282"/>
      <c r="X652" s="282"/>
      <c r="Y652" s="282"/>
      <c r="Z652" s="282"/>
      <c r="AA652" s="282"/>
    </row>
    <row r="653" spans="1:27" s="431" customFormat="1" outlineLevel="2" x14ac:dyDescent="0.25">
      <c r="A653" s="276">
        <f t="shared" si="182"/>
        <v>355</v>
      </c>
      <c r="B653" s="758" t="str">
        <f>$B355</f>
        <v>6th Grade Teacher</v>
      </c>
      <c r="C653" s="560"/>
      <c r="D653" s="429"/>
      <c r="G653" s="1290">
        <f t="shared" si="183"/>
        <v>0</v>
      </c>
      <c r="H653" s="1290">
        <f t="shared" si="183"/>
        <v>0</v>
      </c>
      <c r="I653" s="1290">
        <f t="shared" si="183"/>
        <v>0</v>
      </c>
      <c r="J653" s="1290">
        <f t="shared" si="183"/>
        <v>0</v>
      </c>
      <c r="K653" s="1290">
        <f t="shared" si="183"/>
        <v>3365.5991600000002</v>
      </c>
      <c r="L653" s="1290">
        <f t="shared" si="183"/>
        <v>3466.5671348000001</v>
      </c>
      <c r="M653" s="1290">
        <f t="shared" si="183"/>
        <v>3570.5641488439996</v>
      </c>
      <c r="R653" s="282"/>
      <c r="S653" s="282"/>
      <c r="T653" s="282"/>
      <c r="U653" s="282"/>
      <c r="V653" s="282"/>
      <c r="W653" s="282"/>
      <c r="X653" s="282"/>
      <c r="Y653" s="282"/>
      <c r="Z653" s="282"/>
      <c r="AA653" s="282"/>
    </row>
    <row r="654" spans="1:27" s="431" customFormat="1" outlineLevel="2" x14ac:dyDescent="0.25">
      <c r="A654" s="276">
        <f t="shared" si="182"/>
        <v>356</v>
      </c>
      <c r="B654" s="758"/>
      <c r="C654" s="561"/>
      <c r="D654" s="428"/>
      <c r="G654" s="1290"/>
      <c r="H654" s="1290"/>
      <c r="I654" s="1290"/>
      <c r="J654" s="1290"/>
      <c r="K654" s="1290"/>
      <c r="L654" s="1290"/>
      <c r="M654" s="1290"/>
      <c r="R654" s="282"/>
      <c r="S654" s="282"/>
      <c r="T654" s="282"/>
      <c r="U654" s="282"/>
      <c r="V654" s="282"/>
      <c r="W654" s="282"/>
      <c r="X654" s="282"/>
      <c r="Y654" s="282"/>
      <c r="Z654" s="282"/>
      <c r="AA654" s="282"/>
    </row>
    <row r="655" spans="1:27" s="428" customFormat="1" outlineLevel="2" x14ac:dyDescent="0.25">
      <c r="A655" s="276">
        <f t="shared" si="182"/>
        <v>357</v>
      </c>
      <c r="B655" s="758" t="str">
        <f>$B357</f>
        <v>7th Grade Teacher</v>
      </c>
      <c r="C655" s="560"/>
      <c r="D655" s="429"/>
      <c r="G655" s="1290">
        <f t="shared" ref="G655:M659" si="184">G357*$C$89</f>
        <v>0</v>
      </c>
      <c r="H655" s="1290">
        <f t="shared" si="184"/>
        <v>0</v>
      </c>
      <c r="I655" s="1290">
        <f t="shared" si="184"/>
        <v>3073.6230000000005</v>
      </c>
      <c r="J655" s="1290">
        <f t="shared" si="184"/>
        <v>3165.8316900000004</v>
      </c>
      <c r="K655" s="1290">
        <f t="shared" si="184"/>
        <v>3260.8066407000006</v>
      </c>
      <c r="L655" s="1290">
        <f t="shared" si="184"/>
        <v>3358.6308399209997</v>
      </c>
      <c r="M655" s="1290">
        <f t="shared" si="184"/>
        <v>3459.3897651186298</v>
      </c>
      <c r="R655" s="282"/>
      <c r="S655" s="282"/>
      <c r="T655" s="282"/>
      <c r="U655" s="282"/>
      <c r="V655" s="282"/>
      <c r="W655" s="282"/>
      <c r="X655" s="282"/>
      <c r="Y655" s="282"/>
      <c r="Z655" s="282"/>
      <c r="AA655" s="282"/>
    </row>
    <row r="656" spans="1:27" s="428" customFormat="1" outlineLevel="2" x14ac:dyDescent="0.25">
      <c r="A656" s="276">
        <f t="shared" si="182"/>
        <v>358</v>
      </c>
      <c r="B656" s="758" t="str">
        <f>$B358</f>
        <v>7th Grade Teacher</v>
      </c>
      <c r="C656" s="560"/>
      <c r="D656" s="429"/>
      <c r="G656" s="1290">
        <f t="shared" si="184"/>
        <v>0</v>
      </c>
      <c r="H656" s="1290">
        <f t="shared" si="184"/>
        <v>0</v>
      </c>
      <c r="I656" s="1290">
        <f t="shared" si="184"/>
        <v>0</v>
      </c>
      <c r="J656" s="1290">
        <f t="shared" si="184"/>
        <v>3215.5879000000004</v>
      </c>
      <c r="K656" s="1290">
        <f t="shared" si="184"/>
        <v>3312.0555370000006</v>
      </c>
      <c r="L656" s="1290">
        <f t="shared" si="184"/>
        <v>3411.4172031100002</v>
      </c>
      <c r="M656" s="1290">
        <f t="shared" si="184"/>
        <v>3513.7597192032999</v>
      </c>
      <c r="R656" s="282"/>
      <c r="S656" s="282"/>
      <c r="T656" s="282"/>
      <c r="U656" s="282"/>
      <c r="V656" s="282"/>
      <c r="W656" s="282"/>
      <c r="X656" s="282"/>
      <c r="Y656" s="282"/>
      <c r="Z656" s="282"/>
      <c r="AA656" s="282"/>
    </row>
    <row r="657" spans="1:27" s="428" customFormat="1" outlineLevel="2" x14ac:dyDescent="0.25">
      <c r="A657" s="276">
        <f t="shared" si="182"/>
        <v>359</v>
      </c>
      <c r="B657" s="758" t="str">
        <f>$B359</f>
        <v>7th Grade Teacher</v>
      </c>
      <c r="C657" s="560"/>
      <c r="D657" s="429"/>
      <c r="G657" s="1290">
        <f t="shared" si="184"/>
        <v>0</v>
      </c>
      <c r="H657" s="1290">
        <f t="shared" si="184"/>
        <v>0</v>
      </c>
      <c r="I657" s="1290">
        <f t="shared" si="184"/>
        <v>0</v>
      </c>
      <c r="J657" s="1290">
        <f t="shared" si="184"/>
        <v>0</v>
      </c>
      <c r="K657" s="1290">
        <f t="shared" si="184"/>
        <v>0</v>
      </c>
      <c r="L657" s="1290">
        <f t="shared" si="184"/>
        <v>3521.7170664900004</v>
      </c>
      <c r="M657" s="1290">
        <f t="shared" si="184"/>
        <v>3627.3685784846998</v>
      </c>
      <c r="R657" s="282"/>
      <c r="S657" s="282"/>
      <c r="T657" s="282"/>
      <c r="U657" s="282"/>
      <c r="V657" s="282"/>
      <c r="W657" s="282"/>
      <c r="X657" s="282"/>
      <c r="Y657" s="282"/>
      <c r="Z657" s="282"/>
      <c r="AA657" s="282"/>
    </row>
    <row r="658" spans="1:27" s="428" customFormat="1" outlineLevel="2" x14ac:dyDescent="0.25">
      <c r="A658" s="276">
        <f t="shared" si="182"/>
        <v>360</v>
      </c>
      <c r="B658" s="758" t="str">
        <f>$B360</f>
        <v>7th Grade Teacher</v>
      </c>
      <c r="C658" s="560"/>
      <c r="D658" s="429"/>
      <c r="G658" s="1290">
        <f t="shared" si="184"/>
        <v>0</v>
      </c>
      <c r="H658" s="1290">
        <f t="shared" si="184"/>
        <v>0</v>
      </c>
      <c r="I658" s="1290">
        <f t="shared" si="184"/>
        <v>0</v>
      </c>
      <c r="J658" s="1290">
        <f t="shared" si="184"/>
        <v>0</v>
      </c>
      <c r="K658" s="1290">
        <f t="shared" si="184"/>
        <v>0</v>
      </c>
      <c r="L658" s="1290">
        <f t="shared" si="184"/>
        <v>3521.7170664900004</v>
      </c>
      <c r="M658" s="1290">
        <f t="shared" si="184"/>
        <v>3627.3685784846998</v>
      </c>
      <c r="R658" s="282"/>
      <c r="S658" s="282"/>
      <c r="T658" s="282"/>
      <c r="U658" s="282"/>
      <c r="V658" s="282"/>
      <c r="W658" s="282"/>
      <c r="X658" s="282"/>
      <c r="Y658" s="282"/>
      <c r="Z658" s="282"/>
      <c r="AA658" s="282"/>
    </row>
    <row r="659" spans="1:27" s="428" customFormat="1" outlineLevel="2" x14ac:dyDescent="0.25">
      <c r="A659" s="276">
        <f t="shared" si="182"/>
        <v>361</v>
      </c>
      <c r="B659" s="758" t="str">
        <f>$B361</f>
        <v>8th Grade Teacher</v>
      </c>
      <c r="C659" s="560"/>
      <c r="D659" s="429"/>
      <c r="G659" s="1290">
        <f t="shared" si="184"/>
        <v>0</v>
      </c>
      <c r="H659" s="1290">
        <f t="shared" si="184"/>
        <v>0</v>
      </c>
      <c r="I659" s="1290">
        <f t="shared" si="184"/>
        <v>0</v>
      </c>
      <c r="J659" s="1290">
        <f t="shared" si="184"/>
        <v>3215.5879000000004</v>
      </c>
      <c r="K659" s="1290">
        <f t="shared" si="184"/>
        <v>3312.0555370000006</v>
      </c>
      <c r="L659" s="1290">
        <f t="shared" si="184"/>
        <v>3411.4172031100002</v>
      </c>
      <c r="M659" s="1290">
        <f t="shared" si="184"/>
        <v>3513.7597192032999</v>
      </c>
      <c r="R659" s="282"/>
      <c r="S659" s="282"/>
      <c r="T659" s="282"/>
      <c r="U659" s="282"/>
      <c r="V659" s="282"/>
      <c r="W659" s="282"/>
      <c r="X659" s="282"/>
      <c r="Y659" s="282"/>
      <c r="Z659" s="282"/>
      <c r="AA659" s="282"/>
    </row>
    <row r="660" spans="1:27" s="428" customFormat="1" outlineLevel="2" x14ac:dyDescent="0.25">
      <c r="A660" s="276">
        <f t="shared" si="182"/>
        <v>362</v>
      </c>
      <c r="B660" s="758"/>
      <c r="C660" s="560"/>
      <c r="D660" s="429"/>
      <c r="G660" s="1290"/>
      <c r="H660" s="1290"/>
      <c r="I660" s="1290"/>
      <c r="J660" s="1290"/>
      <c r="K660" s="1290"/>
      <c r="L660" s="1290"/>
      <c r="M660" s="1290"/>
      <c r="R660" s="282"/>
      <c r="S660" s="282"/>
      <c r="T660" s="282"/>
      <c r="U660" s="282"/>
      <c r="V660" s="282"/>
      <c r="W660" s="282"/>
      <c r="X660" s="282"/>
      <c r="Y660" s="282"/>
      <c r="Z660" s="282"/>
      <c r="AA660" s="282"/>
    </row>
    <row r="661" spans="1:27" s="428" customFormat="1" outlineLevel="2" x14ac:dyDescent="0.25">
      <c r="A661" s="276">
        <f t="shared" si="182"/>
        <v>363</v>
      </c>
      <c r="B661" s="758" t="str">
        <f>$B363</f>
        <v>8th Grade Teacher</v>
      </c>
      <c r="C661" s="560"/>
      <c r="D661" s="429"/>
      <c r="G661" s="1290">
        <f t="shared" ref="G661:M665" si="185">G363*$C$89</f>
        <v>0</v>
      </c>
      <c r="H661" s="1290">
        <f t="shared" si="185"/>
        <v>0</v>
      </c>
      <c r="I661" s="1290">
        <f t="shared" si="185"/>
        <v>0</v>
      </c>
      <c r="J661" s="1290">
        <f t="shared" si="185"/>
        <v>0</v>
      </c>
      <c r="K661" s="1290">
        <f t="shared" si="185"/>
        <v>3365.5991600000002</v>
      </c>
      <c r="L661" s="1290">
        <f t="shared" si="185"/>
        <v>3466.5671348000001</v>
      </c>
      <c r="M661" s="1290">
        <f t="shared" si="185"/>
        <v>3570.5641488439996</v>
      </c>
      <c r="R661" s="282"/>
      <c r="S661" s="282"/>
      <c r="T661" s="282"/>
      <c r="U661" s="282"/>
      <c r="V661" s="282"/>
      <c r="W661" s="282"/>
      <c r="X661" s="282"/>
      <c r="Y661" s="282"/>
      <c r="Z661" s="282"/>
      <c r="AA661" s="282"/>
    </row>
    <row r="662" spans="1:27" s="428" customFormat="1" outlineLevel="2" x14ac:dyDescent="0.25">
      <c r="A662" s="276">
        <f t="shared" si="182"/>
        <v>364</v>
      </c>
      <c r="B662" s="758" t="str">
        <f>$B364</f>
        <v>8th Grade Teacher</v>
      </c>
      <c r="C662" s="560"/>
      <c r="D662" s="429"/>
      <c r="G662" s="1290">
        <f t="shared" si="185"/>
        <v>0</v>
      </c>
      <c r="H662" s="1290">
        <f t="shared" si="185"/>
        <v>0</v>
      </c>
      <c r="I662" s="1290">
        <f t="shared" si="185"/>
        <v>0</v>
      </c>
      <c r="J662" s="1290">
        <f t="shared" si="185"/>
        <v>0</v>
      </c>
      <c r="K662" s="1290">
        <f t="shared" si="185"/>
        <v>0</v>
      </c>
      <c r="L662" s="1290">
        <f t="shared" si="185"/>
        <v>0</v>
      </c>
      <c r="M662" s="1290">
        <f t="shared" si="185"/>
        <v>3680.1155488653494</v>
      </c>
      <c r="R662" s="282"/>
      <c r="S662" s="282"/>
      <c r="T662" s="282"/>
      <c r="U662" s="282"/>
      <c r="V662" s="282"/>
      <c r="W662" s="282"/>
      <c r="X662" s="282"/>
      <c r="Y662" s="282"/>
      <c r="Z662" s="282"/>
      <c r="AA662" s="282"/>
    </row>
    <row r="663" spans="1:27" s="428" customFormat="1" outlineLevel="2" x14ac:dyDescent="0.25">
      <c r="A663" s="276">
        <f t="shared" si="182"/>
        <v>365</v>
      </c>
      <c r="B663" s="758" t="str">
        <f>$B365</f>
        <v>8th Grade Teacher</v>
      </c>
      <c r="C663" s="560"/>
      <c r="D663" s="429"/>
      <c r="G663" s="1290">
        <f t="shared" si="185"/>
        <v>0</v>
      </c>
      <c r="H663" s="1290">
        <f t="shared" si="185"/>
        <v>0</v>
      </c>
      <c r="I663" s="1290">
        <f t="shared" si="185"/>
        <v>0</v>
      </c>
      <c r="J663" s="1290">
        <f t="shared" si="185"/>
        <v>0</v>
      </c>
      <c r="K663" s="1290">
        <f t="shared" si="185"/>
        <v>0</v>
      </c>
      <c r="L663" s="1290">
        <f t="shared" si="185"/>
        <v>0</v>
      </c>
      <c r="M663" s="1290">
        <f t="shared" si="185"/>
        <v>3680.1155488653494</v>
      </c>
      <c r="R663" s="282"/>
      <c r="S663" s="282"/>
      <c r="T663" s="282"/>
      <c r="U663" s="282"/>
      <c r="V663" s="282"/>
      <c r="W663" s="282"/>
      <c r="X663" s="282"/>
      <c r="Y663" s="282"/>
      <c r="Z663" s="282"/>
      <c r="AA663" s="282"/>
    </row>
    <row r="664" spans="1:27" s="428" customFormat="1" outlineLevel="2" x14ac:dyDescent="0.25">
      <c r="A664" s="276">
        <f t="shared" si="182"/>
        <v>366</v>
      </c>
      <c r="B664" s="758" t="str">
        <f>$B366</f>
        <v>Grade Level Teacher</v>
      </c>
      <c r="C664" s="560"/>
      <c r="D664" s="429"/>
      <c r="G664" s="1290">
        <f t="shared" si="185"/>
        <v>0</v>
      </c>
      <c r="H664" s="1290">
        <f t="shared" si="185"/>
        <v>0</v>
      </c>
      <c r="I664" s="1290">
        <f t="shared" si="185"/>
        <v>3073.6230000000005</v>
      </c>
      <c r="J664" s="1290">
        <f t="shared" si="185"/>
        <v>3165.8316900000004</v>
      </c>
      <c r="K664" s="1290">
        <f t="shared" si="185"/>
        <v>3260.8066407000006</v>
      </c>
      <c r="L664" s="1290">
        <f t="shared" si="185"/>
        <v>3358.6308399209997</v>
      </c>
      <c r="M664" s="1290">
        <f t="shared" si="185"/>
        <v>3459.3897651186298</v>
      </c>
      <c r="R664" s="282"/>
      <c r="S664" s="282"/>
      <c r="T664" s="282"/>
      <c r="U664" s="282"/>
      <c r="V664" s="282"/>
      <c r="W664" s="282"/>
      <c r="X664" s="282"/>
      <c r="Y664" s="282"/>
      <c r="Z664" s="282"/>
      <c r="AA664" s="282"/>
    </row>
    <row r="665" spans="1:27" s="431" customFormat="1" outlineLevel="2" x14ac:dyDescent="0.25">
      <c r="A665" s="276">
        <f t="shared" si="182"/>
        <v>367</v>
      </c>
      <c r="B665" s="758" t="str">
        <f>$B367</f>
        <v>Grade Level Teacher</v>
      </c>
      <c r="C665" s="560"/>
      <c r="D665" s="429"/>
      <c r="G665" s="1290">
        <f t="shared" si="185"/>
        <v>0</v>
      </c>
      <c r="H665" s="1290">
        <f t="shared" si="185"/>
        <v>0</v>
      </c>
      <c r="I665" s="1290">
        <f t="shared" si="185"/>
        <v>3073.6230000000005</v>
      </c>
      <c r="J665" s="1290">
        <f t="shared" si="185"/>
        <v>3165.8316900000004</v>
      </c>
      <c r="K665" s="1290">
        <f t="shared" si="185"/>
        <v>3260.8066407000006</v>
      </c>
      <c r="L665" s="1290">
        <f t="shared" si="185"/>
        <v>3358.6308399209997</v>
      </c>
      <c r="M665" s="1290">
        <f t="shared" si="185"/>
        <v>3459.3897651186298</v>
      </c>
      <c r="R665" s="282"/>
      <c r="S665" s="282"/>
      <c r="T665" s="282"/>
      <c r="U665" s="282"/>
      <c r="V665" s="282"/>
      <c r="W665" s="282"/>
      <c r="X665" s="282"/>
      <c r="Y665" s="282"/>
      <c r="Z665" s="282"/>
      <c r="AA665" s="282"/>
    </row>
    <row r="666" spans="1:27" s="431" customFormat="1" outlineLevel="2" x14ac:dyDescent="0.25">
      <c r="A666" s="276">
        <f t="shared" si="182"/>
        <v>368</v>
      </c>
      <c r="B666" s="758"/>
      <c r="C666" s="561"/>
      <c r="D666" s="428"/>
      <c r="G666" s="1290"/>
      <c r="H666" s="1290"/>
      <c r="I666" s="1290"/>
      <c r="J666" s="1290"/>
      <c r="K666" s="1290"/>
      <c r="L666" s="1290"/>
      <c r="M666" s="1290"/>
      <c r="R666" s="282"/>
      <c r="S666" s="282"/>
      <c r="T666" s="282"/>
      <c r="U666" s="282"/>
      <c r="V666" s="282"/>
      <c r="W666" s="282"/>
      <c r="X666" s="282"/>
      <c r="Y666" s="282"/>
      <c r="Z666" s="282"/>
      <c r="AA666" s="282"/>
    </row>
    <row r="667" spans="1:27" s="428" customFormat="1" outlineLevel="2" x14ac:dyDescent="0.25">
      <c r="A667" s="276">
        <f t="shared" si="182"/>
        <v>369</v>
      </c>
      <c r="B667" s="758" t="str">
        <f t="shared" ref="B667:B672" si="186">$B369</f>
        <v>Grade Level Teacher</v>
      </c>
      <c r="C667" s="560"/>
      <c r="D667" s="429"/>
      <c r="G667" s="1290">
        <f t="shared" ref="G667:M672" si="187">G369*$C$89</f>
        <v>0</v>
      </c>
      <c r="H667" s="1290">
        <f t="shared" si="187"/>
        <v>0</v>
      </c>
      <c r="I667" s="1290">
        <f t="shared" si="187"/>
        <v>3073.6230000000005</v>
      </c>
      <c r="J667" s="1290">
        <f t="shared" si="187"/>
        <v>3165.8316900000004</v>
      </c>
      <c r="K667" s="1290">
        <f t="shared" si="187"/>
        <v>3260.8066407000006</v>
      </c>
      <c r="L667" s="1290">
        <f t="shared" si="187"/>
        <v>3358.6308399209997</v>
      </c>
      <c r="M667" s="1290">
        <f t="shared" si="187"/>
        <v>3459.3897651186298</v>
      </c>
      <c r="R667" s="282"/>
      <c r="S667" s="282"/>
      <c r="T667" s="282"/>
      <c r="U667" s="282"/>
      <c r="V667" s="282"/>
      <c r="W667" s="282"/>
      <c r="X667" s="282"/>
      <c r="Y667" s="282"/>
      <c r="Z667" s="282"/>
      <c r="AA667" s="282"/>
    </row>
    <row r="668" spans="1:27" s="428" customFormat="1" outlineLevel="2" x14ac:dyDescent="0.25">
      <c r="A668" s="276">
        <f t="shared" si="182"/>
        <v>370</v>
      </c>
      <c r="B668" s="758" t="str">
        <f t="shared" si="186"/>
        <v>Grade Level Teacher</v>
      </c>
      <c r="C668" s="560"/>
      <c r="D668" s="429"/>
      <c r="G668" s="1290">
        <f t="shared" si="187"/>
        <v>0</v>
      </c>
      <c r="H668" s="1290">
        <f t="shared" si="187"/>
        <v>0</v>
      </c>
      <c r="I668" s="1290">
        <f t="shared" si="187"/>
        <v>0</v>
      </c>
      <c r="J668" s="1290">
        <f t="shared" si="187"/>
        <v>3215.5879000000004</v>
      </c>
      <c r="K668" s="1290">
        <f t="shared" si="187"/>
        <v>3312.0555370000006</v>
      </c>
      <c r="L668" s="1290">
        <f t="shared" si="187"/>
        <v>3411.4172031100002</v>
      </c>
      <c r="M668" s="1290">
        <f t="shared" si="187"/>
        <v>3513.7597192032999</v>
      </c>
      <c r="R668" s="282"/>
      <c r="S668" s="282"/>
      <c r="T668" s="282"/>
      <c r="U668" s="282"/>
      <c r="V668" s="282"/>
      <c r="W668" s="282"/>
      <c r="X668" s="282"/>
      <c r="Y668" s="282"/>
      <c r="Z668" s="282"/>
      <c r="AA668" s="282"/>
    </row>
    <row r="669" spans="1:27" s="428" customFormat="1" outlineLevel="2" x14ac:dyDescent="0.25">
      <c r="A669" s="276">
        <f t="shared" si="182"/>
        <v>371</v>
      </c>
      <c r="B669" s="758" t="str">
        <f t="shared" si="186"/>
        <v>Grade Level Teacher</v>
      </c>
      <c r="C669" s="560"/>
      <c r="D669" s="429"/>
      <c r="G669" s="1290">
        <f t="shared" si="187"/>
        <v>0</v>
      </c>
      <c r="H669" s="1290">
        <f t="shared" si="187"/>
        <v>0</v>
      </c>
      <c r="I669" s="1290">
        <f t="shared" si="187"/>
        <v>0</v>
      </c>
      <c r="J669" s="1290">
        <f t="shared" si="187"/>
        <v>0</v>
      </c>
      <c r="K669" s="1290">
        <f t="shared" si="187"/>
        <v>3365.5991600000002</v>
      </c>
      <c r="L669" s="1290">
        <f t="shared" si="187"/>
        <v>3466.5671348000001</v>
      </c>
      <c r="M669" s="1290">
        <f t="shared" si="187"/>
        <v>3570.5641488439996</v>
      </c>
      <c r="R669" s="282"/>
      <c r="S669" s="282"/>
      <c r="T669" s="282"/>
      <c r="U669" s="282"/>
      <c r="V669" s="282"/>
      <c r="W669" s="282"/>
      <c r="X669" s="282"/>
      <c r="Y669" s="282"/>
      <c r="Z669" s="282"/>
      <c r="AA669" s="282"/>
    </row>
    <row r="670" spans="1:27" s="428" customFormat="1" outlineLevel="2" x14ac:dyDescent="0.25">
      <c r="A670" s="276">
        <f t="shared" si="182"/>
        <v>372</v>
      </c>
      <c r="B670" s="758" t="str">
        <f t="shared" si="186"/>
        <v>Grade Level Teacher</v>
      </c>
      <c r="C670" s="560"/>
      <c r="D670" s="429"/>
      <c r="G670" s="1290">
        <f t="shared" si="187"/>
        <v>0</v>
      </c>
      <c r="H670" s="1290">
        <f t="shared" si="187"/>
        <v>0</v>
      </c>
      <c r="I670" s="1290">
        <f t="shared" si="187"/>
        <v>0</v>
      </c>
      <c r="J670" s="1290">
        <f t="shared" si="187"/>
        <v>0</v>
      </c>
      <c r="K670" s="1290">
        <f t="shared" si="187"/>
        <v>0</v>
      </c>
      <c r="L670" s="1290">
        <f t="shared" si="187"/>
        <v>3521.7170664900004</v>
      </c>
      <c r="M670" s="1290">
        <f t="shared" si="187"/>
        <v>3627.3685784846998</v>
      </c>
      <c r="R670" s="282"/>
      <c r="S670" s="282"/>
      <c r="T670" s="282"/>
      <c r="U670" s="282"/>
      <c r="V670" s="282"/>
      <c r="W670" s="282"/>
      <c r="X670" s="282"/>
      <c r="Y670" s="282"/>
      <c r="Z670" s="282"/>
      <c r="AA670" s="282"/>
    </row>
    <row r="671" spans="1:27" s="428" customFormat="1" outlineLevel="2" x14ac:dyDescent="0.25">
      <c r="A671" s="276">
        <f t="shared" si="182"/>
        <v>373</v>
      </c>
      <c r="B671" s="758" t="str">
        <f t="shared" si="186"/>
        <v>Grade Level Teacher</v>
      </c>
      <c r="C671" s="560"/>
      <c r="D671" s="429"/>
      <c r="G671" s="1290">
        <f t="shared" si="187"/>
        <v>0</v>
      </c>
      <c r="H671" s="1290">
        <f t="shared" si="187"/>
        <v>0</v>
      </c>
      <c r="I671" s="1290">
        <f t="shared" si="187"/>
        <v>0</v>
      </c>
      <c r="J671" s="1290">
        <f t="shared" si="187"/>
        <v>0</v>
      </c>
      <c r="K671" s="1290">
        <f t="shared" si="187"/>
        <v>0</v>
      </c>
      <c r="L671" s="1290">
        <f t="shared" si="187"/>
        <v>0</v>
      </c>
      <c r="M671" s="1290">
        <f t="shared" si="187"/>
        <v>3680.1155488653494</v>
      </c>
      <c r="R671" s="282"/>
      <c r="S671" s="282"/>
      <c r="T671" s="282"/>
      <c r="U671" s="282"/>
      <c r="V671" s="282"/>
      <c r="W671" s="282"/>
      <c r="X671" s="282"/>
      <c r="Y671" s="282"/>
      <c r="Z671" s="282"/>
      <c r="AA671" s="282"/>
    </row>
    <row r="672" spans="1:27" s="428" customFormat="1" outlineLevel="2" x14ac:dyDescent="0.25">
      <c r="A672" s="276">
        <f t="shared" si="182"/>
        <v>374</v>
      </c>
      <c r="B672" s="758" t="str">
        <f t="shared" si="186"/>
        <v>Grade Level Teacher</v>
      </c>
      <c r="C672" s="560"/>
      <c r="D672" s="429"/>
      <c r="G672" s="1290">
        <f t="shared" si="187"/>
        <v>0</v>
      </c>
      <c r="H672" s="1290">
        <f t="shared" si="187"/>
        <v>0</v>
      </c>
      <c r="I672" s="1290">
        <f t="shared" si="187"/>
        <v>0</v>
      </c>
      <c r="J672" s="1290">
        <f t="shared" si="187"/>
        <v>0</v>
      </c>
      <c r="K672" s="1290">
        <f t="shared" si="187"/>
        <v>0</v>
      </c>
      <c r="L672" s="1290">
        <f t="shared" si="187"/>
        <v>0</v>
      </c>
      <c r="M672" s="1290">
        <f t="shared" si="187"/>
        <v>0</v>
      </c>
      <c r="R672" s="282"/>
      <c r="S672" s="282"/>
      <c r="T672" s="282"/>
      <c r="U672" s="282"/>
      <c r="V672" s="282"/>
      <c r="W672" s="282"/>
      <c r="X672" s="282"/>
      <c r="Y672" s="282"/>
      <c r="Z672" s="282"/>
      <c r="AA672" s="282"/>
    </row>
    <row r="673" spans="1:27" s="431" customFormat="1" outlineLevel="2" x14ac:dyDescent="0.25">
      <c r="A673" s="276">
        <f t="shared" si="182"/>
        <v>375</v>
      </c>
      <c r="B673" s="758"/>
      <c r="C673" s="561"/>
      <c r="D673" s="428"/>
      <c r="G673" s="1290"/>
      <c r="H673" s="1290"/>
      <c r="I673" s="1290"/>
      <c r="J673" s="1290"/>
      <c r="K673" s="1290"/>
      <c r="L673" s="1290"/>
      <c r="M673" s="1290"/>
      <c r="R673" s="282"/>
      <c r="S673" s="282"/>
      <c r="T673" s="282"/>
      <c r="U673" s="282"/>
      <c r="V673" s="282"/>
      <c r="W673" s="282"/>
      <c r="X673" s="282"/>
      <c r="Y673" s="282"/>
      <c r="Z673" s="282"/>
      <c r="AA673" s="282"/>
    </row>
    <row r="674" spans="1:27" s="428" customFormat="1" outlineLevel="2" x14ac:dyDescent="0.25">
      <c r="A674" s="276">
        <f>ROW(A376)</f>
        <v>376</v>
      </c>
      <c r="B674" s="758" t="str">
        <f>$B376</f>
        <v>8th Grade Teacher</v>
      </c>
      <c r="C674" s="560"/>
      <c r="D674" s="429"/>
      <c r="G674" s="1290">
        <f t="shared" ref="G674:M678" si="188">G376*$C$89</f>
        <v>0</v>
      </c>
      <c r="H674" s="1290">
        <f t="shared" si="188"/>
        <v>0</v>
      </c>
      <c r="I674" s="1290">
        <f t="shared" si="188"/>
        <v>0</v>
      </c>
      <c r="J674" s="1290">
        <f t="shared" si="188"/>
        <v>0</v>
      </c>
      <c r="K674" s="1290">
        <f t="shared" si="188"/>
        <v>0</v>
      </c>
      <c r="L674" s="1290">
        <f t="shared" si="188"/>
        <v>0</v>
      </c>
      <c r="M674" s="1290">
        <f t="shared" si="188"/>
        <v>0</v>
      </c>
      <c r="R674" s="282"/>
      <c r="S674" s="282"/>
      <c r="T674" s="282"/>
      <c r="U674" s="282"/>
      <c r="V674" s="282"/>
      <c r="W674" s="282"/>
      <c r="X674" s="282"/>
      <c r="Y674" s="282"/>
      <c r="Z674" s="282"/>
      <c r="AA674" s="282"/>
    </row>
    <row r="675" spans="1:27" s="428" customFormat="1" outlineLevel="2" x14ac:dyDescent="0.25">
      <c r="A675" s="276">
        <f>ROW()</f>
        <v>675</v>
      </c>
      <c r="B675" s="758" t="str">
        <f t="shared" ref="B675:B690" si="189">$B377</f>
        <v>8th Grade Teacher</v>
      </c>
      <c r="C675" s="560"/>
      <c r="D675" s="429"/>
      <c r="G675" s="1290">
        <f t="shared" si="188"/>
        <v>0</v>
      </c>
      <c r="H675" s="1290">
        <f t="shared" si="188"/>
        <v>0</v>
      </c>
      <c r="I675" s="1290">
        <f t="shared" si="188"/>
        <v>0</v>
      </c>
      <c r="J675" s="1290">
        <f t="shared" si="188"/>
        <v>0</v>
      </c>
      <c r="K675" s="1290">
        <f t="shared" si="188"/>
        <v>0</v>
      </c>
      <c r="L675" s="1290">
        <f t="shared" si="188"/>
        <v>0</v>
      </c>
      <c r="M675" s="1290">
        <f t="shared" si="188"/>
        <v>0</v>
      </c>
      <c r="R675" s="282"/>
      <c r="S675" s="282"/>
      <c r="T675" s="282"/>
      <c r="U675" s="282"/>
      <c r="V675" s="282"/>
      <c r="W675" s="282"/>
      <c r="X675" s="282"/>
      <c r="Y675" s="282"/>
      <c r="Z675" s="282"/>
      <c r="AA675" s="282"/>
    </row>
    <row r="676" spans="1:27" s="428" customFormat="1" outlineLevel="2" x14ac:dyDescent="0.25">
      <c r="A676" s="276">
        <f>ROW()</f>
        <v>676</v>
      </c>
      <c r="B676" s="758" t="str">
        <f t="shared" si="189"/>
        <v>8th Grade Teacher</v>
      </c>
      <c r="C676" s="560"/>
      <c r="D676" s="429"/>
      <c r="G676" s="1290">
        <f t="shared" si="188"/>
        <v>0</v>
      </c>
      <c r="H676" s="1290">
        <f t="shared" si="188"/>
        <v>0</v>
      </c>
      <c r="I676" s="1290">
        <f t="shared" si="188"/>
        <v>0</v>
      </c>
      <c r="J676" s="1290">
        <f t="shared" si="188"/>
        <v>0</v>
      </c>
      <c r="K676" s="1290">
        <f t="shared" si="188"/>
        <v>0</v>
      </c>
      <c r="L676" s="1290">
        <f t="shared" si="188"/>
        <v>0</v>
      </c>
      <c r="M676" s="1290">
        <f t="shared" si="188"/>
        <v>0</v>
      </c>
      <c r="R676" s="282"/>
      <c r="S676" s="282"/>
      <c r="T676" s="282"/>
      <c r="U676" s="282"/>
      <c r="V676" s="282"/>
      <c r="W676" s="282"/>
      <c r="X676" s="282"/>
      <c r="Y676" s="282"/>
      <c r="Z676" s="282"/>
      <c r="AA676" s="282"/>
    </row>
    <row r="677" spans="1:27" s="428" customFormat="1" outlineLevel="2" x14ac:dyDescent="0.25">
      <c r="A677" s="276">
        <f>ROW()</f>
        <v>677</v>
      </c>
      <c r="B677" s="758" t="str">
        <f t="shared" si="189"/>
        <v>8th Grade Teacher</v>
      </c>
      <c r="C677" s="560"/>
      <c r="D677" s="429"/>
      <c r="G677" s="1290">
        <f t="shared" si="188"/>
        <v>0</v>
      </c>
      <c r="H677" s="1290">
        <f t="shared" si="188"/>
        <v>0</v>
      </c>
      <c r="I677" s="1290">
        <f t="shared" si="188"/>
        <v>0</v>
      </c>
      <c r="J677" s="1290">
        <f t="shared" si="188"/>
        <v>0</v>
      </c>
      <c r="K677" s="1290">
        <f t="shared" si="188"/>
        <v>0</v>
      </c>
      <c r="L677" s="1290">
        <f t="shared" si="188"/>
        <v>0</v>
      </c>
      <c r="M677" s="1290">
        <f t="shared" si="188"/>
        <v>0</v>
      </c>
      <c r="R677" s="282"/>
      <c r="S677" s="282"/>
      <c r="T677" s="282"/>
      <c r="U677" s="282"/>
      <c r="V677" s="282"/>
      <c r="W677" s="282"/>
      <c r="X677" s="282"/>
      <c r="Y677" s="282"/>
      <c r="Z677" s="282"/>
      <c r="AA677" s="282"/>
    </row>
    <row r="678" spans="1:27" s="428" customFormat="1" outlineLevel="2" x14ac:dyDescent="0.25">
      <c r="A678" s="276">
        <f>ROW()</f>
        <v>678</v>
      </c>
      <c r="B678" s="758">
        <f t="shared" si="189"/>
        <v>0</v>
      </c>
      <c r="C678" s="560"/>
      <c r="D678" s="429"/>
      <c r="G678" s="1290">
        <f t="shared" si="188"/>
        <v>0</v>
      </c>
      <c r="H678" s="1290">
        <f t="shared" si="188"/>
        <v>0</v>
      </c>
      <c r="I678" s="1290">
        <f t="shared" si="188"/>
        <v>0</v>
      </c>
      <c r="J678" s="1290">
        <f t="shared" si="188"/>
        <v>0</v>
      </c>
      <c r="K678" s="1290">
        <f t="shared" si="188"/>
        <v>0</v>
      </c>
      <c r="L678" s="1290">
        <f t="shared" si="188"/>
        <v>0</v>
      </c>
      <c r="M678" s="1290">
        <f t="shared" si="188"/>
        <v>0</v>
      </c>
      <c r="R678" s="282"/>
      <c r="S678" s="282"/>
      <c r="T678" s="282"/>
      <c r="U678" s="282"/>
      <c r="V678" s="282"/>
      <c r="W678" s="282"/>
      <c r="X678" s="282"/>
      <c r="Y678" s="282"/>
      <c r="Z678" s="282"/>
      <c r="AA678" s="282"/>
    </row>
    <row r="679" spans="1:27" s="428" customFormat="1" outlineLevel="2" x14ac:dyDescent="0.25">
      <c r="A679" s="276">
        <f>ROW()</f>
        <v>679</v>
      </c>
      <c r="B679" s="758"/>
      <c r="C679" s="560"/>
      <c r="D679" s="429"/>
      <c r="G679" s="1290"/>
      <c r="H679" s="1290"/>
      <c r="I679" s="1290"/>
      <c r="J679" s="1290"/>
      <c r="K679" s="1290"/>
      <c r="L679" s="1290"/>
      <c r="M679" s="1290"/>
      <c r="R679" s="282"/>
      <c r="S679" s="282"/>
      <c r="T679" s="282"/>
      <c r="U679" s="282"/>
      <c r="V679" s="282"/>
      <c r="W679" s="282"/>
      <c r="X679" s="282"/>
      <c r="Y679" s="282"/>
      <c r="Z679" s="282"/>
      <c r="AA679" s="282"/>
    </row>
    <row r="680" spans="1:27" s="428" customFormat="1" outlineLevel="2" x14ac:dyDescent="0.25">
      <c r="A680" s="276">
        <f>ROW()</f>
        <v>680</v>
      </c>
      <c r="B680" s="758" t="str">
        <f t="shared" si="189"/>
        <v>PE teacher</v>
      </c>
      <c r="C680" s="560"/>
      <c r="D680" s="429"/>
      <c r="G680" s="1290">
        <f t="shared" ref="G680:M684" si="190">G382*$C$89</f>
        <v>0</v>
      </c>
      <c r="H680" s="1290">
        <f t="shared" si="190"/>
        <v>0</v>
      </c>
      <c r="I680" s="1290">
        <f t="shared" si="190"/>
        <v>0</v>
      </c>
      <c r="J680" s="1290">
        <f t="shared" si="190"/>
        <v>0</v>
      </c>
      <c r="K680" s="1290">
        <f t="shared" si="190"/>
        <v>0</v>
      </c>
      <c r="L680" s="1290">
        <f t="shared" si="190"/>
        <v>0</v>
      </c>
      <c r="M680" s="1290">
        <f t="shared" si="190"/>
        <v>0</v>
      </c>
      <c r="R680" s="282"/>
      <c r="S680" s="282"/>
      <c r="T680" s="282"/>
      <c r="U680" s="282"/>
      <c r="V680" s="282"/>
      <c r="W680" s="282"/>
      <c r="X680" s="282"/>
      <c r="Y680" s="282"/>
      <c r="Z680" s="282"/>
      <c r="AA680" s="282"/>
    </row>
    <row r="681" spans="1:27" s="428" customFormat="1" outlineLevel="2" x14ac:dyDescent="0.25">
      <c r="A681" s="276">
        <f>ROW()</f>
        <v>681</v>
      </c>
      <c r="B681" s="758" t="str">
        <f t="shared" si="189"/>
        <v>PE teacher</v>
      </c>
      <c r="C681" s="560"/>
      <c r="D681" s="429"/>
      <c r="G681" s="1290">
        <f t="shared" si="190"/>
        <v>0</v>
      </c>
      <c r="H681" s="1290">
        <f t="shared" si="190"/>
        <v>0</v>
      </c>
      <c r="I681" s="1290">
        <f t="shared" si="190"/>
        <v>0</v>
      </c>
      <c r="J681" s="1290">
        <f t="shared" si="190"/>
        <v>0</v>
      </c>
      <c r="K681" s="1290">
        <f t="shared" si="190"/>
        <v>0</v>
      </c>
      <c r="L681" s="1290">
        <f t="shared" si="190"/>
        <v>0</v>
      </c>
      <c r="M681" s="1290">
        <f t="shared" si="190"/>
        <v>0</v>
      </c>
      <c r="R681" s="282"/>
      <c r="S681" s="282"/>
      <c r="T681" s="282"/>
      <c r="U681" s="282"/>
      <c r="V681" s="282"/>
      <c r="W681" s="282"/>
      <c r="X681" s="282"/>
      <c r="Y681" s="282"/>
      <c r="Z681" s="282"/>
      <c r="AA681" s="282"/>
    </row>
    <row r="682" spans="1:27" s="428" customFormat="1" outlineLevel="2" x14ac:dyDescent="0.25">
      <c r="A682" s="276">
        <f>ROW()</f>
        <v>682</v>
      </c>
      <c r="B682" s="758" t="str">
        <f t="shared" si="189"/>
        <v>Grade Level Teacher</v>
      </c>
      <c r="C682" s="560"/>
      <c r="D682" s="429"/>
      <c r="G682" s="1290">
        <f t="shared" si="190"/>
        <v>0</v>
      </c>
      <c r="H682" s="1290">
        <f t="shared" si="190"/>
        <v>0</v>
      </c>
      <c r="I682" s="1290">
        <f t="shared" si="190"/>
        <v>0</v>
      </c>
      <c r="J682" s="1290">
        <f t="shared" si="190"/>
        <v>0</v>
      </c>
      <c r="K682" s="1290">
        <f t="shared" si="190"/>
        <v>0</v>
      </c>
      <c r="L682" s="1290">
        <f t="shared" si="190"/>
        <v>0</v>
      </c>
      <c r="M682" s="1290">
        <f t="shared" si="190"/>
        <v>0</v>
      </c>
      <c r="R682" s="282"/>
      <c r="S682" s="282"/>
      <c r="T682" s="282"/>
      <c r="U682" s="282"/>
      <c r="V682" s="282"/>
      <c r="W682" s="282"/>
      <c r="X682" s="282"/>
      <c r="Y682" s="282"/>
      <c r="Z682" s="282"/>
      <c r="AA682" s="282"/>
    </row>
    <row r="683" spans="1:27" s="428" customFormat="1" outlineLevel="2" x14ac:dyDescent="0.25">
      <c r="A683" s="276">
        <f>ROW()</f>
        <v>683</v>
      </c>
      <c r="B683" s="758" t="str">
        <f t="shared" si="189"/>
        <v>Grade Level Teacher</v>
      </c>
      <c r="C683" s="560"/>
      <c r="D683" s="429"/>
      <c r="G683" s="1290">
        <f t="shared" si="190"/>
        <v>0</v>
      </c>
      <c r="H683" s="1290">
        <f t="shared" si="190"/>
        <v>0</v>
      </c>
      <c r="I683" s="1290">
        <f t="shared" si="190"/>
        <v>0</v>
      </c>
      <c r="J683" s="1290">
        <f t="shared" si="190"/>
        <v>0</v>
      </c>
      <c r="K683" s="1290">
        <f t="shared" si="190"/>
        <v>0</v>
      </c>
      <c r="L683" s="1290">
        <f t="shared" si="190"/>
        <v>0</v>
      </c>
      <c r="M683" s="1290">
        <f t="shared" si="190"/>
        <v>0</v>
      </c>
      <c r="R683" s="282"/>
      <c r="S683" s="282"/>
      <c r="T683" s="282"/>
      <c r="U683" s="282"/>
      <c r="V683" s="282"/>
      <c r="W683" s="282"/>
      <c r="X683" s="282"/>
      <c r="Y683" s="282"/>
      <c r="Z683" s="282"/>
      <c r="AA683" s="282"/>
    </row>
    <row r="684" spans="1:27" s="428" customFormat="1" outlineLevel="2" x14ac:dyDescent="0.25">
      <c r="A684" s="276">
        <f>ROW()</f>
        <v>684</v>
      </c>
      <c r="B684" s="758" t="str">
        <f t="shared" si="189"/>
        <v>Grade Level Teacher</v>
      </c>
      <c r="C684" s="560"/>
      <c r="D684" s="429"/>
      <c r="G684" s="1290">
        <f t="shared" si="190"/>
        <v>0</v>
      </c>
      <c r="H684" s="1290">
        <f t="shared" si="190"/>
        <v>0</v>
      </c>
      <c r="I684" s="1290">
        <f t="shared" si="190"/>
        <v>0</v>
      </c>
      <c r="J684" s="1290">
        <f t="shared" si="190"/>
        <v>0</v>
      </c>
      <c r="K684" s="1290">
        <f t="shared" si="190"/>
        <v>0</v>
      </c>
      <c r="L684" s="1290">
        <f t="shared" si="190"/>
        <v>0</v>
      </c>
      <c r="M684" s="1290">
        <f t="shared" si="190"/>
        <v>0</v>
      </c>
      <c r="R684" s="282"/>
      <c r="S684" s="282"/>
      <c r="T684" s="282"/>
      <c r="U684" s="282"/>
      <c r="V684" s="282"/>
      <c r="W684" s="282"/>
      <c r="X684" s="282"/>
      <c r="Y684" s="282"/>
      <c r="Z684" s="282"/>
      <c r="AA684" s="282"/>
    </row>
    <row r="685" spans="1:27" s="428" customFormat="1" outlineLevel="2" x14ac:dyDescent="0.25">
      <c r="A685" s="276">
        <f>ROW()</f>
        <v>685</v>
      </c>
      <c r="B685" s="758"/>
      <c r="C685" s="560"/>
      <c r="D685" s="429"/>
      <c r="G685" s="1290"/>
      <c r="H685" s="1290"/>
      <c r="I685" s="1290"/>
      <c r="J685" s="1290"/>
      <c r="K685" s="1290"/>
      <c r="L685" s="1290"/>
      <c r="M685" s="1290"/>
      <c r="R685" s="282"/>
      <c r="S685" s="282"/>
      <c r="T685" s="282"/>
      <c r="U685" s="282"/>
      <c r="V685" s="282"/>
      <c r="W685" s="282"/>
      <c r="X685" s="282"/>
      <c r="Y685" s="282"/>
      <c r="Z685" s="282"/>
      <c r="AA685" s="282"/>
    </row>
    <row r="686" spans="1:27" s="428" customFormat="1" outlineLevel="2" x14ac:dyDescent="0.25">
      <c r="A686" s="276">
        <f>ROW()</f>
        <v>686</v>
      </c>
      <c r="B686" s="758" t="str">
        <f t="shared" si="189"/>
        <v>STEAM Teacher</v>
      </c>
      <c r="C686" s="560"/>
      <c r="D686" s="429"/>
      <c r="G686" s="1290">
        <f t="shared" ref="G686:M690" si="191">G388*$C$89</f>
        <v>0</v>
      </c>
      <c r="H686" s="1290">
        <f t="shared" si="191"/>
        <v>0</v>
      </c>
      <c r="I686" s="1290">
        <f t="shared" si="191"/>
        <v>0</v>
      </c>
      <c r="J686" s="1290">
        <f t="shared" si="191"/>
        <v>0</v>
      </c>
      <c r="K686" s="1290">
        <f t="shared" si="191"/>
        <v>0</v>
      </c>
      <c r="L686" s="1290">
        <f t="shared" si="191"/>
        <v>0</v>
      </c>
      <c r="M686" s="1290">
        <f t="shared" si="191"/>
        <v>0</v>
      </c>
      <c r="R686" s="282"/>
      <c r="S686" s="282"/>
      <c r="T686" s="282"/>
      <c r="U686" s="282"/>
      <c r="V686" s="282"/>
      <c r="W686" s="282"/>
      <c r="X686" s="282"/>
      <c r="Y686" s="282"/>
      <c r="Z686" s="282"/>
      <c r="AA686" s="282"/>
    </row>
    <row r="687" spans="1:27" s="428" customFormat="1" outlineLevel="2" x14ac:dyDescent="0.25">
      <c r="A687" s="276">
        <f>ROW()</f>
        <v>687</v>
      </c>
      <c r="B687" s="758" t="str">
        <f t="shared" si="189"/>
        <v>STEAM Teacher</v>
      </c>
      <c r="C687" s="560"/>
      <c r="D687" s="429"/>
      <c r="G687" s="1290">
        <f t="shared" si="191"/>
        <v>0</v>
      </c>
      <c r="H687" s="1290">
        <f t="shared" si="191"/>
        <v>0</v>
      </c>
      <c r="I687" s="1290">
        <f t="shared" si="191"/>
        <v>0</v>
      </c>
      <c r="J687" s="1290">
        <f t="shared" si="191"/>
        <v>0</v>
      </c>
      <c r="K687" s="1290">
        <f t="shared" si="191"/>
        <v>0</v>
      </c>
      <c r="L687" s="1290">
        <f t="shared" si="191"/>
        <v>0</v>
      </c>
      <c r="M687" s="1290">
        <f t="shared" si="191"/>
        <v>0</v>
      </c>
      <c r="R687" s="282"/>
      <c r="S687" s="282"/>
      <c r="T687" s="282"/>
      <c r="U687" s="282"/>
      <c r="V687" s="282"/>
      <c r="W687" s="282"/>
      <c r="X687" s="282"/>
      <c r="Y687" s="282"/>
      <c r="Z687" s="282"/>
      <c r="AA687" s="282"/>
    </row>
    <row r="688" spans="1:27" s="428" customFormat="1" outlineLevel="2" x14ac:dyDescent="0.25">
      <c r="A688" s="276">
        <f>ROW()</f>
        <v>688</v>
      </c>
      <c r="B688" s="758" t="str">
        <f t="shared" si="189"/>
        <v>Grade Level Teacher</v>
      </c>
      <c r="C688" s="560"/>
      <c r="D688" s="429"/>
      <c r="G688" s="1290">
        <f t="shared" si="191"/>
        <v>0</v>
      </c>
      <c r="H688" s="1290">
        <f t="shared" si="191"/>
        <v>0</v>
      </c>
      <c r="I688" s="1290">
        <f t="shared" si="191"/>
        <v>0</v>
      </c>
      <c r="J688" s="1290">
        <f t="shared" si="191"/>
        <v>0</v>
      </c>
      <c r="K688" s="1290">
        <f t="shared" si="191"/>
        <v>0</v>
      </c>
      <c r="L688" s="1290">
        <f t="shared" si="191"/>
        <v>0</v>
      </c>
      <c r="M688" s="1290">
        <f t="shared" si="191"/>
        <v>0</v>
      </c>
      <c r="R688" s="282"/>
      <c r="S688" s="282"/>
      <c r="T688" s="282"/>
      <c r="U688" s="282"/>
      <c r="V688" s="282"/>
      <c r="W688" s="282"/>
      <c r="X688" s="282"/>
      <c r="Y688" s="282"/>
      <c r="Z688" s="282"/>
      <c r="AA688" s="282"/>
    </row>
    <row r="689" spans="1:27" s="428" customFormat="1" outlineLevel="2" x14ac:dyDescent="0.25">
      <c r="A689" s="276">
        <f>ROW()</f>
        <v>689</v>
      </c>
      <c r="B689" s="758" t="str">
        <f t="shared" si="189"/>
        <v>Grade Level Teacher</v>
      </c>
      <c r="C689" s="560"/>
      <c r="D689" s="429"/>
      <c r="G689" s="1290">
        <f t="shared" si="191"/>
        <v>0</v>
      </c>
      <c r="H689" s="1290">
        <f t="shared" si="191"/>
        <v>0</v>
      </c>
      <c r="I689" s="1290">
        <f t="shared" si="191"/>
        <v>0</v>
      </c>
      <c r="J689" s="1290">
        <f t="shared" si="191"/>
        <v>0</v>
      </c>
      <c r="K689" s="1290">
        <f t="shared" si="191"/>
        <v>0</v>
      </c>
      <c r="L689" s="1290">
        <f t="shared" si="191"/>
        <v>0</v>
      </c>
      <c r="M689" s="1290">
        <f t="shared" si="191"/>
        <v>0</v>
      </c>
      <c r="R689" s="282"/>
      <c r="S689" s="282"/>
      <c r="T689" s="282"/>
      <c r="U689" s="282"/>
      <c r="V689" s="282"/>
      <c r="W689" s="282"/>
      <c r="X689" s="282"/>
      <c r="Y689" s="282"/>
      <c r="Z689" s="282"/>
      <c r="AA689" s="282"/>
    </row>
    <row r="690" spans="1:27" s="428" customFormat="1" outlineLevel="2" x14ac:dyDescent="0.25">
      <c r="A690" s="276">
        <f>ROW()</f>
        <v>690</v>
      </c>
      <c r="B690" s="758" t="str">
        <f t="shared" si="189"/>
        <v>Grade Level Teacher</v>
      </c>
      <c r="C690" s="560"/>
      <c r="D690" s="429"/>
      <c r="G690" s="1290">
        <f t="shared" si="191"/>
        <v>0</v>
      </c>
      <c r="H690" s="1290">
        <f t="shared" si="191"/>
        <v>0</v>
      </c>
      <c r="I690" s="1290">
        <f t="shared" si="191"/>
        <v>0</v>
      </c>
      <c r="J690" s="1290">
        <f t="shared" si="191"/>
        <v>0</v>
      </c>
      <c r="K690" s="1290">
        <f t="shared" si="191"/>
        <v>0</v>
      </c>
      <c r="L690" s="1290">
        <f t="shared" si="191"/>
        <v>0</v>
      </c>
      <c r="M690" s="1290">
        <f t="shared" si="191"/>
        <v>0</v>
      </c>
      <c r="R690" s="282"/>
      <c r="S690" s="282"/>
      <c r="T690" s="282"/>
      <c r="U690" s="282"/>
      <c r="V690" s="282"/>
      <c r="W690" s="282"/>
      <c r="X690" s="282"/>
      <c r="Y690" s="282"/>
      <c r="Z690" s="282"/>
      <c r="AA690" s="282"/>
    </row>
    <row r="691" spans="1:27" s="431" customFormat="1" outlineLevel="2" x14ac:dyDescent="0.25">
      <c r="A691" s="276">
        <f>ROW()</f>
        <v>691</v>
      </c>
      <c r="B691" s="758"/>
      <c r="C691" s="561"/>
      <c r="D691" s="428"/>
      <c r="G691" s="1290"/>
      <c r="H691" s="1290"/>
      <c r="I691" s="1290"/>
      <c r="J691" s="1290"/>
      <c r="K691" s="1290"/>
      <c r="L691" s="1290"/>
      <c r="M691" s="1290"/>
      <c r="R691" s="282"/>
      <c r="S691" s="282"/>
      <c r="T691" s="282"/>
      <c r="U691" s="282"/>
      <c r="V691" s="282"/>
      <c r="W691" s="282"/>
      <c r="X691" s="282"/>
      <c r="Y691" s="282"/>
      <c r="Z691" s="282"/>
      <c r="AA691" s="282"/>
    </row>
    <row r="692" spans="1:27" s="428" customFormat="1" outlineLevel="2" x14ac:dyDescent="0.25">
      <c r="A692" s="276">
        <f>ROW()</f>
        <v>692</v>
      </c>
      <c r="B692" s="758" t="str">
        <f>$B$243</f>
        <v>Spanish Teacher</v>
      </c>
      <c r="C692" s="560"/>
      <c r="D692" s="429"/>
      <c r="G692" s="1290">
        <f t="shared" ref="G692:M696" si="192">G394*$C$89</f>
        <v>0</v>
      </c>
      <c r="H692" s="1290">
        <f t="shared" si="192"/>
        <v>0</v>
      </c>
      <c r="I692" s="1290">
        <f t="shared" si="192"/>
        <v>0</v>
      </c>
      <c r="J692" s="1290">
        <f t="shared" si="192"/>
        <v>0</v>
      </c>
      <c r="K692" s="1290">
        <f t="shared" si="192"/>
        <v>0</v>
      </c>
      <c r="L692" s="1290">
        <f t="shared" si="192"/>
        <v>0</v>
      </c>
      <c r="M692" s="1290">
        <f t="shared" si="192"/>
        <v>0</v>
      </c>
      <c r="R692" s="282"/>
      <c r="S692" s="282"/>
      <c r="T692" s="282"/>
      <c r="U692" s="282"/>
      <c r="V692" s="282"/>
      <c r="W692" s="282"/>
      <c r="X692" s="282"/>
      <c r="Y692" s="282"/>
      <c r="Z692" s="282"/>
      <c r="AA692" s="282"/>
    </row>
    <row r="693" spans="1:27" s="428" customFormat="1" outlineLevel="2" x14ac:dyDescent="0.25">
      <c r="A693" s="276">
        <f>ROW()</f>
        <v>693</v>
      </c>
      <c r="B693" s="758" t="str">
        <f>$B$244</f>
        <v>Art Teacher</v>
      </c>
      <c r="C693" s="560"/>
      <c r="D693" s="429"/>
      <c r="G693" s="1290">
        <f t="shared" si="192"/>
        <v>0</v>
      </c>
      <c r="H693" s="1290">
        <f t="shared" si="192"/>
        <v>0</v>
      </c>
      <c r="I693" s="1290">
        <f t="shared" si="192"/>
        <v>0</v>
      </c>
      <c r="J693" s="1290">
        <f t="shared" si="192"/>
        <v>0</v>
      </c>
      <c r="K693" s="1290">
        <f t="shared" si="192"/>
        <v>0</v>
      </c>
      <c r="L693" s="1290">
        <f t="shared" si="192"/>
        <v>0</v>
      </c>
      <c r="M693" s="1290">
        <f t="shared" si="192"/>
        <v>0</v>
      </c>
      <c r="R693" s="282"/>
      <c r="S693" s="282"/>
      <c r="T693" s="282"/>
      <c r="U693" s="282"/>
      <c r="V693" s="282"/>
      <c r="W693" s="282"/>
      <c r="X693" s="282"/>
      <c r="Y693" s="282"/>
      <c r="Z693" s="282"/>
      <c r="AA693" s="282"/>
    </row>
    <row r="694" spans="1:27" s="428" customFormat="1" outlineLevel="2" x14ac:dyDescent="0.25">
      <c r="A694" s="276">
        <f>ROW()</f>
        <v>694</v>
      </c>
      <c r="B694" s="758" t="str">
        <f>$B$245</f>
        <v>Grade Level Teacher</v>
      </c>
      <c r="C694" s="560"/>
      <c r="D694" s="429"/>
      <c r="G694" s="1290">
        <f t="shared" si="192"/>
        <v>0</v>
      </c>
      <c r="H694" s="1290">
        <f t="shared" si="192"/>
        <v>0</v>
      </c>
      <c r="I694" s="1290">
        <f t="shared" si="192"/>
        <v>0</v>
      </c>
      <c r="J694" s="1290">
        <f t="shared" si="192"/>
        <v>0</v>
      </c>
      <c r="K694" s="1290">
        <f t="shared" si="192"/>
        <v>0</v>
      </c>
      <c r="L694" s="1290">
        <f t="shared" si="192"/>
        <v>0</v>
      </c>
      <c r="M694" s="1290">
        <f t="shared" si="192"/>
        <v>0</v>
      </c>
      <c r="R694" s="282"/>
      <c r="S694" s="282"/>
      <c r="T694" s="282"/>
      <c r="U694" s="282"/>
      <c r="V694" s="282"/>
      <c r="W694" s="282"/>
      <c r="X694" s="282"/>
      <c r="Y694" s="282"/>
      <c r="Z694" s="282"/>
      <c r="AA694" s="282"/>
    </row>
    <row r="695" spans="1:27" s="428" customFormat="1" outlineLevel="2" x14ac:dyDescent="0.25">
      <c r="A695" s="276">
        <f>ROW()</f>
        <v>695</v>
      </c>
      <c r="B695" s="758" t="str">
        <f>$B$246</f>
        <v>Grade Level Teacher</v>
      </c>
      <c r="C695" s="560"/>
      <c r="D695" s="429"/>
      <c r="G695" s="1290">
        <f t="shared" si="192"/>
        <v>0</v>
      </c>
      <c r="H695" s="1290">
        <f t="shared" si="192"/>
        <v>0</v>
      </c>
      <c r="I695" s="1290">
        <f t="shared" si="192"/>
        <v>0</v>
      </c>
      <c r="J695" s="1290">
        <f t="shared" si="192"/>
        <v>0</v>
      </c>
      <c r="K695" s="1290">
        <f t="shared" si="192"/>
        <v>0</v>
      </c>
      <c r="L695" s="1290">
        <f t="shared" si="192"/>
        <v>0</v>
      </c>
      <c r="M695" s="1290">
        <f t="shared" si="192"/>
        <v>0</v>
      </c>
      <c r="R695" s="282"/>
      <c r="S695" s="282"/>
      <c r="T695" s="282"/>
      <c r="U695" s="282"/>
      <c r="V695" s="282"/>
      <c r="W695" s="282"/>
      <c r="X695" s="282"/>
      <c r="Y695" s="282"/>
      <c r="Z695" s="282"/>
      <c r="AA695" s="282"/>
    </row>
    <row r="696" spans="1:27" s="428" customFormat="1" outlineLevel="2" x14ac:dyDescent="0.25">
      <c r="A696" s="276">
        <f>ROW()</f>
        <v>696</v>
      </c>
      <c r="B696" s="758" t="str">
        <f>$B$247</f>
        <v>Grade Level Teacher</v>
      </c>
      <c r="C696" s="560"/>
      <c r="D696" s="429"/>
      <c r="G696" s="1290">
        <f t="shared" si="192"/>
        <v>0</v>
      </c>
      <c r="H696" s="1290">
        <f t="shared" si="192"/>
        <v>0</v>
      </c>
      <c r="I696" s="1290">
        <f t="shared" si="192"/>
        <v>0</v>
      </c>
      <c r="J696" s="1290">
        <f t="shared" si="192"/>
        <v>0</v>
      </c>
      <c r="K696" s="1290">
        <f t="shared" si="192"/>
        <v>0</v>
      </c>
      <c r="L696" s="1290">
        <f t="shared" si="192"/>
        <v>0</v>
      </c>
      <c r="M696" s="1290">
        <f t="shared" si="192"/>
        <v>0</v>
      </c>
      <c r="R696" s="282"/>
      <c r="S696" s="282"/>
      <c r="T696" s="282"/>
      <c r="U696" s="282"/>
      <c r="V696" s="282"/>
      <c r="W696" s="282"/>
      <c r="X696" s="282"/>
      <c r="Y696" s="282"/>
      <c r="Z696" s="282"/>
      <c r="AA696" s="282"/>
    </row>
    <row r="697" spans="1:27" s="431" customFormat="1" outlineLevel="2" x14ac:dyDescent="0.25">
      <c r="A697" s="276">
        <f>ROW()</f>
        <v>697</v>
      </c>
      <c r="B697" s="758"/>
      <c r="C697" s="561"/>
      <c r="D697" s="428"/>
      <c r="G697" s="1290"/>
      <c r="H697" s="1290"/>
      <c r="I697" s="1290"/>
      <c r="J697" s="1290"/>
      <c r="K697" s="1290"/>
      <c r="L697" s="1290"/>
      <c r="M697" s="1290"/>
      <c r="R697" s="282"/>
      <c r="S697" s="282"/>
      <c r="T697" s="282"/>
      <c r="U697" s="282"/>
      <c r="V697" s="282"/>
      <c r="W697" s="282"/>
      <c r="X697" s="282"/>
      <c r="Y697" s="282"/>
      <c r="Z697" s="282"/>
      <c r="AA697" s="282"/>
    </row>
    <row r="698" spans="1:27" s="428" customFormat="1" outlineLevel="2" x14ac:dyDescent="0.25">
      <c r="A698" s="276">
        <f>ROW()</f>
        <v>698</v>
      </c>
      <c r="B698" s="758" t="str">
        <f>$B$249</f>
        <v>Grade Level Teacher</v>
      </c>
      <c r="C698" s="560"/>
      <c r="D698" s="429"/>
      <c r="G698" s="1290">
        <f t="shared" ref="G698:M702" si="193">G400*$C$89</f>
        <v>0</v>
      </c>
      <c r="H698" s="1290">
        <f t="shared" si="193"/>
        <v>0</v>
      </c>
      <c r="I698" s="1290">
        <f t="shared" si="193"/>
        <v>0</v>
      </c>
      <c r="J698" s="1290">
        <f t="shared" si="193"/>
        <v>0</v>
      </c>
      <c r="K698" s="1290">
        <f t="shared" si="193"/>
        <v>0</v>
      </c>
      <c r="L698" s="1290">
        <f t="shared" si="193"/>
        <v>0</v>
      </c>
      <c r="M698" s="1290">
        <f t="shared" si="193"/>
        <v>0</v>
      </c>
      <c r="R698" s="282"/>
      <c r="S698" s="282"/>
      <c r="T698" s="282"/>
      <c r="U698" s="282"/>
      <c r="V698" s="282"/>
      <c r="W698" s="282"/>
      <c r="X698" s="282"/>
      <c r="Y698" s="282"/>
      <c r="Z698" s="282"/>
      <c r="AA698" s="282"/>
    </row>
    <row r="699" spans="1:27" s="428" customFormat="1" outlineLevel="2" x14ac:dyDescent="0.25">
      <c r="A699" s="276">
        <f>ROW()</f>
        <v>699</v>
      </c>
      <c r="B699" s="758" t="str">
        <f>$B$250</f>
        <v>Grade Level Teacher</v>
      </c>
      <c r="C699" s="560"/>
      <c r="D699" s="429"/>
      <c r="G699" s="1290">
        <f t="shared" si="193"/>
        <v>0</v>
      </c>
      <c r="H699" s="1290">
        <f t="shared" si="193"/>
        <v>0</v>
      </c>
      <c r="I699" s="1290">
        <f t="shared" si="193"/>
        <v>0</v>
      </c>
      <c r="J699" s="1290">
        <f t="shared" si="193"/>
        <v>0</v>
      </c>
      <c r="K699" s="1290">
        <f t="shared" si="193"/>
        <v>0</v>
      </c>
      <c r="L699" s="1290">
        <f t="shared" si="193"/>
        <v>0</v>
      </c>
      <c r="M699" s="1290">
        <f t="shared" si="193"/>
        <v>0</v>
      </c>
      <c r="R699" s="282"/>
      <c r="S699" s="282"/>
      <c r="T699" s="282"/>
      <c r="U699" s="282"/>
      <c r="V699" s="282"/>
      <c r="W699" s="282"/>
      <c r="X699" s="282"/>
      <c r="Y699" s="282"/>
      <c r="Z699" s="282"/>
      <c r="AA699" s="282"/>
    </row>
    <row r="700" spans="1:27" s="428" customFormat="1" outlineLevel="2" x14ac:dyDescent="0.25">
      <c r="A700" s="276">
        <f>ROW()</f>
        <v>700</v>
      </c>
      <c r="B700" s="758" t="str">
        <f>$B$251</f>
        <v>Grade Level Teacher</v>
      </c>
      <c r="C700" s="560"/>
      <c r="D700" s="429"/>
      <c r="G700" s="1290">
        <f t="shared" si="193"/>
        <v>0</v>
      </c>
      <c r="H700" s="1290">
        <f t="shared" si="193"/>
        <v>0</v>
      </c>
      <c r="I700" s="1290">
        <f t="shared" si="193"/>
        <v>0</v>
      </c>
      <c r="J700" s="1290">
        <f t="shared" si="193"/>
        <v>0</v>
      </c>
      <c r="K700" s="1290">
        <f t="shared" si="193"/>
        <v>0</v>
      </c>
      <c r="L700" s="1290">
        <f t="shared" si="193"/>
        <v>0</v>
      </c>
      <c r="M700" s="1290">
        <f t="shared" si="193"/>
        <v>0</v>
      </c>
      <c r="R700" s="282"/>
      <c r="S700" s="282"/>
      <c r="T700" s="282"/>
      <c r="U700" s="282"/>
      <c r="V700" s="282"/>
      <c r="W700" s="282"/>
      <c r="X700" s="282"/>
      <c r="Y700" s="282"/>
      <c r="Z700" s="282"/>
      <c r="AA700" s="282"/>
    </row>
    <row r="701" spans="1:27" s="428" customFormat="1" outlineLevel="2" x14ac:dyDescent="0.25">
      <c r="A701" s="276">
        <f>ROW()</f>
        <v>701</v>
      </c>
      <c r="B701" s="758" t="str">
        <f>$B$252</f>
        <v>Grade Level Teacher</v>
      </c>
      <c r="C701" s="560"/>
      <c r="D701" s="429"/>
      <c r="G701" s="1290">
        <f t="shared" si="193"/>
        <v>0</v>
      </c>
      <c r="H701" s="1290">
        <f t="shared" si="193"/>
        <v>0</v>
      </c>
      <c r="I701" s="1290">
        <f t="shared" si="193"/>
        <v>0</v>
      </c>
      <c r="J701" s="1290">
        <f t="shared" si="193"/>
        <v>0</v>
      </c>
      <c r="K701" s="1290">
        <f t="shared" si="193"/>
        <v>0</v>
      </c>
      <c r="L701" s="1290">
        <f t="shared" si="193"/>
        <v>0</v>
      </c>
      <c r="M701" s="1290">
        <f t="shared" si="193"/>
        <v>0</v>
      </c>
      <c r="R701" s="282"/>
      <c r="S701" s="282"/>
      <c r="T701" s="282"/>
      <c r="U701" s="282"/>
      <c r="V701" s="282"/>
      <c r="W701" s="282"/>
      <c r="X701" s="282"/>
      <c r="Y701" s="282"/>
      <c r="Z701" s="282"/>
      <c r="AA701" s="282"/>
    </row>
    <row r="702" spans="1:27" s="428" customFormat="1" outlineLevel="2" x14ac:dyDescent="0.25">
      <c r="A702" s="276">
        <f>ROW()</f>
        <v>702</v>
      </c>
      <c r="B702" s="758" t="str">
        <f>$B$253</f>
        <v>Grade Level Teacher</v>
      </c>
      <c r="C702" s="560"/>
      <c r="D702" s="429"/>
      <c r="G702" s="1290">
        <f t="shared" si="193"/>
        <v>0</v>
      </c>
      <c r="H702" s="1290">
        <f t="shared" si="193"/>
        <v>0</v>
      </c>
      <c r="I702" s="1290">
        <f t="shared" si="193"/>
        <v>0</v>
      </c>
      <c r="J702" s="1290">
        <f t="shared" si="193"/>
        <v>0</v>
      </c>
      <c r="K702" s="1290">
        <f t="shared" si="193"/>
        <v>0</v>
      </c>
      <c r="L702" s="1290">
        <f t="shared" si="193"/>
        <v>0</v>
      </c>
      <c r="M702" s="1290">
        <f t="shared" si="193"/>
        <v>0</v>
      </c>
      <c r="R702" s="282"/>
      <c r="S702" s="282"/>
      <c r="T702" s="282"/>
      <c r="U702" s="282"/>
      <c r="V702" s="282"/>
      <c r="W702" s="282"/>
      <c r="X702" s="282"/>
      <c r="Y702" s="282"/>
      <c r="Z702" s="282"/>
      <c r="AA702" s="282"/>
    </row>
    <row r="703" spans="1:27" s="428" customFormat="1" outlineLevel="2" x14ac:dyDescent="0.25">
      <c r="A703" s="276">
        <f>ROW()</f>
        <v>703</v>
      </c>
      <c r="B703" s="758"/>
      <c r="C703" s="560"/>
      <c r="D703" s="429"/>
      <c r="G703" s="1290"/>
      <c r="H703" s="1290"/>
      <c r="I703" s="1290"/>
      <c r="J703" s="1290"/>
      <c r="K703" s="1290"/>
      <c r="L703" s="1290"/>
      <c r="M703" s="1290"/>
      <c r="R703" s="282"/>
      <c r="S703" s="282"/>
      <c r="T703" s="282"/>
      <c r="U703" s="282"/>
      <c r="V703" s="282"/>
      <c r="W703" s="282"/>
      <c r="X703" s="282"/>
      <c r="Y703" s="282"/>
      <c r="Z703" s="282"/>
      <c r="AA703" s="282"/>
    </row>
    <row r="704" spans="1:27" s="428" customFormat="1" outlineLevel="2" x14ac:dyDescent="0.25">
      <c r="A704" s="276">
        <f>ROW()</f>
        <v>704</v>
      </c>
      <c r="B704" s="758" t="str">
        <f>$B$255</f>
        <v>Grade Level Teacher</v>
      </c>
      <c r="C704" s="560"/>
      <c r="D704" s="429"/>
      <c r="G704" s="1290">
        <f t="shared" ref="G704:M708" si="194">G406*$C$89</f>
        <v>0</v>
      </c>
      <c r="H704" s="1290">
        <f t="shared" si="194"/>
        <v>0</v>
      </c>
      <c r="I704" s="1290">
        <f t="shared" si="194"/>
        <v>0</v>
      </c>
      <c r="J704" s="1290">
        <f t="shared" si="194"/>
        <v>0</v>
      </c>
      <c r="K704" s="1290">
        <f t="shared" si="194"/>
        <v>0</v>
      </c>
      <c r="L704" s="1290">
        <f t="shared" si="194"/>
        <v>0</v>
      </c>
      <c r="M704" s="1290">
        <f t="shared" si="194"/>
        <v>0</v>
      </c>
      <c r="R704" s="282"/>
      <c r="S704" s="282"/>
      <c r="T704" s="282"/>
      <c r="U704" s="282"/>
      <c r="V704" s="282"/>
      <c r="W704" s="282"/>
      <c r="X704" s="282"/>
      <c r="Y704" s="282"/>
      <c r="Z704" s="282"/>
      <c r="AA704" s="282"/>
    </row>
    <row r="705" spans="1:27" s="428" customFormat="1" outlineLevel="2" x14ac:dyDescent="0.25">
      <c r="A705" s="276">
        <f>ROW()</f>
        <v>705</v>
      </c>
      <c r="B705" s="758" t="str">
        <f>$B$256</f>
        <v>Grade Level Teacher</v>
      </c>
      <c r="C705" s="560"/>
      <c r="D705" s="429"/>
      <c r="G705" s="1290">
        <f t="shared" si="194"/>
        <v>0</v>
      </c>
      <c r="H705" s="1290">
        <f t="shared" si="194"/>
        <v>0</v>
      </c>
      <c r="I705" s="1290">
        <f t="shared" si="194"/>
        <v>0</v>
      </c>
      <c r="J705" s="1290">
        <f t="shared" si="194"/>
        <v>0</v>
      </c>
      <c r="K705" s="1290">
        <f t="shared" si="194"/>
        <v>0</v>
      </c>
      <c r="L705" s="1290">
        <f t="shared" si="194"/>
        <v>0</v>
      </c>
      <c r="M705" s="1290">
        <f t="shared" si="194"/>
        <v>0</v>
      </c>
      <c r="R705" s="282"/>
      <c r="S705" s="282"/>
      <c r="T705" s="282"/>
      <c r="U705" s="282"/>
      <c r="V705" s="282"/>
      <c r="W705" s="282"/>
      <c r="X705" s="282"/>
      <c r="Y705" s="282"/>
      <c r="Z705" s="282"/>
      <c r="AA705" s="282"/>
    </row>
    <row r="706" spans="1:27" s="428" customFormat="1" outlineLevel="2" x14ac:dyDescent="0.25">
      <c r="A706" s="276">
        <f>ROW()</f>
        <v>706</v>
      </c>
      <c r="B706" s="758" t="str">
        <f>$B$257</f>
        <v>Grade Level Teacher</v>
      </c>
      <c r="C706" s="560"/>
      <c r="D706" s="429"/>
      <c r="G706" s="1290">
        <f t="shared" si="194"/>
        <v>0</v>
      </c>
      <c r="H706" s="1290">
        <f t="shared" si="194"/>
        <v>0</v>
      </c>
      <c r="I706" s="1290">
        <f t="shared" si="194"/>
        <v>0</v>
      </c>
      <c r="J706" s="1290">
        <f t="shared" si="194"/>
        <v>0</v>
      </c>
      <c r="K706" s="1290">
        <f t="shared" si="194"/>
        <v>0</v>
      </c>
      <c r="L706" s="1290">
        <f t="shared" si="194"/>
        <v>0</v>
      </c>
      <c r="M706" s="1290">
        <f t="shared" si="194"/>
        <v>0</v>
      </c>
      <c r="R706" s="282"/>
      <c r="S706" s="282"/>
      <c r="T706" s="282"/>
      <c r="U706" s="282"/>
      <c r="V706" s="282"/>
      <c r="W706" s="282"/>
      <c r="X706" s="282"/>
      <c r="Y706" s="282"/>
      <c r="Z706" s="282"/>
      <c r="AA706" s="282"/>
    </row>
    <row r="707" spans="1:27" s="428" customFormat="1" outlineLevel="2" x14ac:dyDescent="0.25">
      <c r="A707" s="276">
        <f>ROW()</f>
        <v>707</v>
      </c>
      <c r="B707" s="758" t="str">
        <f>$B$258</f>
        <v>Grade Level Teacher</v>
      </c>
      <c r="C707" s="560"/>
      <c r="D707" s="429"/>
      <c r="G707" s="1290">
        <f t="shared" si="194"/>
        <v>0</v>
      </c>
      <c r="H707" s="1290">
        <f t="shared" si="194"/>
        <v>0</v>
      </c>
      <c r="I707" s="1290">
        <f t="shared" si="194"/>
        <v>0</v>
      </c>
      <c r="J707" s="1290">
        <f t="shared" si="194"/>
        <v>0</v>
      </c>
      <c r="K707" s="1290">
        <f t="shared" si="194"/>
        <v>0</v>
      </c>
      <c r="L707" s="1290">
        <f t="shared" si="194"/>
        <v>0</v>
      </c>
      <c r="M707" s="1290">
        <f t="shared" si="194"/>
        <v>0</v>
      </c>
      <c r="R707" s="282"/>
      <c r="S707" s="282"/>
      <c r="T707" s="282"/>
      <c r="U707" s="282"/>
      <c r="V707" s="282"/>
      <c r="W707" s="282"/>
      <c r="X707" s="282"/>
      <c r="Y707" s="282"/>
      <c r="Z707" s="282"/>
      <c r="AA707" s="282"/>
    </row>
    <row r="708" spans="1:27" s="428" customFormat="1" outlineLevel="2" x14ac:dyDescent="0.25">
      <c r="A708" s="276">
        <f>ROW()</f>
        <v>708</v>
      </c>
      <c r="B708" s="758" t="str">
        <f>$B$259</f>
        <v>Grade Level Teacher</v>
      </c>
      <c r="C708" s="560"/>
      <c r="D708" s="429"/>
      <c r="G708" s="1290">
        <f t="shared" si="194"/>
        <v>0</v>
      </c>
      <c r="H708" s="1290">
        <f t="shared" si="194"/>
        <v>0</v>
      </c>
      <c r="I708" s="1290">
        <f t="shared" si="194"/>
        <v>0</v>
      </c>
      <c r="J708" s="1290">
        <f t="shared" si="194"/>
        <v>0</v>
      </c>
      <c r="K708" s="1290">
        <f t="shared" si="194"/>
        <v>0</v>
      </c>
      <c r="L708" s="1290">
        <f t="shared" si="194"/>
        <v>0</v>
      </c>
      <c r="M708" s="1290">
        <f t="shared" si="194"/>
        <v>0</v>
      </c>
      <c r="R708" s="282"/>
      <c r="S708" s="282"/>
      <c r="T708" s="282"/>
      <c r="U708" s="282"/>
      <c r="V708" s="282"/>
      <c r="W708" s="282"/>
      <c r="X708" s="282"/>
      <c r="Y708" s="282"/>
      <c r="Z708" s="282"/>
      <c r="AA708" s="282"/>
    </row>
    <row r="709" spans="1:27" s="428" customFormat="1" outlineLevel="2" x14ac:dyDescent="0.25">
      <c r="A709" s="276">
        <f>ROW()</f>
        <v>709</v>
      </c>
      <c r="B709" s="758"/>
      <c r="C709" s="560"/>
      <c r="D709" s="429"/>
      <c r="G709" s="1290"/>
      <c r="H709" s="1290"/>
      <c r="I709" s="1290"/>
      <c r="J709" s="1290"/>
      <c r="K709" s="1290"/>
      <c r="L709" s="1290"/>
      <c r="M709" s="1290"/>
      <c r="R709" s="282"/>
      <c r="S709" s="282"/>
      <c r="T709" s="282"/>
      <c r="U709" s="282"/>
      <c r="V709" s="282"/>
      <c r="W709" s="282"/>
      <c r="X709" s="282"/>
      <c r="Y709" s="282"/>
      <c r="Z709" s="282"/>
      <c r="AA709" s="282"/>
    </row>
    <row r="710" spans="1:27" s="428" customFormat="1" outlineLevel="2" x14ac:dyDescent="0.25">
      <c r="A710" s="276">
        <f>ROW()</f>
        <v>710</v>
      </c>
      <c r="B710" s="758" t="str">
        <f>$B$261</f>
        <v>Grade Level Teacher</v>
      </c>
      <c r="C710" s="560"/>
      <c r="D710" s="429"/>
      <c r="G710" s="1290">
        <f t="shared" ref="G710:M714" si="195">G412*$C$89</f>
        <v>0</v>
      </c>
      <c r="H710" s="1290">
        <f t="shared" si="195"/>
        <v>0</v>
      </c>
      <c r="I710" s="1290">
        <f t="shared" si="195"/>
        <v>0</v>
      </c>
      <c r="J710" s="1290">
        <f t="shared" si="195"/>
        <v>0</v>
      </c>
      <c r="K710" s="1290">
        <f t="shared" si="195"/>
        <v>0</v>
      </c>
      <c r="L710" s="1290">
        <f t="shared" si="195"/>
        <v>0</v>
      </c>
      <c r="M710" s="1290">
        <f t="shared" si="195"/>
        <v>0</v>
      </c>
      <c r="R710" s="282"/>
      <c r="S710" s="282"/>
      <c r="T710" s="282"/>
      <c r="U710" s="282"/>
      <c r="V710" s="282"/>
      <c r="W710" s="282"/>
      <c r="X710" s="282"/>
      <c r="Y710" s="282"/>
      <c r="Z710" s="282"/>
      <c r="AA710" s="282"/>
    </row>
    <row r="711" spans="1:27" s="428" customFormat="1" outlineLevel="2" x14ac:dyDescent="0.25">
      <c r="A711" s="276">
        <f>ROW()</f>
        <v>711</v>
      </c>
      <c r="B711" s="758" t="str">
        <f>$B$262</f>
        <v>Grade Level Teacher</v>
      </c>
      <c r="C711" s="560"/>
      <c r="D711" s="429"/>
      <c r="G711" s="1290">
        <f t="shared" si="195"/>
        <v>0</v>
      </c>
      <c r="H711" s="1290">
        <f t="shared" si="195"/>
        <v>0</v>
      </c>
      <c r="I711" s="1290">
        <f t="shared" si="195"/>
        <v>0</v>
      </c>
      <c r="J711" s="1290">
        <f t="shared" si="195"/>
        <v>0</v>
      </c>
      <c r="K711" s="1290">
        <f t="shared" si="195"/>
        <v>0</v>
      </c>
      <c r="L711" s="1290">
        <f t="shared" si="195"/>
        <v>0</v>
      </c>
      <c r="M711" s="1290">
        <f t="shared" si="195"/>
        <v>0</v>
      </c>
      <c r="R711" s="282"/>
      <c r="S711" s="282"/>
      <c r="T711" s="282"/>
      <c r="U711" s="282"/>
      <c r="V711" s="282"/>
      <c r="W711" s="282"/>
      <c r="X711" s="282"/>
      <c r="Y711" s="282"/>
      <c r="Z711" s="282"/>
      <c r="AA711" s="282"/>
    </row>
    <row r="712" spans="1:27" s="428" customFormat="1" outlineLevel="2" x14ac:dyDescent="0.25">
      <c r="A712" s="276">
        <f>ROW()</f>
        <v>712</v>
      </c>
      <c r="B712" s="758" t="str">
        <f>$B$263</f>
        <v>Grade Level Teacher</v>
      </c>
      <c r="C712" s="560"/>
      <c r="D712" s="429"/>
      <c r="G712" s="1290">
        <f t="shared" si="195"/>
        <v>0</v>
      </c>
      <c r="H712" s="1290">
        <f t="shared" si="195"/>
        <v>0</v>
      </c>
      <c r="I712" s="1290">
        <f t="shared" si="195"/>
        <v>0</v>
      </c>
      <c r="J712" s="1290">
        <f t="shared" si="195"/>
        <v>0</v>
      </c>
      <c r="K712" s="1290">
        <f t="shared" si="195"/>
        <v>0</v>
      </c>
      <c r="L712" s="1290">
        <f t="shared" si="195"/>
        <v>0</v>
      </c>
      <c r="M712" s="1290">
        <f t="shared" si="195"/>
        <v>0</v>
      </c>
      <c r="Q712" s="282"/>
      <c r="R712" s="282"/>
      <c r="S712" s="282"/>
      <c r="T712" s="282"/>
      <c r="U712" s="282"/>
      <c r="V712" s="282"/>
      <c r="W712" s="282"/>
      <c r="X712" s="282"/>
      <c r="Y712" s="282"/>
      <c r="Z712" s="282"/>
      <c r="AA712" s="282"/>
    </row>
    <row r="713" spans="1:27" s="428" customFormat="1" outlineLevel="2" x14ac:dyDescent="0.25">
      <c r="A713" s="276">
        <f>ROW()</f>
        <v>713</v>
      </c>
      <c r="B713" s="758" t="str">
        <f>$B$264</f>
        <v>Grade Level Teacher</v>
      </c>
      <c r="C713" s="560"/>
      <c r="D713" s="429"/>
      <c r="G713" s="1290">
        <f t="shared" si="195"/>
        <v>0</v>
      </c>
      <c r="H713" s="1290">
        <f t="shared" si="195"/>
        <v>0</v>
      </c>
      <c r="I713" s="1290">
        <f t="shared" si="195"/>
        <v>0</v>
      </c>
      <c r="J713" s="1290">
        <f t="shared" si="195"/>
        <v>0</v>
      </c>
      <c r="K713" s="1290">
        <f t="shared" si="195"/>
        <v>0</v>
      </c>
      <c r="L713" s="1290">
        <f t="shared" si="195"/>
        <v>0</v>
      </c>
      <c r="M713" s="1290">
        <f t="shared" si="195"/>
        <v>0</v>
      </c>
      <c r="Q713" s="282"/>
      <c r="R713" s="282"/>
      <c r="S713" s="282"/>
      <c r="T713" s="282"/>
      <c r="U713" s="282"/>
      <c r="V713" s="282"/>
      <c r="W713" s="282"/>
      <c r="X713" s="282"/>
      <c r="Y713" s="282"/>
      <c r="Z713" s="282"/>
      <c r="AA713" s="282"/>
    </row>
    <row r="714" spans="1:27" s="428" customFormat="1" outlineLevel="2" x14ac:dyDescent="0.25">
      <c r="A714" s="276">
        <f>ROW()</f>
        <v>714</v>
      </c>
      <c r="B714" s="758" t="str">
        <f>$B$265</f>
        <v>Grade Level Teacher</v>
      </c>
      <c r="C714" s="560"/>
      <c r="D714" s="429"/>
      <c r="G714" s="1290">
        <f t="shared" si="195"/>
        <v>0</v>
      </c>
      <c r="H714" s="1290">
        <f t="shared" si="195"/>
        <v>0</v>
      </c>
      <c r="I714" s="1290">
        <f t="shared" si="195"/>
        <v>0</v>
      </c>
      <c r="J714" s="1290">
        <f t="shared" si="195"/>
        <v>0</v>
      </c>
      <c r="K714" s="1290">
        <f t="shared" si="195"/>
        <v>0</v>
      </c>
      <c r="L714" s="1290">
        <f t="shared" si="195"/>
        <v>0</v>
      </c>
      <c r="M714" s="1290">
        <f t="shared" si="195"/>
        <v>0</v>
      </c>
      <c r="Q714" s="282"/>
      <c r="R714" s="282"/>
      <c r="S714" s="282"/>
      <c r="T714" s="282"/>
      <c r="U714" s="282"/>
      <c r="V714" s="282"/>
      <c r="W714" s="282"/>
      <c r="X714" s="282"/>
      <c r="Y714" s="282"/>
      <c r="Z714" s="282"/>
      <c r="AA714" s="282"/>
    </row>
    <row r="715" spans="1:27" s="431" customFormat="1" outlineLevel="2" x14ac:dyDescent="0.25">
      <c r="A715" s="276">
        <f>ROW()</f>
        <v>715</v>
      </c>
      <c r="B715" s="428"/>
      <c r="C715" s="561"/>
      <c r="D715" s="428"/>
      <c r="G715" s="1290"/>
      <c r="H715" s="1290"/>
      <c r="I715" s="1290"/>
      <c r="J715" s="1290"/>
      <c r="K715" s="1290"/>
      <c r="L715" s="1290"/>
      <c r="M715" s="1290"/>
      <c r="Q715" s="282"/>
      <c r="R715" s="282"/>
      <c r="S715" s="282"/>
      <c r="T715" s="282"/>
      <c r="U715" s="282"/>
      <c r="V715" s="282"/>
      <c r="W715" s="282"/>
      <c r="X715" s="282"/>
      <c r="Y715" s="282"/>
      <c r="Z715" s="282"/>
      <c r="AA715" s="282"/>
    </row>
    <row r="716" spans="1:27" s="431" customFormat="1" outlineLevel="2" x14ac:dyDescent="0.25">
      <c r="A716" s="276">
        <f>ROW()</f>
        <v>716</v>
      </c>
      <c r="B716" s="701" t="s">
        <v>100</v>
      </c>
      <c r="C716" s="733"/>
      <c r="D716" s="701"/>
      <c r="E716" s="750"/>
      <c r="F716" s="750"/>
      <c r="G716" s="1291">
        <f t="shared" ref="G716:M716" si="196">SUM(G609:G714)</f>
        <v>0</v>
      </c>
      <c r="H716" s="1291">
        <f t="shared" si="196"/>
        <v>43612.800000000003</v>
      </c>
      <c r="I716" s="1291">
        <f t="shared" si="196"/>
        <v>85542.324000000022</v>
      </c>
      <c r="J716" s="1291">
        <f t="shared" si="196"/>
        <v>118404.92720000005</v>
      </c>
      <c r="K716" s="1291">
        <f t="shared" si="196"/>
        <v>152629.92190600006</v>
      </c>
      <c r="L716" s="1291">
        <f t="shared" si="196"/>
        <v>176440.38859965003</v>
      </c>
      <c r="M716" s="1291">
        <f t="shared" si="196"/>
        <v>192773.94690423549</v>
      </c>
      <c r="Q716" s="282"/>
      <c r="R716" s="282"/>
      <c r="S716" s="282"/>
      <c r="T716" s="282"/>
      <c r="U716" s="282"/>
      <c r="V716" s="282"/>
      <c r="W716" s="282"/>
      <c r="X716" s="282"/>
      <c r="Y716" s="282"/>
      <c r="Z716" s="282"/>
      <c r="AA716" s="282"/>
    </row>
    <row r="717" spans="1:27" s="431" customFormat="1" outlineLevel="2" x14ac:dyDescent="0.25">
      <c r="A717" s="276">
        <f>ROW()</f>
        <v>717</v>
      </c>
      <c r="B717" s="428"/>
      <c r="C717" s="561"/>
      <c r="D717" s="428"/>
      <c r="G717" s="1290"/>
      <c r="H717" s="1290"/>
      <c r="I717" s="1290"/>
      <c r="J717" s="1290"/>
      <c r="K717" s="1290"/>
      <c r="L717" s="1290"/>
      <c r="M717" s="1290"/>
      <c r="Q717" s="282"/>
      <c r="R717" s="282"/>
      <c r="S717" s="282"/>
      <c r="T717" s="282"/>
      <c r="U717" s="282"/>
      <c r="V717" s="282"/>
      <c r="W717" s="282"/>
      <c r="X717" s="282"/>
      <c r="Y717" s="282"/>
      <c r="Z717" s="282"/>
      <c r="AA717" s="282"/>
    </row>
    <row r="718" spans="1:27" s="431" customFormat="1" outlineLevel="2" x14ac:dyDescent="0.25">
      <c r="A718" s="276">
        <f>ROW()</f>
        <v>718</v>
      </c>
      <c r="B718" s="428"/>
      <c r="C718" s="561"/>
      <c r="D718" s="428"/>
      <c r="G718" s="1290"/>
      <c r="H718" s="1290"/>
      <c r="I718" s="1290"/>
      <c r="J718" s="1290"/>
      <c r="K718" s="1290"/>
      <c r="L718" s="1290"/>
      <c r="M718" s="1290"/>
      <c r="Q718" s="282"/>
      <c r="R718" s="282"/>
      <c r="S718" s="282"/>
      <c r="T718" s="282"/>
      <c r="U718" s="282"/>
      <c r="V718" s="282"/>
      <c r="W718" s="282"/>
      <c r="X718" s="282"/>
      <c r="Y718" s="282"/>
      <c r="Z718" s="282"/>
      <c r="AA718" s="282"/>
    </row>
    <row r="719" spans="1:27" s="431" customFormat="1" outlineLevel="1" x14ac:dyDescent="0.25">
      <c r="A719" s="276">
        <f>ROW()</f>
        <v>719</v>
      </c>
      <c r="B719" s="748" t="s">
        <v>164</v>
      </c>
      <c r="C719" s="749"/>
      <c r="D719" s="748"/>
      <c r="E719" s="750"/>
      <c r="F719" s="750"/>
      <c r="G719" s="1292">
        <f t="shared" ref="G719:M719" si="197">G716+G607+G583</f>
        <v>0</v>
      </c>
      <c r="H719" s="1292">
        <f t="shared" si="197"/>
        <v>70772.800000000003</v>
      </c>
      <c r="I719" s="1292">
        <f t="shared" si="197"/>
        <v>127358.88200000003</v>
      </c>
      <c r="J719" s="1292">
        <f t="shared" si="197"/>
        <v>175048.28782000006</v>
      </c>
      <c r="K719" s="1292">
        <f t="shared" si="197"/>
        <v>224517.59014580009</v>
      </c>
      <c r="L719" s="1292">
        <f t="shared" si="197"/>
        <v>257069.58873043003</v>
      </c>
      <c r="M719" s="1292">
        <f t="shared" si="197"/>
        <v>282715.64632176381</v>
      </c>
      <c r="Q719" s="282"/>
      <c r="R719" s="282"/>
      <c r="S719" s="282"/>
      <c r="T719" s="282"/>
      <c r="U719" s="282"/>
      <c r="V719" s="282"/>
      <c r="W719" s="282"/>
      <c r="X719" s="282"/>
      <c r="Y719" s="282"/>
      <c r="Z719" s="282"/>
      <c r="AA719" s="282"/>
    </row>
    <row r="720" spans="1:27" s="428" customFormat="1" outlineLevel="1" x14ac:dyDescent="0.25">
      <c r="A720" s="276">
        <f t="shared" ref="A720:A734" si="198">ROW(A265)</f>
        <v>265</v>
      </c>
      <c r="C720" s="560"/>
      <c r="D720" s="429"/>
      <c r="G720" s="168"/>
      <c r="H720" s="1054"/>
      <c r="I720" s="1054"/>
      <c r="J720" s="1054"/>
      <c r="K720" s="1054"/>
      <c r="L720" s="1054"/>
      <c r="M720" s="1054"/>
      <c r="Q720" s="282"/>
      <c r="R720" s="282"/>
      <c r="S720" s="282"/>
      <c r="T720" s="282"/>
      <c r="U720" s="282"/>
      <c r="V720" s="282"/>
      <c r="W720" s="282"/>
      <c r="X720" s="282"/>
      <c r="Y720" s="282"/>
      <c r="Z720" s="282"/>
      <c r="AA720" s="282"/>
    </row>
    <row r="721" spans="1:27" s="428" customFormat="1" ht="18.75" outlineLevel="2" x14ac:dyDescent="0.3">
      <c r="A721" s="276">
        <f t="shared" si="198"/>
        <v>266</v>
      </c>
      <c r="B721" s="1352" t="s">
        <v>167</v>
      </c>
      <c r="C721" s="1353"/>
      <c r="D721" s="1354"/>
      <c r="E721" s="1355"/>
      <c r="F721" s="1355"/>
      <c r="G721" s="1356"/>
      <c r="H721" s="1356"/>
      <c r="I721" s="1356"/>
      <c r="J721" s="1356"/>
      <c r="K721" s="1356"/>
      <c r="L721" s="1356"/>
      <c r="M721" s="1356"/>
      <c r="Q721" s="282"/>
      <c r="R721" s="282"/>
      <c r="S721" s="282"/>
      <c r="T721" s="282"/>
      <c r="U721" s="282"/>
      <c r="V721" s="282"/>
      <c r="W721" s="282"/>
      <c r="X721" s="282"/>
      <c r="Y721" s="282"/>
      <c r="Z721" s="282"/>
      <c r="AA721" s="282"/>
    </row>
    <row r="722" spans="1:27" s="428" customFormat="1" outlineLevel="2" x14ac:dyDescent="0.25">
      <c r="A722" s="276">
        <f t="shared" si="198"/>
        <v>267</v>
      </c>
      <c r="C722" s="560"/>
      <c r="D722" s="429"/>
      <c r="G722" s="1054"/>
      <c r="H722" s="1054"/>
      <c r="I722" s="1054"/>
      <c r="J722" s="1054"/>
      <c r="K722" s="1054"/>
      <c r="L722" s="1054"/>
      <c r="M722" s="1054"/>
      <c r="Q722" s="282"/>
      <c r="R722" s="282"/>
      <c r="S722" s="282"/>
      <c r="T722" s="282"/>
      <c r="U722" s="282"/>
      <c r="V722" s="282"/>
      <c r="W722" s="282"/>
      <c r="X722" s="282"/>
      <c r="Y722" s="282"/>
      <c r="Z722" s="282"/>
      <c r="AA722" s="282"/>
    </row>
    <row r="723" spans="1:27" s="428" customFormat="1" outlineLevel="2" x14ac:dyDescent="0.25">
      <c r="A723" s="276">
        <f t="shared" si="198"/>
        <v>268</v>
      </c>
      <c r="C723" s="560"/>
      <c r="D723" s="429"/>
      <c r="G723" s="1054"/>
      <c r="H723" s="1054"/>
      <c r="I723" s="1054"/>
      <c r="J723" s="1054"/>
      <c r="K723" s="1054"/>
      <c r="L723" s="1054"/>
      <c r="M723" s="1054"/>
      <c r="Q723" s="282"/>
      <c r="R723" s="282"/>
      <c r="S723" s="282"/>
      <c r="T723" s="282"/>
      <c r="U723" s="282"/>
      <c r="V723" s="282"/>
      <c r="W723" s="282"/>
      <c r="X723" s="282"/>
      <c r="Y723" s="282"/>
      <c r="Z723" s="282"/>
      <c r="AA723" s="282"/>
    </row>
    <row r="724" spans="1:27" s="431" customFormat="1" outlineLevel="2" x14ac:dyDescent="0.25">
      <c r="A724" s="276">
        <f t="shared" si="198"/>
        <v>269</v>
      </c>
      <c r="B724" s="754" t="str">
        <f>$B$113</f>
        <v>Administrators</v>
      </c>
      <c r="C724" s="760"/>
      <c r="D724" s="757"/>
      <c r="E724" s="761"/>
      <c r="F724" s="761"/>
      <c r="G724" s="1295"/>
      <c r="H724" s="1295"/>
      <c r="I724" s="1295"/>
      <c r="J724" s="1295"/>
      <c r="K724" s="1295"/>
      <c r="L724" s="1295"/>
      <c r="M724" s="1295"/>
      <c r="Q724" s="282"/>
      <c r="R724" s="282"/>
      <c r="S724" s="282"/>
      <c r="T724" s="282"/>
      <c r="U724" s="282"/>
      <c r="V724" s="282"/>
      <c r="W724" s="282"/>
      <c r="X724" s="282"/>
      <c r="Y724" s="282"/>
      <c r="Z724" s="282"/>
      <c r="AA724" s="282"/>
    </row>
    <row r="725" spans="1:27" s="431" customFormat="1" outlineLevel="2" x14ac:dyDescent="0.25">
      <c r="A725" s="276">
        <f t="shared" si="198"/>
        <v>270</v>
      </c>
      <c r="B725" s="428" t="str">
        <f>$B$114</f>
        <v>Principal</v>
      </c>
      <c r="C725" s="561"/>
      <c r="D725" s="428"/>
      <c r="G725" s="1290">
        <f t="shared" ref="G725:M729" si="199">G273*$C$90</f>
        <v>0</v>
      </c>
      <c r="H725" s="1290">
        <f t="shared" si="199"/>
        <v>14625</v>
      </c>
      <c r="I725" s="1290">
        <f t="shared" si="199"/>
        <v>15063.749999999998</v>
      </c>
      <c r="J725" s="1290">
        <f t="shared" si="199"/>
        <v>15515.662499999999</v>
      </c>
      <c r="K725" s="1290">
        <f t="shared" si="199"/>
        <v>15981.132374999999</v>
      </c>
      <c r="L725" s="1290">
        <f t="shared" si="199"/>
        <v>16460.566346249998</v>
      </c>
      <c r="M725" s="1290">
        <f t="shared" si="199"/>
        <v>16954.383336637497</v>
      </c>
      <c r="Q725" s="282"/>
      <c r="R725" s="282"/>
      <c r="S725" s="1366">
        <f t="shared" ref="S725:S734" si="200">IFERROR(H725/H273,0)</f>
        <v>0.14624999999999999</v>
      </c>
      <c r="T725" s="1366">
        <f t="shared" ref="T725:T734" si="201">IFERROR(I725/I273,0)</f>
        <v>0.14624999999999999</v>
      </c>
      <c r="U725" s="1366">
        <f t="shared" ref="U725:U734" si="202">IFERROR(J725/J273,0)</f>
        <v>0.14624999999999999</v>
      </c>
      <c r="V725" s="1366">
        <f t="shared" ref="V725:V734" si="203">IFERROR(K725/K273,0)</f>
        <v>0.14624999999999999</v>
      </c>
      <c r="W725" s="1366">
        <f t="shared" ref="W725:X734" si="204">IFERROR(L725/L273,0)</f>
        <v>0.14624999999999999</v>
      </c>
      <c r="X725" s="1366">
        <f t="shared" si="204"/>
        <v>0.14624999999999999</v>
      </c>
      <c r="Y725" s="282"/>
      <c r="Z725" s="282"/>
      <c r="AA725" s="282"/>
    </row>
    <row r="726" spans="1:27" s="431" customFormat="1" outlineLevel="2" x14ac:dyDescent="0.25">
      <c r="A726" s="276">
        <f t="shared" si="198"/>
        <v>271</v>
      </c>
      <c r="B726" s="428" t="str">
        <f>$B$115</f>
        <v>Assistant Principal</v>
      </c>
      <c r="C726" s="561"/>
      <c r="D726" s="428"/>
      <c r="G726" s="1290">
        <f t="shared" si="199"/>
        <v>0</v>
      </c>
      <c r="H726" s="1290">
        <f t="shared" si="199"/>
        <v>0</v>
      </c>
      <c r="I726" s="1290">
        <f t="shared" si="199"/>
        <v>10544.625</v>
      </c>
      <c r="J726" s="1290">
        <f t="shared" si="199"/>
        <v>10860.963749999999</v>
      </c>
      <c r="K726" s="1290">
        <f t="shared" si="199"/>
        <v>11186.7926625</v>
      </c>
      <c r="L726" s="1290">
        <f t="shared" si="199"/>
        <v>11522.396442374999</v>
      </c>
      <c r="M726" s="1290">
        <f t="shared" si="199"/>
        <v>11868.068335646247</v>
      </c>
      <c r="Q726" s="282"/>
      <c r="R726" s="282"/>
      <c r="S726" s="1366">
        <f t="shared" si="200"/>
        <v>0</v>
      </c>
      <c r="T726" s="1366">
        <f t="shared" si="201"/>
        <v>0.14624999999999999</v>
      </c>
      <c r="U726" s="1366">
        <f t="shared" si="202"/>
        <v>0.14624999999999999</v>
      </c>
      <c r="V726" s="1366">
        <f t="shared" si="203"/>
        <v>0.14624999999999999</v>
      </c>
      <c r="W726" s="1366">
        <f t="shared" si="204"/>
        <v>0.14624999999999999</v>
      </c>
      <c r="X726" s="1366">
        <f t="shared" si="204"/>
        <v>0.14624999999999999</v>
      </c>
      <c r="Y726" s="282"/>
      <c r="Z726" s="282"/>
      <c r="AA726" s="282"/>
    </row>
    <row r="727" spans="1:27" s="431" customFormat="1" outlineLevel="2" x14ac:dyDescent="0.25">
      <c r="A727" s="276">
        <f t="shared" si="198"/>
        <v>272</v>
      </c>
      <c r="B727" s="428" t="str">
        <f>$B$116</f>
        <v>Assistant Principal</v>
      </c>
      <c r="C727" s="561"/>
      <c r="D727" s="428"/>
      <c r="G727" s="1290">
        <f t="shared" si="199"/>
        <v>0</v>
      </c>
      <c r="H727" s="1290">
        <f t="shared" si="199"/>
        <v>0</v>
      </c>
      <c r="I727" s="1290">
        <f t="shared" si="199"/>
        <v>0</v>
      </c>
      <c r="J727" s="1290">
        <f t="shared" si="199"/>
        <v>0</v>
      </c>
      <c r="K727" s="1290">
        <f t="shared" si="199"/>
        <v>11186.7926625</v>
      </c>
      <c r="L727" s="1290">
        <f t="shared" si="199"/>
        <v>11522.396442374999</v>
      </c>
      <c r="M727" s="1290">
        <f t="shared" si="199"/>
        <v>11868.068335646247</v>
      </c>
      <c r="Q727" s="282"/>
      <c r="R727" s="282"/>
      <c r="S727" s="1366">
        <f t="shared" si="200"/>
        <v>0</v>
      </c>
      <c r="T727" s="1366">
        <f t="shared" si="201"/>
        <v>0</v>
      </c>
      <c r="U727" s="1366">
        <f t="shared" si="202"/>
        <v>0</v>
      </c>
      <c r="V727" s="1366">
        <f t="shared" si="203"/>
        <v>0.14624999999999999</v>
      </c>
      <c r="W727" s="1366">
        <f t="shared" si="204"/>
        <v>0.14624999999999999</v>
      </c>
      <c r="X727" s="1366">
        <f t="shared" si="204"/>
        <v>0.14624999999999999</v>
      </c>
      <c r="Y727" s="282"/>
      <c r="Z727" s="282"/>
      <c r="AA727" s="282"/>
    </row>
    <row r="728" spans="1:27" s="431" customFormat="1" outlineLevel="2" x14ac:dyDescent="0.25">
      <c r="A728" s="276">
        <f t="shared" si="198"/>
        <v>273</v>
      </c>
      <c r="B728" s="428" t="str">
        <f>$B$117</f>
        <v>Admin 4</v>
      </c>
      <c r="C728" s="561"/>
      <c r="D728" s="428"/>
      <c r="G728" s="1290">
        <f t="shared" si="199"/>
        <v>0</v>
      </c>
      <c r="H728" s="1290">
        <f t="shared" si="199"/>
        <v>0</v>
      </c>
      <c r="I728" s="1290">
        <f t="shared" si="199"/>
        <v>0</v>
      </c>
      <c r="J728" s="1290">
        <f t="shared" si="199"/>
        <v>0</v>
      </c>
      <c r="K728" s="1290">
        <f t="shared" si="199"/>
        <v>0</v>
      </c>
      <c r="L728" s="1290">
        <f t="shared" si="199"/>
        <v>0</v>
      </c>
      <c r="M728" s="1290">
        <f t="shared" si="199"/>
        <v>0</v>
      </c>
      <c r="Q728" s="282"/>
      <c r="R728" s="282"/>
      <c r="S728" s="1366">
        <f t="shared" si="200"/>
        <v>0</v>
      </c>
      <c r="T728" s="1366">
        <f t="shared" si="201"/>
        <v>0</v>
      </c>
      <c r="U728" s="1366">
        <f t="shared" si="202"/>
        <v>0</v>
      </c>
      <c r="V728" s="1366">
        <f t="shared" si="203"/>
        <v>0</v>
      </c>
      <c r="W728" s="1366">
        <f t="shared" si="204"/>
        <v>0</v>
      </c>
      <c r="X728" s="1366">
        <f t="shared" si="204"/>
        <v>0</v>
      </c>
      <c r="Y728" s="282"/>
      <c r="Z728" s="282"/>
      <c r="AA728" s="282"/>
    </row>
    <row r="729" spans="1:27" s="431" customFormat="1" outlineLevel="2" x14ac:dyDescent="0.25">
      <c r="A729" s="276">
        <f t="shared" si="198"/>
        <v>274</v>
      </c>
      <c r="B729" s="428" t="str">
        <f>$B$118</f>
        <v>Admin 5</v>
      </c>
      <c r="C729" s="561"/>
      <c r="D729" s="428"/>
      <c r="G729" s="1290">
        <f t="shared" si="199"/>
        <v>0</v>
      </c>
      <c r="H729" s="1290">
        <f t="shared" si="199"/>
        <v>0</v>
      </c>
      <c r="I729" s="1290">
        <f t="shared" si="199"/>
        <v>0</v>
      </c>
      <c r="J729" s="1290">
        <f t="shared" si="199"/>
        <v>0</v>
      </c>
      <c r="K729" s="1290">
        <f t="shared" si="199"/>
        <v>0</v>
      </c>
      <c r="L729" s="1290">
        <f t="shared" si="199"/>
        <v>0</v>
      </c>
      <c r="M729" s="1290">
        <f t="shared" si="199"/>
        <v>0</v>
      </c>
      <c r="Q729" s="282"/>
      <c r="R729" s="282"/>
      <c r="S729" s="1366">
        <f t="shared" si="200"/>
        <v>0</v>
      </c>
      <c r="T729" s="1366">
        <f t="shared" si="201"/>
        <v>0</v>
      </c>
      <c r="U729" s="1366">
        <f t="shared" si="202"/>
        <v>0</v>
      </c>
      <c r="V729" s="1366">
        <f t="shared" si="203"/>
        <v>0</v>
      </c>
      <c r="W729" s="1366">
        <f t="shared" si="204"/>
        <v>0</v>
      </c>
      <c r="X729" s="1366">
        <f t="shared" si="204"/>
        <v>0</v>
      </c>
      <c r="Y729" s="282"/>
      <c r="Z729" s="282"/>
      <c r="AA729" s="282"/>
    </row>
    <row r="730" spans="1:27" s="431" customFormat="1" outlineLevel="2" x14ac:dyDescent="0.25">
      <c r="A730" s="276">
        <f t="shared" si="198"/>
        <v>275</v>
      </c>
      <c r="B730" s="428"/>
      <c r="C730" s="561"/>
      <c r="D730" s="428"/>
      <c r="G730" s="141"/>
      <c r="H730" s="1290"/>
      <c r="I730" s="1290"/>
      <c r="J730" s="1290"/>
      <c r="K730" s="1290"/>
      <c r="L730" s="1290"/>
      <c r="M730" s="1290"/>
      <c r="Q730" s="282"/>
      <c r="R730" s="282"/>
      <c r="S730" s="1366">
        <f t="shared" si="200"/>
        <v>0</v>
      </c>
      <c r="T730" s="1366">
        <f t="shared" si="201"/>
        <v>0</v>
      </c>
      <c r="U730" s="1366">
        <f t="shared" si="202"/>
        <v>0</v>
      </c>
      <c r="V730" s="1366">
        <f t="shared" si="203"/>
        <v>0</v>
      </c>
      <c r="W730" s="1366">
        <f t="shared" si="204"/>
        <v>0</v>
      </c>
      <c r="X730" s="1366">
        <f t="shared" si="204"/>
        <v>0</v>
      </c>
      <c r="Y730" s="282"/>
      <c r="Z730" s="282"/>
      <c r="AA730" s="282"/>
    </row>
    <row r="731" spans="1:27" s="431" customFormat="1" outlineLevel="2" x14ac:dyDescent="0.25">
      <c r="A731" s="276">
        <f t="shared" si="198"/>
        <v>276</v>
      </c>
      <c r="B731" s="754" t="str">
        <f>$B$122</f>
        <v>Office Staff</v>
      </c>
      <c r="C731" s="760"/>
      <c r="D731" s="757"/>
      <c r="E731" s="761"/>
      <c r="F731" s="761"/>
      <c r="G731" s="1349"/>
      <c r="H731" s="1295"/>
      <c r="I731" s="1295"/>
      <c r="J731" s="1295"/>
      <c r="K731" s="1295"/>
      <c r="L731" s="1295"/>
      <c r="M731" s="1295"/>
      <c r="Q731" s="282"/>
      <c r="R731" s="282"/>
      <c r="S731" s="1366">
        <f t="shared" si="200"/>
        <v>0</v>
      </c>
      <c r="T731" s="1366">
        <f t="shared" si="201"/>
        <v>0</v>
      </c>
      <c r="U731" s="1366">
        <f t="shared" si="202"/>
        <v>0</v>
      </c>
      <c r="V731" s="1366">
        <f t="shared" si="203"/>
        <v>0</v>
      </c>
      <c r="W731" s="1366">
        <f t="shared" si="204"/>
        <v>0</v>
      </c>
      <c r="X731" s="1366">
        <f t="shared" si="204"/>
        <v>0</v>
      </c>
      <c r="Y731" s="282"/>
      <c r="Z731" s="282"/>
      <c r="AA731" s="282"/>
    </row>
    <row r="732" spans="1:27" s="431" customFormat="1" outlineLevel="2" x14ac:dyDescent="0.25">
      <c r="A732" s="276">
        <f t="shared" si="198"/>
        <v>277</v>
      </c>
      <c r="B732" s="428" t="str">
        <f>$B$123</f>
        <v>Office Manager</v>
      </c>
      <c r="C732" s="561"/>
      <c r="D732" s="428"/>
      <c r="G732" s="1290">
        <f t="shared" ref="G732:M734" si="205">G280*$C$91</f>
        <v>0</v>
      </c>
      <c r="H732" s="1290">
        <f t="shared" si="205"/>
        <v>6581.25</v>
      </c>
      <c r="I732" s="1290">
        <f t="shared" si="205"/>
        <v>6778.6875</v>
      </c>
      <c r="J732" s="1290">
        <f t="shared" si="205"/>
        <v>6982.0481249999993</v>
      </c>
      <c r="K732" s="1290">
        <f t="shared" si="205"/>
        <v>7191.5095687499997</v>
      </c>
      <c r="L732" s="1290">
        <f t="shared" si="205"/>
        <v>7407.2548558124981</v>
      </c>
      <c r="M732" s="1290">
        <f t="shared" si="205"/>
        <v>7629.4725014868736</v>
      </c>
      <c r="Q732" s="282"/>
      <c r="R732" s="282"/>
      <c r="S732" s="1366">
        <f t="shared" si="200"/>
        <v>0.14624999999999999</v>
      </c>
      <c r="T732" s="1366">
        <f t="shared" si="201"/>
        <v>0.14624999999999999</v>
      </c>
      <c r="U732" s="1366">
        <f t="shared" si="202"/>
        <v>0.14624999999999999</v>
      </c>
      <c r="V732" s="1366">
        <f t="shared" si="203"/>
        <v>0.14624999999999999</v>
      </c>
      <c r="W732" s="1366">
        <f t="shared" si="204"/>
        <v>0.14624999999999999</v>
      </c>
      <c r="X732" s="1366">
        <f t="shared" si="204"/>
        <v>0.14624999999999999</v>
      </c>
      <c r="Y732" s="282"/>
      <c r="Z732" s="282"/>
      <c r="AA732" s="282"/>
    </row>
    <row r="733" spans="1:27" s="431" customFormat="1" outlineLevel="2" x14ac:dyDescent="0.25">
      <c r="A733" s="276">
        <f t="shared" si="198"/>
        <v>278</v>
      </c>
      <c r="B733" s="428" t="str">
        <f>$B$124</f>
        <v>Registrar</v>
      </c>
      <c r="C733" s="561"/>
      <c r="D733" s="428"/>
      <c r="G733" s="1290">
        <f t="shared" si="205"/>
        <v>0</v>
      </c>
      <c r="H733" s="1290">
        <f t="shared" si="205"/>
        <v>0</v>
      </c>
      <c r="I733" s="1290">
        <f t="shared" si="205"/>
        <v>0</v>
      </c>
      <c r="J733" s="1290">
        <f t="shared" si="205"/>
        <v>6206.2649999999994</v>
      </c>
      <c r="K733" s="1290">
        <f t="shared" si="205"/>
        <v>6392.4529499999999</v>
      </c>
      <c r="L733" s="1290">
        <f t="shared" si="205"/>
        <v>6584.2265384999992</v>
      </c>
      <c r="M733" s="1290">
        <f t="shared" si="205"/>
        <v>6781.753334654999</v>
      </c>
      <c r="Q733" s="282"/>
      <c r="R733" s="282"/>
      <c r="S733" s="1366">
        <f t="shared" si="200"/>
        <v>0</v>
      </c>
      <c r="T733" s="1366">
        <f t="shared" si="201"/>
        <v>0</v>
      </c>
      <c r="U733" s="1366">
        <f t="shared" si="202"/>
        <v>0.14624999999999999</v>
      </c>
      <c r="V733" s="1366">
        <f t="shared" si="203"/>
        <v>0.14624999999999999</v>
      </c>
      <c r="W733" s="1366">
        <f t="shared" si="204"/>
        <v>0.14624999999999999</v>
      </c>
      <c r="X733" s="1366">
        <f t="shared" si="204"/>
        <v>0.14624999999999999</v>
      </c>
      <c r="Y733" s="282"/>
      <c r="Z733" s="282"/>
      <c r="AA733" s="282"/>
    </row>
    <row r="734" spans="1:27" s="431" customFormat="1" outlineLevel="2" x14ac:dyDescent="0.25">
      <c r="A734" s="276">
        <f t="shared" si="198"/>
        <v>279</v>
      </c>
      <c r="B734" s="428">
        <f>$B$125</f>
        <v>0</v>
      </c>
      <c r="C734" s="561"/>
      <c r="D734" s="428"/>
      <c r="G734" s="1290">
        <f t="shared" si="205"/>
        <v>0</v>
      </c>
      <c r="H734" s="1290">
        <f t="shared" si="205"/>
        <v>0</v>
      </c>
      <c r="I734" s="1290">
        <f t="shared" si="205"/>
        <v>0</v>
      </c>
      <c r="J734" s="1290">
        <f t="shared" si="205"/>
        <v>0</v>
      </c>
      <c r="K734" s="1290">
        <f t="shared" si="205"/>
        <v>0</v>
      </c>
      <c r="L734" s="1290">
        <f t="shared" si="205"/>
        <v>0</v>
      </c>
      <c r="M734" s="1290">
        <f t="shared" si="205"/>
        <v>0</v>
      </c>
      <c r="Q734" s="282"/>
      <c r="R734" s="282"/>
      <c r="S734" s="1366">
        <f t="shared" si="200"/>
        <v>0</v>
      </c>
      <c r="T734" s="1366">
        <f t="shared" si="201"/>
        <v>0</v>
      </c>
      <c r="U734" s="1366">
        <f t="shared" si="202"/>
        <v>0</v>
      </c>
      <c r="V734" s="1366">
        <f t="shared" si="203"/>
        <v>0</v>
      </c>
      <c r="W734" s="1366">
        <f t="shared" si="204"/>
        <v>0</v>
      </c>
      <c r="X734" s="1366">
        <f t="shared" si="204"/>
        <v>0</v>
      </c>
      <c r="Y734" s="282"/>
      <c r="Z734" s="282"/>
      <c r="AA734" s="282"/>
    </row>
    <row r="735" spans="1:27" s="431" customFormat="1" outlineLevel="2" x14ac:dyDescent="0.25">
      <c r="A735" s="276">
        <f>ROW(A281)</f>
        <v>281</v>
      </c>
      <c r="B735" s="377"/>
      <c r="C735" s="561"/>
      <c r="D735" s="428"/>
      <c r="G735" s="1290"/>
      <c r="H735" s="1290"/>
      <c r="I735" s="1290"/>
      <c r="J735" s="1290"/>
      <c r="K735" s="1290"/>
      <c r="L735" s="1290"/>
      <c r="M735" s="1290"/>
      <c r="Q735" s="282"/>
      <c r="R735" s="282"/>
      <c r="S735" s="1366">
        <f t="shared" ref="S735:S737" si="206">IFERROR(H735/H283,0)</f>
        <v>0</v>
      </c>
      <c r="T735" s="1366">
        <f t="shared" ref="T735:T737" si="207">IFERROR(I735/I283,0)</f>
        <v>0</v>
      </c>
      <c r="U735" s="1366">
        <f t="shared" ref="U735:U737" si="208">IFERROR(J735/J283,0)</f>
        <v>0</v>
      </c>
      <c r="V735" s="1366">
        <f t="shared" ref="V735:V737" si="209">IFERROR(K735/K283,0)</f>
        <v>0</v>
      </c>
      <c r="W735" s="1366">
        <f t="shared" ref="W735:X737" si="210">IFERROR(L735/L283,0)</f>
        <v>0</v>
      </c>
      <c r="X735" s="1366">
        <f t="shared" si="210"/>
        <v>0</v>
      </c>
      <c r="Y735" s="282"/>
      <c r="Z735" s="282"/>
      <c r="AA735" s="282"/>
    </row>
    <row r="736" spans="1:27" s="431" customFormat="1" outlineLevel="2" x14ac:dyDescent="0.25">
      <c r="A736" s="276">
        <f>ROW(A282)</f>
        <v>282</v>
      </c>
      <c r="B736" s="701" t="str">
        <f>$B$128</f>
        <v>Total Administrators and Office Staff</v>
      </c>
      <c r="C736" s="733"/>
      <c r="D736" s="701"/>
      <c r="E736" s="750"/>
      <c r="F736" s="750"/>
      <c r="G736" s="1291">
        <f t="shared" ref="G736:M736" si="211">SUM(G725:G734)</f>
        <v>0</v>
      </c>
      <c r="H736" s="1291">
        <f t="shared" si="211"/>
        <v>21206.25</v>
      </c>
      <c r="I736" s="1291">
        <f t="shared" si="211"/>
        <v>32387.0625</v>
      </c>
      <c r="J736" s="1291">
        <f t="shared" si="211"/>
        <v>39564.939374999994</v>
      </c>
      <c r="K736" s="1291">
        <f t="shared" si="211"/>
        <v>51938.680218749992</v>
      </c>
      <c r="L736" s="1291">
        <f t="shared" si="211"/>
        <v>53496.840625312492</v>
      </c>
      <c r="M736" s="1291">
        <f t="shared" si="211"/>
        <v>55101.745844071862</v>
      </c>
      <c r="Q736" s="282"/>
      <c r="R736" s="282"/>
      <c r="S736" s="1366">
        <f>IFERROR(H736/H285,0)</f>
        <v>0.14624999999999999</v>
      </c>
      <c r="T736" s="1366">
        <f t="shared" ref="T736:X736" si="212">IFERROR(I736/I285,0)</f>
        <v>0.14624999999999999</v>
      </c>
      <c r="U736" s="1366">
        <f t="shared" si="212"/>
        <v>0.14624999999999999</v>
      </c>
      <c r="V736" s="1366">
        <f t="shared" si="212"/>
        <v>0.14624999999999996</v>
      </c>
      <c r="W736" s="1366">
        <f t="shared" si="212"/>
        <v>0.14624999999999999</v>
      </c>
      <c r="X736" s="1366">
        <f t="shared" si="212"/>
        <v>0.14624999999999999</v>
      </c>
      <c r="Y736" s="282"/>
      <c r="Z736" s="282"/>
      <c r="AA736" s="282"/>
    </row>
    <row r="737" spans="1:27" s="431" customFormat="1" outlineLevel="2" x14ac:dyDescent="0.25">
      <c r="A737" s="276"/>
      <c r="B737" s="377"/>
      <c r="C737" s="561"/>
      <c r="D737" s="428"/>
      <c r="G737" s="141"/>
      <c r="H737" s="1290"/>
      <c r="I737" s="1290"/>
      <c r="J737" s="1290">
        <f>+J736-J279</f>
        <v>13188.313124999997</v>
      </c>
      <c r="K737" s="1290"/>
      <c r="L737" s="1290"/>
      <c r="M737" s="1290"/>
      <c r="Q737" s="282"/>
      <c r="R737" s="282"/>
      <c r="S737" s="1366">
        <f t="shared" si="206"/>
        <v>0</v>
      </c>
      <c r="T737" s="1366">
        <f t="shared" si="207"/>
        <v>0</v>
      </c>
      <c r="U737" s="1366">
        <f t="shared" si="208"/>
        <v>4.8749999999999988E-2</v>
      </c>
      <c r="V737" s="1366">
        <f t="shared" si="209"/>
        <v>0</v>
      </c>
      <c r="W737" s="1366">
        <f t="shared" si="210"/>
        <v>0</v>
      </c>
      <c r="X737" s="1366">
        <f t="shared" si="210"/>
        <v>0</v>
      </c>
      <c r="Y737" s="282"/>
      <c r="Z737" s="282"/>
      <c r="AA737" s="282"/>
    </row>
    <row r="738" spans="1:27" s="431" customFormat="1" outlineLevel="2" x14ac:dyDescent="0.25">
      <c r="A738" s="276">
        <f>ROW(A287)</f>
        <v>287</v>
      </c>
      <c r="B738" s="1357" t="str">
        <f>$B$130</f>
        <v>Special Education (SPED) Teachers</v>
      </c>
      <c r="C738" s="1358"/>
      <c r="D738" s="1359"/>
      <c r="E738" s="1360"/>
      <c r="F738" s="1360"/>
      <c r="G738" s="1361"/>
      <c r="H738" s="1362"/>
      <c r="I738" s="1362"/>
      <c r="J738" s="1362"/>
      <c r="K738" s="1362"/>
      <c r="L738" s="1362"/>
      <c r="M738" s="1362"/>
      <c r="Q738" s="282"/>
      <c r="R738" s="282"/>
      <c r="S738" s="1366">
        <f t="shared" ref="S738" si="213">IFERROR(H738/H286,0)</f>
        <v>0</v>
      </c>
      <c r="T738" s="1366">
        <f t="shared" ref="T738" si="214">IFERROR(I738/I286,0)</f>
        <v>0</v>
      </c>
      <c r="U738" s="1366">
        <f t="shared" ref="U738" si="215">IFERROR(J738/J286,0)</f>
        <v>0</v>
      </c>
      <c r="V738" s="1366">
        <f t="shared" ref="V738" si="216">IFERROR(K738/K286,0)</f>
        <v>0</v>
      </c>
      <c r="W738" s="1366">
        <f t="shared" ref="W738:X738" si="217">IFERROR(L738/L286,0)</f>
        <v>0</v>
      </c>
      <c r="X738" s="1366">
        <f t="shared" si="217"/>
        <v>0</v>
      </c>
      <c r="Y738" s="1365"/>
      <c r="Z738" s="282"/>
      <c r="AA738" s="282"/>
    </row>
    <row r="739" spans="1:27" s="431" customFormat="1" outlineLevel="2" x14ac:dyDescent="0.25">
      <c r="A739" s="276">
        <f>ROW(A288)</f>
        <v>288</v>
      </c>
      <c r="B739" s="758" t="str">
        <f>$B288</f>
        <v>Special Education (SPED) Teacher</v>
      </c>
      <c r="C739" s="561"/>
      <c r="D739" s="428"/>
      <c r="G739" s="1290">
        <f t="shared" ref="G739:M747" si="218">G288*$C$90</f>
        <v>0</v>
      </c>
      <c r="H739" s="1290">
        <f t="shared" si="218"/>
        <v>6142.5</v>
      </c>
      <c r="I739" s="1290">
        <f t="shared" si="218"/>
        <v>6326.7749999999996</v>
      </c>
      <c r="J739" s="1290">
        <f t="shared" si="218"/>
        <v>6516.5782499999987</v>
      </c>
      <c r="K739" s="1290">
        <f t="shared" si="218"/>
        <v>6712.0755974999993</v>
      </c>
      <c r="L739" s="1290">
        <f t="shared" si="218"/>
        <v>6913.4378654249986</v>
      </c>
      <c r="M739" s="1290">
        <f t="shared" si="218"/>
        <v>7120.8410013877483</v>
      </c>
      <c r="Q739" s="282"/>
      <c r="R739" s="282"/>
      <c r="S739" s="1366">
        <f t="shared" ref="S739" si="219">IFERROR(H739/H288,0)</f>
        <v>0.14624999999999999</v>
      </c>
      <c r="T739" s="1366">
        <f t="shared" ref="T739" si="220">IFERROR(I739/I288,0)</f>
        <v>0.14624999999999999</v>
      </c>
      <c r="U739" s="1366">
        <f t="shared" ref="U739" si="221">IFERROR(J739/J288,0)</f>
        <v>0.14624999999999999</v>
      </c>
      <c r="V739" s="1366">
        <f t="shared" ref="V739" si="222">IFERROR(K739/K288,0)</f>
        <v>0.14624999999999999</v>
      </c>
      <c r="W739" s="1366">
        <f t="shared" ref="W739:X739" si="223">IFERROR(L739/L288,0)</f>
        <v>0.14624999999999999</v>
      </c>
      <c r="X739" s="1366">
        <f t="shared" si="223"/>
        <v>0.14624999999999999</v>
      </c>
      <c r="Y739" s="1365"/>
      <c r="Z739" s="282"/>
      <c r="AA739" s="282"/>
    </row>
    <row r="740" spans="1:27" s="431" customFormat="1" outlineLevel="2" x14ac:dyDescent="0.25">
      <c r="A740" s="276">
        <f t="shared" ref="A740:A753" si="224">ROW(A289)</f>
        <v>289</v>
      </c>
      <c r="B740" s="758" t="str">
        <f t="shared" ref="B740:B770" si="225">$B289</f>
        <v>Special Education (SPED) Teacher</v>
      </c>
      <c r="C740" s="561"/>
      <c r="D740" s="428"/>
      <c r="G740" s="1290">
        <f t="shared" si="218"/>
        <v>0</v>
      </c>
      <c r="H740" s="1290">
        <f t="shared" si="218"/>
        <v>6142.5</v>
      </c>
      <c r="I740" s="1290">
        <f t="shared" si="218"/>
        <v>6326.7749999999996</v>
      </c>
      <c r="J740" s="1290">
        <f t="shared" si="218"/>
        <v>6516.5782499999987</v>
      </c>
      <c r="K740" s="1290">
        <f t="shared" si="218"/>
        <v>6712.0755974999993</v>
      </c>
      <c r="L740" s="1290">
        <f t="shared" si="218"/>
        <v>6913.4378654249986</v>
      </c>
      <c r="M740" s="1290">
        <f t="shared" si="218"/>
        <v>7120.8410013877483</v>
      </c>
      <c r="Q740" s="282"/>
      <c r="R740" s="282"/>
      <c r="S740" s="1366">
        <f t="shared" ref="S740:S743" si="226">IFERROR(H740/H289,0)</f>
        <v>0.14624999999999999</v>
      </c>
      <c r="T740" s="1366">
        <f t="shared" ref="T740:T743" si="227">IFERROR(I740/I289,0)</f>
        <v>0.14624999999999999</v>
      </c>
      <c r="U740" s="1366">
        <f t="shared" ref="U740:U743" si="228">IFERROR(J740/J289,0)</f>
        <v>0.14624999999999999</v>
      </c>
      <c r="V740" s="1366">
        <f t="shared" ref="V740:V743" si="229">IFERROR(K740/K289,0)</f>
        <v>0.14624999999999999</v>
      </c>
      <c r="W740" s="1366">
        <f t="shared" ref="W740:X743" si="230">IFERROR(L740/L289,0)</f>
        <v>0.14624999999999999</v>
      </c>
      <c r="X740" s="1366">
        <f t="shared" si="230"/>
        <v>0.14624999999999999</v>
      </c>
      <c r="Y740" s="1365"/>
      <c r="Z740" s="282"/>
      <c r="AA740" s="282"/>
    </row>
    <row r="741" spans="1:27" s="431" customFormat="1" outlineLevel="2" x14ac:dyDescent="0.25">
      <c r="A741" s="276">
        <f t="shared" si="224"/>
        <v>290</v>
      </c>
      <c r="B741" s="758" t="str">
        <f t="shared" si="225"/>
        <v>Special Education (SPED) Teacher</v>
      </c>
      <c r="C741" s="561"/>
      <c r="D741" s="428"/>
      <c r="G741" s="1290">
        <f t="shared" si="218"/>
        <v>0</v>
      </c>
      <c r="H741" s="1290">
        <f t="shared" si="218"/>
        <v>0</v>
      </c>
      <c r="I741" s="1290">
        <f t="shared" si="218"/>
        <v>6421.6766250000001</v>
      </c>
      <c r="J741" s="1290">
        <f t="shared" si="218"/>
        <v>6614.3269237499999</v>
      </c>
      <c r="K741" s="1290">
        <f t="shared" si="218"/>
        <v>6812.7567314624994</v>
      </c>
      <c r="L741" s="1290">
        <f t="shared" si="218"/>
        <v>7017.1394334063734</v>
      </c>
      <c r="M741" s="1290">
        <f t="shared" si="218"/>
        <v>7227.6536164085655</v>
      </c>
      <c r="Q741" s="282"/>
      <c r="R741" s="282"/>
      <c r="S741" s="1366">
        <f t="shared" si="226"/>
        <v>0</v>
      </c>
      <c r="T741" s="1366">
        <f t="shared" si="227"/>
        <v>0.14624999999999999</v>
      </c>
      <c r="U741" s="1366">
        <f t="shared" si="228"/>
        <v>0.14624999999999999</v>
      </c>
      <c r="V741" s="1366">
        <f t="shared" si="229"/>
        <v>0.14624999999999999</v>
      </c>
      <c r="W741" s="1366">
        <f t="shared" si="230"/>
        <v>0.14624999999999999</v>
      </c>
      <c r="X741" s="1366">
        <f t="shared" si="230"/>
        <v>0.14624999999999999</v>
      </c>
      <c r="Y741" s="1365"/>
      <c r="Z741" s="282"/>
      <c r="AA741" s="282"/>
    </row>
    <row r="742" spans="1:27" s="431" customFormat="1" outlineLevel="2" x14ac:dyDescent="0.25">
      <c r="A742" s="276">
        <f t="shared" si="224"/>
        <v>291</v>
      </c>
      <c r="B742" s="758" t="str">
        <f t="shared" si="225"/>
        <v>Special Education (SPED) Teacher</v>
      </c>
      <c r="C742" s="561"/>
      <c r="D742" s="428"/>
      <c r="G742" s="1290">
        <f t="shared" si="218"/>
        <v>0</v>
      </c>
      <c r="H742" s="1290">
        <f t="shared" si="218"/>
        <v>0</v>
      </c>
      <c r="I742" s="1290">
        <f t="shared" si="218"/>
        <v>0</v>
      </c>
      <c r="J742" s="1290">
        <f t="shared" si="218"/>
        <v>6718.2818625</v>
      </c>
      <c r="K742" s="1290">
        <f t="shared" si="218"/>
        <v>6919.8303183750004</v>
      </c>
      <c r="L742" s="1290">
        <f t="shared" si="218"/>
        <v>7127.4252279262491</v>
      </c>
      <c r="M742" s="1290">
        <f t="shared" si="218"/>
        <v>7341.2479847640361</v>
      </c>
      <c r="Q742" s="282"/>
      <c r="R742" s="282"/>
      <c r="S742" s="1366">
        <f t="shared" si="226"/>
        <v>0</v>
      </c>
      <c r="T742" s="1366">
        <f t="shared" si="227"/>
        <v>0</v>
      </c>
      <c r="U742" s="1366">
        <f t="shared" si="228"/>
        <v>0.14624999999999999</v>
      </c>
      <c r="V742" s="1366">
        <f t="shared" si="229"/>
        <v>0.14624999999999999</v>
      </c>
      <c r="W742" s="1366">
        <f t="shared" si="230"/>
        <v>0.14624999999999999</v>
      </c>
      <c r="X742" s="1366">
        <f t="shared" si="230"/>
        <v>0.14624999999999999</v>
      </c>
      <c r="Y742" s="1365"/>
      <c r="Z742" s="282"/>
      <c r="AA742" s="282"/>
    </row>
    <row r="743" spans="1:27" s="431" customFormat="1" outlineLevel="2" x14ac:dyDescent="0.25">
      <c r="A743" s="276">
        <f t="shared" si="224"/>
        <v>292</v>
      </c>
      <c r="B743" s="758" t="str">
        <f t="shared" si="225"/>
        <v>Special Education (SPED) Teacher</v>
      </c>
      <c r="C743" s="561"/>
      <c r="D743" s="428"/>
      <c r="G743" s="1290">
        <f t="shared" si="218"/>
        <v>0</v>
      </c>
      <c r="H743" s="1290">
        <f t="shared" si="218"/>
        <v>0</v>
      </c>
      <c r="I743" s="1290">
        <f t="shared" si="218"/>
        <v>0</v>
      </c>
      <c r="J743" s="1290">
        <f t="shared" si="218"/>
        <v>0</v>
      </c>
      <c r="K743" s="1290">
        <f t="shared" si="218"/>
        <v>7031.6982449999996</v>
      </c>
      <c r="L743" s="1290">
        <f t="shared" si="218"/>
        <v>7242.6491923499989</v>
      </c>
      <c r="M743" s="1290">
        <f t="shared" si="218"/>
        <v>7459.9286681204985</v>
      </c>
      <c r="Q743" s="282"/>
      <c r="R743" s="282"/>
      <c r="S743" s="1366">
        <f t="shared" si="226"/>
        <v>0</v>
      </c>
      <c r="T743" s="1366">
        <f t="shared" si="227"/>
        <v>0</v>
      </c>
      <c r="U743" s="1366">
        <f t="shared" si="228"/>
        <v>0</v>
      </c>
      <c r="V743" s="1366">
        <f t="shared" si="229"/>
        <v>0.14624999999999999</v>
      </c>
      <c r="W743" s="1366">
        <f t="shared" si="230"/>
        <v>0.14624999999999999</v>
      </c>
      <c r="X743" s="1366">
        <f t="shared" si="230"/>
        <v>0.14624999999999999</v>
      </c>
      <c r="Y743" s="1365"/>
      <c r="Z743" s="282"/>
      <c r="AA743" s="282"/>
    </row>
    <row r="744" spans="1:27" s="431" customFormat="1" outlineLevel="2" x14ac:dyDescent="0.25">
      <c r="A744" s="276">
        <f t="shared" si="224"/>
        <v>293</v>
      </c>
      <c r="B744" s="758" t="str">
        <f t="shared" si="225"/>
        <v>Special Education (SPED) Teacher</v>
      </c>
      <c r="C744" s="561"/>
      <c r="D744" s="428"/>
      <c r="G744" s="1290">
        <f t="shared" si="218"/>
        <v>0</v>
      </c>
      <c r="H744" s="1290">
        <f t="shared" si="218"/>
        <v>0</v>
      </c>
      <c r="I744" s="1290">
        <f t="shared" si="218"/>
        <v>0</v>
      </c>
      <c r="J744" s="1290">
        <f t="shared" si="218"/>
        <v>0</v>
      </c>
      <c r="K744" s="1290">
        <f t="shared" si="218"/>
        <v>0</v>
      </c>
      <c r="L744" s="1290">
        <f t="shared" si="218"/>
        <v>3678.9365783868748</v>
      </c>
      <c r="M744" s="1290">
        <f t="shared" si="218"/>
        <v>3789.3046757384809</v>
      </c>
      <c r="Q744" s="282"/>
      <c r="R744" s="282"/>
      <c r="S744" s="1366">
        <f t="shared" ref="S744:S767" si="231">IFERROR(H744/H293,0)</f>
        <v>0</v>
      </c>
      <c r="T744" s="1366">
        <f t="shared" ref="T744:T767" si="232">IFERROR(I744/I293,0)</f>
        <v>0</v>
      </c>
      <c r="U744" s="1366">
        <f t="shared" ref="U744:U767" si="233">IFERROR(J744/J293,0)</f>
        <v>0</v>
      </c>
      <c r="V744" s="1366">
        <f t="shared" ref="V744:V767" si="234">IFERROR(K744/K293,0)</f>
        <v>0</v>
      </c>
      <c r="W744" s="1366">
        <f t="shared" ref="W744:X767" si="235">IFERROR(L744/L293,0)</f>
        <v>0.14624999999999999</v>
      </c>
      <c r="X744" s="1366">
        <f t="shared" si="235"/>
        <v>0.14624999999999999</v>
      </c>
      <c r="Y744" s="1365"/>
      <c r="Z744" s="282"/>
      <c r="AA744" s="282"/>
    </row>
    <row r="745" spans="1:27" s="431" customFormat="1" outlineLevel="2" x14ac:dyDescent="0.25">
      <c r="A745" s="276">
        <f t="shared" si="224"/>
        <v>294</v>
      </c>
      <c r="B745" s="758" t="str">
        <f t="shared" si="225"/>
        <v>Special Education (SPED) Teacher</v>
      </c>
      <c r="C745" s="561"/>
      <c r="D745" s="428"/>
      <c r="G745" s="1290">
        <f t="shared" si="218"/>
        <v>0</v>
      </c>
      <c r="H745" s="1290">
        <f t="shared" si="218"/>
        <v>0</v>
      </c>
      <c r="I745" s="1290">
        <f t="shared" si="218"/>
        <v>0</v>
      </c>
      <c r="J745" s="1290">
        <f t="shared" si="218"/>
        <v>0</v>
      </c>
      <c r="K745" s="1290">
        <f t="shared" si="218"/>
        <v>0</v>
      </c>
      <c r="L745" s="1290">
        <f t="shared" si="218"/>
        <v>0</v>
      </c>
      <c r="M745" s="1290">
        <f t="shared" si="218"/>
        <v>3844.406421582552</v>
      </c>
      <c r="Q745" s="282"/>
      <c r="R745" s="282"/>
      <c r="S745" s="1366">
        <f t="shared" si="231"/>
        <v>0</v>
      </c>
      <c r="T745" s="1366">
        <f t="shared" si="232"/>
        <v>0</v>
      </c>
      <c r="U745" s="1366">
        <f t="shared" si="233"/>
        <v>0</v>
      </c>
      <c r="V745" s="1366">
        <f t="shared" si="234"/>
        <v>0</v>
      </c>
      <c r="W745" s="1366">
        <f t="shared" si="235"/>
        <v>0</v>
      </c>
      <c r="X745" s="1366">
        <f t="shared" si="235"/>
        <v>0.14624999999999999</v>
      </c>
      <c r="Y745" s="1365"/>
      <c r="Z745" s="282"/>
      <c r="AA745" s="282"/>
    </row>
    <row r="746" spans="1:27" s="431" customFormat="1" outlineLevel="2" x14ac:dyDescent="0.25">
      <c r="A746" s="276">
        <f t="shared" si="224"/>
        <v>295</v>
      </c>
      <c r="B746" s="758" t="str">
        <f t="shared" si="225"/>
        <v>Teacher Assistant/Aide</v>
      </c>
      <c r="C746" s="561"/>
      <c r="D746" s="428"/>
      <c r="G746" s="1290">
        <f t="shared" si="218"/>
        <v>0</v>
      </c>
      <c r="H746" s="1290">
        <f t="shared" si="218"/>
        <v>0</v>
      </c>
      <c r="I746" s="1290">
        <f t="shared" si="218"/>
        <v>0</v>
      </c>
      <c r="J746" s="1290">
        <f t="shared" si="218"/>
        <v>0</v>
      </c>
      <c r="K746" s="1290">
        <f t="shared" si="218"/>
        <v>0</v>
      </c>
      <c r="L746" s="1290">
        <f t="shared" si="218"/>
        <v>3199.9340977109996</v>
      </c>
      <c r="M746" s="1290">
        <f t="shared" si="218"/>
        <v>3295.9321206423297</v>
      </c>
      <c r="Q746" s="282"/>
      <c r="R746" s="282"/>
      <c r="S746" s="1366">
        <f t="shared" si="231"/>
        <v>0</v>
      </c>
      <c r="T746" s="1366">
        <f t="shared" si="232"/>
        <v>0</v>
      </c>
      <c r="U746" s="1366">
        <f t="shared" si="233"/>
        <v>0</v>
      </c>
      <c r="V746" s="1366">
        <f t="shared" si="234"/>
        <v>0</v>
      </c>
      <c r="W746" s="1366">
        <f t="shared" si="235"/>
        <v>0.14624999999999999</v>
      </c>
      <c r="X746" s="1366">
        <f t="shared" si="235"/>
        <v>0.14624999999999999</v>
      </c>
      <c r="Y746" s="1365"/>
      <c r="Z746" s="282"/>
      <c r="AA746" s="282"/>
    </row>
    <row r="747" spans="1:27" s="431" customFormat="1" outlineLevel="2" x14ac:dyDescent="0.25">
      <c r="A747" s="276">
        <f t="shared" si="224"/>
        <v>296</v>
      </c>
      <c r="B747" s="758" t="str">
        <f t="shared" si="225"/>
        <v>Teacher Assistant/Aide</v>
      </c>
      <c r="C747" s="561"/>
      <c r="D747" s="428"/>
      <c r="G747" s="1290">
        <f t="shared" si="218"/>
        <v>0</v>
      </c>
      <c r="H747" s="1290">
        <f t="shared" si="218"/>
        <v>0</v>
      </c>
      <c r="I747" s="1290">
        <f t="shared" si="218"/>
        <v>0</v>
      </c>
      <c r="J747" s="1290">
        <f t="shared" si="218"/>
        <v>0</v>
      </c>
      <c r="K747" s="1290">
        <f t="shared" si="218"/>
        <v>0</v>
      </c>
      <c r="L747" s="1290">
        <f t="shared" si="218"/>
        <v>0</v>
      </c>
      <c r="M747" s="1290">
        <f t="shared" si="218"/>
        <v>3356.9679006542246</v>
      </c>
      <c r="Q747" s="282"/>
      <c r="R747" s="282"/>
      <c r="S747" s="1366">
        <f t="shared" si="231"/>
        <v>0</v>
      </c>
      <c r="T747" s="1366">
        <f t="shared" si="232"/>
        <v>0</v>
      </c>
      <c r="U747" s="1366">
        <f t="shared" si="233"/>
        <v>0</v>
      </c>
      <c r="V747" s="1366">
        <f t="shared" si="234"/>
        <v>0</v>
      </c>
      <c r="W747" s="1366">
        <f t="shared" si="235"/>
        <v>0</v>
      </c>
      <c r="X747" s="1366">
        <f t="shared" si="235"/>
        <v>0.14624999999999999</v>
      </c>
      <c r="Y747" s="1365"/>
      <c r="Z747" s="282"/>
      <c r="AA747" s="282"/>
    </row>
    <row r="748" spans="1:27" s="431" customFormat="1" outlineLevel="2" x14ac:dyDescent="0.25">
      <c r="A748" s="276">
        <f t="shared" si="224"/>
        <v>297</v>
      </c>
      <c r="B748" s="752" t="str">
        <f t="shared" si="225"/>
        <v xml:space="preserve">Total Special EducationTeachers </v>
      </c>
      <c r="C748" s="733"/>
      <c r="D748" s="701"/>
      <c r="E748" s="748"/>
      <c r="F748" s="748"/>
      <c r="G748" s="1291">
        <f t="shared" ref="G748:H748" si="236">SUM(G739:G747)</f>
        <v>0</v>
      </c>
      <c r="H748" s="1291">
        <f t="shared" si="236"/>
        <v>12285</v>
      </c>
      <c r="I748" s="1291">
        <f>SUM(I739:I747)</f>
        <v>19075.226624999999</v>
      </c>
      <c r="J748" s="1291">
        <f t="shared" ref="J748:M748" si="237">SUM(J739:J747)</f>
        <v>26365.765286249996</v>
      </c>
      <c r="K748" s="1291">
        <f t="shared" si="237"/>
        <v>34188.436489837492</v>
      </c>
      <c r="L748" s="1291">
        <f t="shared" si="237"/>
        <v>42092.960260630498</v>
      </c>
      <c r="M748" s="1291">
        <f t="shared" si="237"/>
        <v>50557.123390686174</v>
      </c>
      <c r="Q748" s="282"/>
      <c r="R748" s="282"/>
      <c r="S748" s="1366">
        <f t="shared" si="231"/>
        <v>0.14624999999999999</v>
      </c>
      <c r="T748" s="1366">
        <f t="shared" si="232"/>
        <v>0.14624999999999999</v>
      </c>
      <c r="U748" s="1366">
        <f t="shared" si="233"/>
        <v>0.14624999999999999</v>
      </c>
      <c r="V748" s="1366">
        <f t="shared" si="234"/>
        <v>0.14624999999999996</v>
      </c>
      <c r="W748" s="1366">
        <f t="shared" si="235"/>
        <v>0.14624999999999999</v>
      </c>
      <c r="X748" s="1366">
        <f t="shared" si="235"/>
        <v>0.14624999999999994</v>
      </c>
      <c r="Y748" s="1365"/>
      <c r="Z748" s="282"/>
      <c r="AA748" s="282"/>
    </row>
    <row r="749" spans="1:27" s="431" customFormat="1" outlineLevel="2" x14ac:dyDescent="0.25">
      <c r="A749" s="276">
        <f t="shared" si="224"/>
        <v>298</v>
      </c>
      <c r="B749" s="758">
        <f t="shared" si="225"/>
        <v>0</v>
      </c>
      <c r="C749" s="561"/>
      <c r="D749" s="428"/>
      <c r="G749" s="141"/>
      <c r="H749" s="141"/>
      <c r="I749" s="141"/>
      <c r="J749" s="141"/>
      <c r="K749" s="141"/>
      <c r="L749" s="141"/>
      <c r="M749" s="141"/>
      <c r="Q749" s="282"/>
      <c r="R749" s="282"/>
      <c r="S749" s="1366">
        <f t="shared" si="231"/>
        <v>0</v>
      </c>
      <c r="T749" s="1366">
        <f t="shared" si="232"/>
        <v>0</v>
      </c>
      <c r="U749" s="1366">
        <f t="shared" si="233"/>
        <v>0</v>
      </c>
      <c r="V749" s="1366">
        <f t="shared" si="234"/>
        <v>0</v>
      </c>
      <c r="W749" s="1366">
        <f t="shared" si="235"/>
        <v>0</v>
      </c>
      <c r="X749" s="1366">
        <f t="shared" si="235"/>
        <v>0</v>
      </c>
      <c r="Y749" s="1365"/>
      <c r="Z749" s="282"/>
      <c r="AA749" s="282"/>
    </row>
    <row r="750" spans="1:27" s="431" customFormat="1" outlineLevel="2" x14ac:dyDescent="0.25">
      <c r="A750" s="276">
        <f t="shared" si="224"/>
        <v>299</v>
      </c>
      <c r="B750" s="759" t="str">
        <f t="shared" si="225"/>
        <v>English Language Learner (ELL) Teachers</v>
      </c>
      <c r="C750" s="760"/>
      <c r="D750" s="757"/>
      <c r="E750" s="761"/>
      <c r="F750" s="761"/>
      <c r="G750" s="1349"/>
      <c r="H750" s="1349"/>
      <c r="I750" s="1349"/>
      <c r="J750" s="1349"/>
      <c r="K750" s="1349"/>
      <c r="L750" s="1349"/>
      <c r="M750" s="1349"/>
      <c r="Q750" s="282"/>
      <c r="R750" s="282"/>
      <c r="S750" s="1366">
        <f t="shared" si="231"/>
        <v>0</v>
      </c>
      <c r="T750" s="1366">
        <f t="shared" si="232"/>
        <v>0</v>
      </c>
      <c r="U750" s="1366">
        <f t="shared" si="233"/>
        <v>0</v>
      </c>
      <c r="V750" s="1366">
        <f t="shared" si="234"/>
        <v>0</v>
      </c>
      <c r="W750" s="1366">
        <f t="shared" si="235"/>
        <v>0</v>
      </c>
      <c r="X750" s="1366">
        <f t="shared" si="235"/>
        <v>0</v>
      </c>
      <c r="Y750" s="1365"/>
      <c r="Z750" s="282"/>
      <c r="AA750" s="282"/>
    </row>
    <row r="751" spans="1:27" s="431" customFormat="1" outlineLevel="2" x14ac:dyDescent="0.25">
      <c r="A751" s="276">
        <f t="shared" si="224"/>
        <v>300</v>
      </c>
      <c r="B751" s="758" t="str">
        <f t="shared" si="225"/>
        <v>ELL Coordinator</v>
      </c>
      <c r="C751" s="561"/>
      <c r="D751" s="428"/>
      <c r="G751" s="1290">
        <f t="shared" ref="G751:M753" si="238">G300*$C$90</f>
        <v>0</v>
      </c>
      <c r="H751" s="1290">
        <f t="shared" si="238"/>
        <v>8336.25</v>
      </c>
      <c r="I751" s="1290">
        <f t="shared" si="238"/>
        <v>8586.3374999999996</v>
      </c>
      <c r="J751" s="1290">
        <f t="shared" si="238"/>
        <v>8843.9276249999984</v>
      </c>
      <c r="K751" s="1290">
        <f t="shared" si="238"/>
        <v>9109.2454537499998</v>
      </c>
      <c r="L751" s="1290">
        <f t="shared" si="238"/>
        <v>9382.5228173624982</v>
      </c>
      <c r="M751" s="1290">
        <f t="shared" si="238"/>
        <v>9663.9985018833722</v>
      </c>
      <c r="Q751" s="282"/>
      <c r="R751" s="282"/>
      <c r="S751" s="1366">
        <f t="shared" si="231"/>
        <v>0.14624999999999999</v>
      </c>
      <c r="T751" s="1366">
        <f t="shared" si="232"/>
        <v>0.14624999999999999</v>
      </c>
      <c r="U751" s="1366">
        <f t="shared" si="233"/>
        <v>0.14624999999999999</v>
      </c>
      <c r="V751" s="1366">
        <f t="shared" si="234"/>
        <v>0.14624999999999999</v>
      </c>
      <c r="W751" s="1366">
        <f t="shared" si="235"/>
        <v>0.14624999999999999</v>
      </c>
      <c r="X751" s="1366">
        <f t="shared" si="235"/>
        <v>0.14624999999999999</v>
      </c>
      <c r="Y751" s="1365"/>
      <c r="Z751" s="282"/>
      <c r="AA751" s="282"/>
    </row>
    <row r="752" spans="1:27" s="431" customFormat="1" outlineLevel="2" x14ac:dyDescent="0.25">
      <c r="A752" s="276">
        <f t="shared" si="224"/>
        <v>301</v>
      </c>
      <c r="B752" s="758" t="str">
        <f t="shared" si="225"/>
        <v>Teacher Assistant/Aide</v>
      </c>
      <c r="C752" s="561"/>
      <c r="D752" s="428"/>
      <c r="G752" s="1290">
        <f t="shared" si="238"/>
        <v>0</v>
      </c>
      <c r="H752" s="1290">
        <f t="shared" si="238"/>
        <v>2632.5</v>
      </c>
      <c r="I752" s="1290">
        <f t="shared" si="238"/>
        <v>2711.4749999999999</v>
      </c>
      <c r="J752" s="1290">
        <f t="shared" si="238"/>
        <v>2792.81925</v>
      </c>
      <c r="K752" s="1290">
        <f t="shared" si="238"/>
        <v>2876.6038274999996</v>
      </c>
      <c r="L752" s="1290">
        <f t="shared" si="238"/>
        <v>2962.9019423249997</v>
      </c>
      <c r="M752" s="1290">
        <f t="shared" si="238"/>
        <v>3051.7890005947497</v>
      </c>
      <c r="Q752" s="282"/>
      <c r="R752" s="282"/>
      <c r="S752" s="1366">
        <f t="shared" si="231"/>
        <v>0.14624999999999999</v>
      </c>
      <c r="T752" s="1366">
        <f t="shared" si="232"/>
        <v>0.14624999999999999</v>
      </c>
      <c r="U752" s="1366">
        <f t="shared" si="233"/>
        <v>0.14624999999999999</v>
      </c>
      <c r="V752" s="1366">
        <f t="shared" si="234"/>
        <v>0.14624999999999999</v>
      </c>
      <c r="W752" s="1366">
        <f t="shared" si="235"/>
        <v>0.14624999999999999</v>
      </c>
      <c r="X752" s="1366">
        <f t="shared" si="235"/>
        <v>0.14624999999999999</v>
      </c>
      <c r="Y752" s="1365"/>
      <c r="Z752" s="282"/>
      <c r="AA752" s="282"/>
    </row>
    <row r="753" spans="1:27" s="431" customFormat="1" outlineLevel="2" x14ac:dyDescent="0.25">
      <c r="A753" s="276">
        <f t="shared" si="224"/>
        <v>302</v>
      </c>
      <c r="B753" s="758" t="str">
        <f t="shared" si="225"/>
        <v>Teacher Assistant/Aide</v>
      </c>
      <c r="C753" s="561"/>
      <c r="D753" s="428"/>
      <c r="G753" s="1290">
        <f t="shared" si="238"/>
        <v>0</v>
      </c>
      <c r="H753" s="1290">
        <f t="shared" ref="H753:M753" si="239">H302*$C$90</f>
        <v>0</v>
      </c>
      <c r="I753" s="1290">
        <f t="shared" si="239"/>
        <v>2765.7044999999998</v>
      </c>
      <c r="J753" s="1290">
        <f t="shared" si="239"/>
        <v>2848.6756349999996</v>
      </c>
      <c r="K753" s="1290">
        <f t="shared" si="239"/>
        <v>2934.1359040499997</v>
      </c>
      <c r="L753" s="1290">
        <f t="shared" si="239"/>
        <v>3022.1599811714996</v>
      </c>
      <c r="M753" s="1290">
        <f t="shared" si="239"/>
        <v>3112.8247806066447</v>
      </c>
      <c r="Q753" s="282"/>
      <c r="R753" s="282"/>
      <c r="S753" s="1366">
        <f t="shared" si="231"/>
        <v>0</v>
      </c>
      <c r="T753" s="1366">
        <f t="shared" si="232"/>
        <v>0.14624999999999999</v>
      </c>
      <c r="U753" s="1366">
        <f t="shared" si="233"/>
        <v>0.14624999999999999</v>
      </c>
      <c r="V753" s="1366">
        <f t="shared" si="234"/>
        <v>0.14624999999999999</v>
      </c>
      <c r="W753" s="1366">
        <f t="shared" si="235"/>
        <v>0.14624999999999999</v>
      </c>
      <c r="X753" s="1366">
        <f t="shared" si="235"/>
        <v>0.14624999999999999</v>
      </c>
      <c r="Y753" s="1365"/>
      <c r="Z753" s="282"/>
      <c r="AA753" s="282"/>
    </row>
    <row r="754" spans="1:27" s="431" customFormat="1" outlineLevel="2" x14ac:dyDescent="0.25">
      <c r="A754" s="276">
        <f>ROW(A311)</f>
        <v>311</v>
      </c>
      <c r="B754" s="758" t="str">
        <f t="shared" si="225"/>
        <v>Teacher Assistant/Aide</v>
      </c>
      <c r="C754" s="561"/>
      <c r="D754" s="428"/>
      <c r="G754" s="1290">
        <f t="shared" ref="G754:M754" si="240">G303*$C$90</f>
        <v>0</v>
      </c>
      <c r="H754" s="1290">
        <f t="shared" si="240"/>
        <v>0</v>
      </c>
      <c r="I754" s="1290">
        <f t="shared" si="240"/>
        <v>2765.7044999999998</v>
      </c>
      <c r="J754" s="1290">
        <f t="shared" si="240"/>
        <v>2848.6756349999996</v>
      </c>
      <c r="K754" s="1290">
        <f t="shared" si="240"/>
        <v>2934.1359040499997</v>
      </c>
      <c r="L754" s="1290">
        <f t="shared" si="240"/>
        <v>3022.1599811714996</v>
      </c>
      <c r="M754" s="1290">
        <f t="shared" si="240"/>
        <v>3112.8247806066447</v>
      </c>
      <c r="Q754" s="282"/>
      <c r="R754" s="282"/>
      <c r="S754" s="1366">
        <f t="shared" si="231"/>
        <v>0</v>
      </c>
      <c r="T754" s="1366">
        <f t="shared" si="232"/>
        <v>0.14624999999999999</v>
      </c>
      <c r="U754" s="1366">
        <f t="shared" si="233"/>
        <v>0.14624999999999999</v>
      </c>
      <c r="V754" s="1366">
        <f t="shared" si="234"/>
        <v>0.14624999999999999</v>
      </c>
      <c r="W754" s="1366">
        <f t="shared" si="235"/>
        <v>0.14624999999999999</v>
      </c>
      <c r="X754" s="1366">
        <f t="shared" si="235"/>
        <v>0.14624999999999999</v>
      </c>
      <c r="Y754" s="1365"/>
      <c r="Z754" s="282"/>
      <c r="AA754" s="282"/>
    </row>
    <row r="755" spans="1:27" s="431" customFormat="1" outlineLevel="2" x14ac:dyDescent="0.25">
      <c r="A755" s="276">
        <f>ROW(A312)</f>
        <v>312</v>
      </c>
      <c r="B755" s="758" t="str">
        <f t="shared" si="225"/>
        <v>Teacher Assistant/Aide</v>
      </c>
      <c r="C755" s="561"/>
      <c r="D755" s="428"/>
      <c r="G755" s="1290">
        <f t="shared" ref="G755:M755" si="241">G304*$C$90</f>
        <v>0</v>
      </c>
      <c r="H755" s="1290">
        <f t="shared" si="241"/>
        <v>0</v>
      </c>
      <c r="I755" s="1290">
        <f t="shared" si="241"/>
        <v>0</v>
      </c>
      <c r="J755" s="1290">
        <f t="shared" si="241"/>
        <v>2904.5320199999996</v>
      </c>
      <c r="K755" s="1290">
        <f t="shared" si="241"/>
        <v>2991.6679806000002</v>
      </c>
      <c r="L755" s="1290">
        <f t="shared" si="241"/>
        <v>3081.4180200179994</v>
      </c>
      <c r="M755" s="1290">
        <f t="shared" si="241"/>
        <v>3173.8605606185392</v>
      </c>
      <c r="Q755" s="282"/>
      <c r="R755" s="282"/>
      <c r="S755" s="1366">
        <f t="shared" si="231"/>
        <v>0</v>
      </c>
      <c r="T755" s="1366">
        <f t="shared" si="232"/>
        <v>0</v>
      </c>
      <c r="U755" s="1366">
        <f t="shared" si="233"/>
        <v>0.14624999999999999</v>
      </c>
      <c r="V755" s="1366">
        <f t="shared" si="234"/>
        <v>0.14624999999999999</v>
      </c>
      <c r="W755" s="1366">
        <f t="shared" si="235"/>
        <v>0.14624999999999999</v>
      </c>
      <c r="X755" s="1366">
        <f t="shared" si="235"/>
        <v>0.14624999999999999</v>
      </c>
      <c r="Y755" s="1365"/>
      <c r="Z755" s="282"/>
      <c r="AA755" s="282"/>
    </row>
    <row r="756" spans="1:27" s="431" customFormat="1" outlineLevel="2" x14ac:dyDescent="0.25">
      <c r="A756" s="276">
        <f>ROW(A293)</f>
        <v>293</v>
      </c>
      <c r="B756" s="758" t="str">
        <f t="shared" si="225"/>
        <v>Teacher Assistant/Aide</v>
      </c>
      <c r="C756" s="561"/>
      <c r="D756" s="428"/>
      <c r="G756" s="1290">
        <f t="shared" ref="G756:M756" si="242">G305*$C$90</f>
        <v>0</v>
      </c>
      <c r="H756" s="1290">
        <f t="shared" si="242"/>
        <v>0</v>
      </c>
      <c r="I756" s="1290">
        <f t="shared" si="242"/>
        <v>0</v>
      </c>
      <c r="J756" s="1290">
        <f t="shared" si="242"/>
        <v>2904.5320199999996</v>
      </c>
      <c r="K756" s="1290">
        <f t="shared" si="242"/>
        <v>2991.6679806000002</v>
      </c>
      <c r="L756" s="1290">
        <f t="shared" si="242"/>
        <v>3081.4180200179994</v>
      </c>
      <c r="M756" s="1290">
        <f t="shared" si="242"/>
        <v>3173.8605606185392</v>
      </c>
      <c r="Q756" s="282"/>
      <c r="R756" s="282"/>
      <c r="S756" s="1366">
        <f t="shared" si="231"/>
        <v>0</v>
      </c>
      <c r="T756" s="1366">
        <f t="shared" si="232"/>
        <v>0</v>
      </c>
      <c r="U756" s="1366">
        <f t="shared" si="233"/>
        <v>0.14624999999999999</v>
      </c>
      <c r="V756" s="1366">
        <f t="shared" si="234"/>
        <v>0.14624999999999999</v>
      </c>
      <c r="W756" s="1366">
        <f t="shared" si="235"/>
        <v>0.14624999999999999</v>
      </c>
      <c r="X756" s="1366">
        <f t="shared" si="235"/>
        <v>0.14624999999999999</v>
      </c>
      <c r="Y756" s="1365"/>
      <c r="Z756" s="282"/>
      <c r="AA756" s="282"/>
    </row>
    <row r="757" spans="1:27" s="431" customFormat="1" outlineLevel="2" x14ac:dyDescent="0.25">
      <c r="A757" s="276">
        <f>ROW(A294)</f>
        <v>294</v>
      </c>
      <c r="B757" s="758" t="str">
        <f t="shared" si="225"/>
        <v>Teacher Assistant/Aide</v>
      </c>
      <c r="C757" s="561"/>
      <c r="D757" s="428"/>
      <c r="G757" s="1290">
        <f t="shared" ref="G757:M757" si="243">G306*$C$90</f>
        <v>0</v>
      </c>
      <c r="H757" s="1290">
        <f t="shared" si="243"/>
        <v>0</v>
      </c>
      <c r="I757" s="1290">
        <f t="shared" si="243"/>
        <v>0</v>
      </c>
      <c r="J757" s="1290">
        <f t="shared" si="243"/>
        <v>2904.5320199999996</v>
      </c>
      <c r="K757" s="1290">
        <f t="shared" si="243"/>
        <v>2991.6679806000002</v>
      </c>
      <c r="L757" s="1290">
        <f t="shared" si="243"/>
        <v>3081.4180200179994</v>
      </c>
      <c r="M757" s="1290">
        <f t="shared" si="243"/>
        <v>3173.8605606185392</v>
      </c>
      <c r="Q757" s="282"/>
      <c r="R757" s="282"/>
      <c r="S757" s="1366">
        <f t="shared" si="231"/>
        <v>0</v>
      </c>
      <c r="T757" s="1366">
        <f t="shared" si="232"/>
        <v>0</v>
      </c>
      <c r="U757" s="1366">
        <f t="shared" si="233"/>
        <v>0.14624999999999999</v>
      </c>
      <c r="V757" s="1366">
        <f t="shared" si="234"/>
        <v>0.14624999999999999</v>
      </c>
      <c r="W757" s="1366">
        <f t="shared" si="235"/>
        <v>0.14624999999999999</v>
      </c>
      <c r="X757" s="1366">
        <f t="shared" si="235"/>
        <v>0.14624999999999999</v>
      </c>
      <c r="Y757" s="1365"/>
      <c r="Z757" s="282"/>
      <c r="AA757" s="282"/>
    </row>
    <row r="758" spans="1:27" s="431" customFormat="1" outlineLevel="2" x14ac:dyDescent="0.25">
      <c r="A758" s="276">
        <f>ROW(A295)</f>
        <v>295</v>
      </c>
      <c r="B758" s="758" t="str">
        <f t="shared" si="225"/>
        <v>Teacher Assistant/Aide</v>
      </c>
      <c r="C758" s="561"/>
      <c r="D758" s="428"/>
      <c r="G758" s="1290">
        <f t="shared" ref="G758:M758" si="244">G307*$C$90</f>
        <v>0</v>
      </c>
      <c r="H758" s="1290">
        <f t="shared" si="244"/>
        <v>0</v>
      </c>
      <c r="I758" s="1290">
        <f t="shared" si="244"/>
        <v>0</v>
      </c>
      <c r="J758" s="1290">
        <f t="shared" si="244"/>
        <v>0</v>
      </c>
      <c r="K758" s="1290">
        <f t="shared" si="244"/>
        <v>3049.2000571499998</v>
      </c>
      <c r="L758" s="1290">
        <f t="shared" si="244"/>
        <v>3140.6760588644993</v>
      </c>
      <c r="M758" s="1290">
        <f t="shared" si="244"/>
        <v>3234.8963406304342</v>
      </c>
      <c r="Q758" s="282"/>
      <c r="R758" s="282"/>
      <c r="S758" s="1366">
        <f t="shared" si="231"/>
        <v>0</v>
      </c>
      <c r="T758" s="1366">
        <f t="shared" si="232"/>
        <v>0</v>
      </c>
      <c r="U758" s="1366">
        <f t="shared" si="233"/>
        <v>0</v>
      </c>
      <c r="V758" s="1366">
        <f t="shared" si="234"/>
        <v>0.14624999999999999</v>
      </c>
      <c r="W758" s="1366">
        <f t="shared" si="235"/>
        <v>0.14624999999999999</v>
      </c>
      <c r="X758" s="1366">
        <f t="shared" si="235"/>
        <v>0.14624999999999999</v>
      </c>
      <c r="Y758" s="1365"/>
      <c r="Z758" s="282"/>
      <c r="AA758" s="282"/>
    </row>
    <row r="759" spans="1:27" s="431" customFormat="1" outlineLevel="2" x14ac:dyDescent="0.25">
      <c r="A759" s="276">
        <f>ROW(A296)</f>
        <v>296</v>
      </c>
      <c r="B759" s="1368" t="str">
        <f t="shared" si="225"/>
        <v>Teacher Assistant/Aide</v>
      </c>
      <c r="C759" s="760"/>
      <c r="D759" s="757"/>
      <c r="E759" s="761"/>
      <c r="F759" s="761"/>
      <c r="G759" s="1295">
        <f t="shared" ref="G759:M759" si="245">G308*$C$90</f>
        <v>0</v>
      </c>
      <c r="H759" s="1295">
        <f t="shared" si="245"/>
        <v>0</v>
      </c>
      <c r="I759" s="1295">
        <f t="shared" si="245"/>
        <v>0</v>
      </c>
      <c r="J759" s="1295">
        <f t="shared" si="245"/>
        <v>0</v>
      </c>
      <c r="K759" s="1295">
        <f t="shared" si="245"/>
        <v>3049.2000571499998</v>
      </c>
      <c r="L759" s="1295">
        <f t="shared" si="245"/>
        <v>3140.6760588644993</v>
      </c>
      <c r="M759" s="1295">
        <f t="shared" si="245"/>
        <v>3234.8963406304342</v>
      </c>
      <c r="Q759" s="282"/>
      <c r="R759" s="282"/>
      <c r="S759" s="1366">
        <f t="shared" si="231"/>
        <v>0</v>
      </c>
      <c r="T759" s="1366">
        <f t="shared" si="232"/>
        <v>0</v>
      </c>
      <c r="U759" s="1366">
        <f t="shared" si="233"/>
        <v>0</v>
      </c>
      <c r="V759" s="1366">
        <f t="shared" si="234"/>
        <v>0.14624999999999999</v>
      </c>
      <c r="W759" s="1366">
        <f t="shared" si="235"/>
        <v>0.14624999999999999</v>
      </c>
      <c r="X759" s="1366">
        <f t="shared" si="235"/>
        <v>0.14624999999999999</v>
      </c>
      <c r="Y759" s="1365"/>
      <c r="Z759" s="282"/>
      <c r="AA759" s="282"/>
    </row>
    <row r="760" spans="1:27" s="431" customFormat="1" outlineLevel="2" x14ac:dyDescent="0.25">
      <c r="A760" s="276"/>
      <c r="B760" s="751"/>
      <c r="C760" s="561"/>
      <c r="D760" s="428"/>
      <c r="G760" s="1290"/>
      <c r="H760" s="1290">
        <f>SUM(H751:H759)</f>
        <v>10968.75</v>
      </c>
      <c r="I760" s="1290">
        <f t="shared" ref="I760:M760" si="246">SUM(I751:I759)</f>
        <v>16829.2215</v>
      </c>
      <c r="J760" s="1290">
        <f t="shared" si="246"/>
        <v>26047.694204999993</v>
      </c>
      <c r="K760" s="1290">
        <f t="shared" si="246"/>
        <v>32927.525145449996</v>
      </c>
      <c r="L760" s="1290">
        <f t="shared" si="246"/>
        <v>33915.350899813486</v>
      </c>
      <c r="M760" s="1290">
        <f t="shared" si="246"/>
        <v>34932.811426807893</v>
      </c>
      <c r="Q760" s="282"/>
      <c r="R760" s="282"/>
      <c r="S760" s="1366">
        <f t="shared" si="231"/>
        <v>0.14624999999999999</v>
      </c>
      <c r="T760" s="1366">
        <f t="shared" si="232"/>
        <v>0.14624999999999999</v>
      </c>
      <c r="U760" s="1366">
        <f t="shared" si="233"/>
        <v>0.14624999999999994</v>
      </c>
      <c r="V760" s="1366">
        <f t="shared" si="234"/>
        <v>0.14625000000000002</v>
      </c>
      <c r="W760" s="1366">
        <f t="shared" si="235"/>
        <v>0.14624999999999996</v>
      </c>
      <c r="X760" s="1366">
        <f t="shared" si="235"/>
        <v>0.14624999999999999</v>
      </c>
      <c r="Y760" s="1365"/>
      <c r="Z760" s="282"/>
      <c r="AA760" s="282"/>
    </row>
    <row r="761" spans="1:27" s="431" customFormat="1" outlineLevel="2" x14ac:dyDescent="0.25">
      <c r="A761" s="276">
        <f t="shared" ref="A761:A767" si="247">ROW(A298)</f>
        <v>298</v>
      </c>
      <c r="B761" s="758">
        <f t="shared" si="225"/>
        <v>0</v>
      </c>
      <c r="C761" s="561"/>
      <c r="D761" s="428"/>
      <c r="G761" s="1290"/>
      <c r="H761" s="1290"/>
      <c r="I761" s="1290"/>
      <c r="J761" s="1290"/>
      <c r="K761" s="1290"/>
      <c r="L761" s="1290"/>
      <c r="M761" s="1290"/>
      <c r="Q761" s="282"/>
      <c r="R761" s="282"/>
      <c r="S761" s="1366">
        <f t="shared" si="231"/>
        <v>0</v>
      </c>
      <c r="T761" s="1366">
        <f t="shared" si="232"/>
        <v>0</v>
      </c>
      <c r="U761" s="1366">
        <f t="shared" si="233"/>
        <v>0</v>
      </c>
      <c r="V761" s="1366">
        <f t="shared" si="234"/>
        <v>0</v>
      </c>
      <c r="W761" s="1366">
        <f t="shared" si="235"/>
        <v>0</v>
      </c>
      <c r="X761" s="1366">
        <f t="shared" si="235"/>
        <v>0</v>
      </c>
      <c r="Y761" s="1365"/>
      <c r="Z761" s="282"/>
      <c r="AA761" s="282"/>
    </row>
    <row r="762" spans="1:27" s="431" customFormat="1" outlineLevel="2" x14ac:dyDescent="0.25">
      <c r="A762" s="276">
        <f t="shared" si="247"/>
        <v>299</v>
      </c>
      <c r="B762" s="759" t="str">
        <f t="shared" si="225"/>
        <v>Guidance Counselor &amp; Other</v>
      </c>
      <c r="C762" s="760"/>
      <c r="D762" s="757"/>
      <c r="E762" s="761"/>
      <c r="F762" s="761"/>
      <c r="G762" s="1295"/>
      <c r="H762" s="1295"/>
      <c r="I762" s="1295"/>
      <c r="J762" s="1295"/>
      <c r="K762" s="1295"/>
      <c r="L762" s="1295"/>
      <c r="M762" s="1295"/>
      <c r="Q762" s="282"/>
      <c r="R762" s="282"/>
      <c r="S762" s="1366">
        <f t="shared" si="231"/>
        <v>0</v>
      </c>
      <c r="T762" s="1366">
        <f t="shared" si="232"/>
        <v>0</v>
      </c>
      <c r="U762" s="1366">
        <f t="shared" si="233"/>
        <v>0</v>
      </c>
      <c r="V762" s="1366">
        <f t="shared" si="234"/>
        <v>0</v>
      </c>
      <c r="W762" s="1366">
        <f t="shared" si="235"/>
        <v>0</v>
      </c>
      <c r="X762" s="1366">
        <f t="shared" si="235"/>
        <v>0</v>
      </c>
      <c r="Y762" s="1365"/>
      <c r="Z762" s="282"/>
      <c r="AA762" s="282"/>
    </row>
    <row r="763" spans="1:27" s="431" customFormat="1" outlineLevel="2" x14ac:dyDescent="0.25">
      <c r="A763" s="276">
        <f t="shared" si="247"/>
        <v>300</v>
      </c>
      <c r="B763" s="758" t="str">
        <f t="shared" si="225"/>
        <v xml:space="preserve">Guidance Counselor </v>
      </c>
      <c r="C763" s="561"/>
      <c r="D763" s="428"/>
      <c r="G763" s="1290">
        <f t="shared" ref="G763:M763" si="248">G312*$C$90</f>
        <v>0</v>
      </c>
      <c r="H763" s="1290">
        <f t="shared" si="248"/>
        <v>0</v>
      </c>
      <c r="I763" s="1290">
        <f t="shared" si="248"/>
        <v>0</v>
      </c>
      <c r="J763" s="1290">
        <f t="shared" si="248"/>
        <v>8533.6143749999992</v>
      </c>
      <c r="K763" s="1290">
        <f t="shared" si="248"/>
        <v>8789.6228062499995</v>
      </c>
      <c r="L763" s="1290">
        <f t="shared" si="248"/>
        <v>9053.3114904374979</v>
      </c>
      <c r="M763" s="1290">
        <f t="shared" si="248"/>
        <v>9324.9108351506238</v>
      </c>
      <c r="Q763" s="282"/>
      <c r="R763" s="282"/>
      <c r="S763" s="1366">
        <f t="shared" si="231"/>
        <v>0</v>
      </c>
      <c r="T763" s="1366">
        <f t="shared" si="232"/>
        <v>0</v>
      </c>
      <c r="U763" s="1366">
        <f t="shared" si="233"/>
        <v>0.14624999999999999</v>
      </c>
      <c r="V763" s="1366">
        <f t="shared" si="234"/>
        <v>0.14624999999999999</v>
      </c>
      <c r="W763" s="1366">
        <f t="shared" si="235"/>
        <v>0.14624999999999999</v>
      </c>
      <c r="X763" s="1366">
        <f t="shared" si="235"/>
        <v>0.14624999999999999</v>
      </c>
      <c r="Y763" s="1365"/>
      <c r="Z763" s="282"/>
      <c r="AA763" s="282"/>
    </row>
    <row r="764" spans="1:27" s="431" customFormat="1" outlineLevel="2" x14ac:dyDescent="0.25">
      <c r="A764" s="276">
        <f t="shared" si="247"/>
        <v>301</v>
      </c>
      <c r="B764" s="758" t="str">
        <f t="shared" si="225"/>
        <v>Guidance Counselor</v>
      </c>
      <c r="C764" s="561"/>
      <c r="D764" s="428"/>
      <c r="G764" s="1290">
        <f t="shared" ref="G764:M764" si="249">G313*$C$90</f>
        <v>0</v>
      </c>
      <c r="H764" s="1290">
        <f t="shared" si="249"/>
        <v>0</v>
      </c>
      <c r="I764" s="1290">
        <f t="shared" si="249"/>
        <v>0</v>
      </c>
      <c r="J764" s="1290">
        <f t="shared" si="249"/>
        <v>0</v>
      </c>
      <c r="K764" s="1290">
        <f t="shared" si="249"/>
        <v>0</v>
      </c>
      <c r="L764" s="1290">
        <f t="shared" si="249"/>
        <v>9053.3114904374979</v>
      </c>
      <c r="M764" s="1290">
        <f t="shared" si="249"/>
        <v>9324.9108351506238</v>
      </c>
      <c r="Q764" s="282"/>
      <c r="R764" s="282"/>
      <c r="S764" s="1366">
        <f t="shared" si="231"/>
        <v>0</v>
      </c>
      <c r="T764" s="1366">
        <f t="shared" si="232"/>
        <v>0</v>
      </c>
      <c r="U764" s="1366">
        <f t="shared" si="233"/>
        <v>0</v>
      </c>
      <c r="V764" s="1366">
        <f t="shared" si="234"/>
        <v>0</v>
      </c>
      <c r="W764" s="1366">
        <f t="shared" si="235"/>
        <v>0.14624999999999999</v>
      </c>
      <c r="X764" s="1366">
        <f t="shared" si="235"/>
        <v>0.14624999999999999</v>
      </c>
      <c r="Y764" s="1365"/>
      <c r="Z764" s="282"/>
      <c r="AA764" s="282"/>
    </row>
    <row r="765" spans="1:27" s="431" customFormat="1" outlineLevel="2" x14ac:dyDescent="0.25">
      <c r="A765" s="276">
        <f t="shared" si="247"/>
        <v>302</v>
      </c>
      <c r="B765" s="758" t="str">
        <f t="shared" si="225"/>
        <v>Curriculum Coach</v>
      </c>
      <c r="C765" s="561"/>
      <c r="D765" s="428"/>
      <c r="G765" s="1290">
        <f t="shared" ref="G765:M765" si="250">G314*$C$90</f>
        <v>0</v>
      </c>
      <c r="H765" s="1290">
        <f t="shared" si="250"/>
        <v>0</v>
      </c>
      <c r="I765" s="1290">
        <f t="shared" si="250"/>
        <v>0</v>
      </c>
      <c r="J765" s="1290">
        <f t="shared" si="250"/>
        <v>0</v>
      </c>
      <c r="K765" s="1290">
        <f t="shared" si="250"/>
        <v>9109.2454537499998</v>
      </c>
      <c r="L765" s="1290">
        <f t="shared" si="250"/>
        <v>9382.5228173624982</v>
      </c>
      <c r="M765" s="1290">
        <f t="shared" si="250"/>
        <v>9663.9985018833722</v>
      </c>
      <c r="Q765" s="282"/>
      <c r="R765" s="282"/>
      <c r="S765" s="1366">
        <f t="shared" si="231"/>
        <v>0</v>
      </c>
      <c r="T765" s="1366">
        <f t="shared" si="232"/>
        <v>0</v>
      </c>
      <c r="U765" s="1366">
        <f t="shared" si="233"/>
        <v>0</v>
      </c>
      <c r="V765" s="1366">
        <f t="shared" si="234"/>
        <v>0.14624999999999999</v>
      </c>
      <c r="W765" s="1366">
        <f t="shared" si="235"/>
        <v>0.14624999999999999</v>
      </c>
      <c r="X765" s="1366">
        <f t="shared" si="235"/>
        <v>0.14624999999999999</v>
      </c>
      <c r="Y765" s="1365"/>
      <c r="Z765" s="282"/>
      <c r="AA765" s="282"/>
    </row>
    <row r="766" spans="1:27" s="431" customFormat="1" outlineLevel="2" x14ac:dyDescent="0.25">
      <c r="A766" s="276">
        <f t="shared" si="247"/>
        <v>303</v>
      </c>
      <c r="B766" s="758" t="str">
        <f t="shared" si="225"/>
        <v>School Nurse</v>
      </c>
      <c r="C766" s="561"/>
      <c r="D766" s="428"/>
      <c r="G766" s="1290">
        <f t="shared" ref="G766:M766" si="251">G315*$C$90</f>
        <v>0</v>
      </c>
      <c r="H766" s="1290">
        <f t="shared" si="251"/>
        <v>0</v>
      </c>
      <c r="I766" s="1290">
        <f t="shared" si="251"/>
        <v>0</v>
      </c>
      <c r="J766" s="1290">
        <f t="shared" si="251"/>
        <v>0</v>
      </c>
      <c r="K766" s="1290">
        <f t="shared" si="251"/>
        <v>6392.4529499999999</v>
      </c>
      <c r="L766" s="1290">
        <f t="shared" si="251"/>
        <v>6584.2265384999992</v>
      </c>
      <c r="M766" s="1290">
        <f t="shared" si="251"/>
        <v>6781.753334654999</v>
      </c>
      <c r="Q766" s="282"/>
      <c r="R766" s="282"/>
      <c r="S766" s="1366">
        <f t="shared" si="231"/>
        <v>0</v>
      </c>
      <c r="T766" s="1366">
        <f t="shared" si="232"/>
        <v>0</v>
      </c>
      <c r="U766" s="1366">
        <f t="shared" si="233"/>
        <v>0</v>
      </c>
      <c r="V766" s="1366">
        <f t="shared" si="234"/>
        <v>0.14624999999999999</v>
      </c>
      <c r="W766" s="1366">
        <f t="shared" si="235"/>
        <v>0.14624999999999999</v>
      </c>
      <c r="X766" s="1366">
        <f t="shared" si="235"/>
        <v>0.14624999999999999</v>
      </c>
      <c r="Y766" s="1365"/>
      <c r="Z766" s="282"/>
      <c r="AA766" s="282"/>
    </row>
    <row r="767" spans="1:27" s="431" customFormat="1" outlineLevel="2" x14ac:dyDescent="0.25">
      <c r="A767" s="276">
        <f t="shared" si="247"/>
        <v>304</v>
      </c>
      <c r="B767" s="758" t="str">
        <f t="shared" si="225"/>
        <v>NSLP/Cafeteria Manager</v>
      </c>
      <c r="C767" s="561"/>
      <c r="D767" s="428"/>
      <c r="G767" s="1290">
        <f t="shared" ref="G767:M767" si="252">G316*$C$90</f>
        <v>0</v>
      </c>
      <c r="H767" s="1290">
        <f t="shared" si="252"/>
        <v>2948.3999999999996</v>
      </c>
      <c r="I767" s="1290">
        <f t="shared" si="252"/>
        <v>3036.8519999999999</v>
      </c>
      <c r="J767" s="1290">
        <f t="shared" si="252"/>
        <v>3127.9575599999998</v>
      </c>
      <c r="K767" s="1290">
        <f t="shared" si="252"/>
        <v>3221.7962867999995</v>
      </c>
      <c r="L767" s="1290">
        <f t="shared" si="252"/>
        <v>3318.4501754039993</v>
      </c>
      <c r="M767" s="1290">
        <f t="shared" si="252"/>
        <v>3418.0036806661192</v>
      </c>
      <c r="Q767" s="282"/>
      <c r="R767" s="282"/>
      <c r="S767" s="1366">
        <f t="shared" si="231"/>
        <v>0.14624999999999999</v>
      </c>
      <c r="T767" s="1366">
        <f t="shared" si="232"/>
        <v>0.14624999999999999</v>
      </c>
      <c r="U767" s="1366">
        <f t="shared" si="233"/>
        <v>0.14624999999999999</v>
      </c>
      <c r="V767" s="1366">
        <f t="shared" si="234"/>
        <v>0.14624999999999999</v>
      </c>
      <c r="W767" s="1366">
        <f t="shared" si="235"/>
        <v>0.14624999999999999</v>
      </c>
      <c r="X767" s="1366">
        <f t="shared" si="235"/>
        <v>0.14624999999999999</v>
      </c>
      <c r="Y767" s="1365"/>
      <c r="Z767" s="282"/>
      <c r="AA767" s="282"/>
    </row>
    <row r="768" spans="1:27" s="431" customFormat="1" outlineLevel="2" x14ac:dyDescent="0.25">
      <c r="A768" s="276">
        <f t="shared" ref="A768:A770" si="253">ROW(A305)</f>
        <v>305</v>
      </c>
      <c r="B768" s="758" t="str">
        <f t="shared" si="225"/>
        <v>Campus Monitor/Custodian</v>
      </c>
      <c r="C768" s="561"/>
      <c r="D768" s="428"/>
      <c r="G768" s="1290">
        <f t="shared" ref="G768:M768" si="254">G317*$C$90</f>
        <v>0</v>
      </c>
      <c r="H768" s="1290">
        <f t="shared" si="254"/>
        <v>0</v>
      </c>
      <c r="I768" s="1290">
        <f t="shared" si="254"/>
        <v>3904.5239999999999</v>
      </c>
      <c r="J768" s="1290">
        <f t="shared" si="254"/>
        <v>4021.6597199999997</v>
      </c>
      <c r="K768" s="1290">
        <f t="shared" si="254"/>
        <v>4142.3095115999995</v>
      </c>
      <c r="L768" s="1290">
        <f t="shared" si="254"/>
        <v>4266.5787969479989</v>
      </c>
      <c r="M768" s="1290">
        <f t="shared" si="254"/>
        <v>4394.5761608564389</v>
      </c>
      <c r="Q768" s="282"/>
      <c r="R768" s="282"/>
      <c r="S768" s="1366">
        <f t="shared" ref="S768:S770" si="255">IFERROR(H768/H317,0)</f>
        <v>0</v>
      </c>
      <c r="T768" s="1366">
        <f t="shared" ref="T768:T770" si="256">IFERROR(I768/I317,0)</f>
        <v>0.14624999999999999</v>
      </c>
      <c r="U768" s="1366">
        <f t="shared" ref="U768:U770" si="257">IFERROR(J768/J317,0)</f>
        <v>0.14624999999999999</v>
      </c>
      <c r="V768" s="1366">
        <f t="shared" ref="V768:V770" si="258">IFERROR(K768/K317,0)</f>
        <v>0.14624999999999999</v>
      </c>
      <c r="W768" s="1366">
        <f t="shared" ref="W768:X770" si="259">IFERROR(L768/L317,0)</f>
        <v>0.14624999999999999</v>
      </c>
      <c r="X768" s="1366">
        <f t="shared" si="259"/>
        <v>0.14624999999999999</v>
      </c>
      <c r="Y768" s="1365"/>
      <c r="Z768" s="282"/>
      <c r="AA768" s="282"/>
    </row>
    <row r="769" spans="1:27" s="431" customFormat="1" outlineLevel="2" x14ac:dyDescent="0.25">
      <c r="A769" s="276">
        <f t="shared" si="253"/>
        <v>306</v>
      </c>
      <c r="B769" s="758" t="str">
        <f t="shared" si="225"/>
        <v xml:space="preserve">Receptionist </v>
      </c>
      <c r="C769" s="561"/>
      <c r="D769" s="428"/>
      <c r="G769" s="1290">
        <f t="shared" ref="G769:M769" si="260">G318*$C$90</f>
        <v>0</v>
      </c>
      <c r="H769" s="1290">
        <f t="shared" si="260"/>
        <v>2685.1499999999996</v>
      </c>
      <c r="I769" s="1290">
        <f t="shared" si="260"/>
        <v>2765.7044999999998</v>
      </c>
      <c r="J769" s="1290">
        <f t="shared" si="260"/>
        <v>2848.6756349999996</v>
      </c>
      <c r="K769" s="1290">
        <f t="shared" si="260"/>
        <v>2934.1359040499997</v>
      </c>
      <c r="L769" s="1290">
        <f t="shared" si="260"/>
        <v>3022.1599811714996</v>
      </c>
      <c r="M769" s="1290">
        <f t="shared" si="260"/>
        <v>3112.8247806066447</v>
      </c>
      <c r="Q769" s="282"/>
      <c r="R769" s="282"/>
      <c r="S769" s="1366">
        <f t="shared" si="255"/>
        <v>0.14624999999999999</v>
      </c>
      <c r="T769" s="1366">
        <f t="shared" si="256"/>
        <v>0.14624999999999999</v>
      </c>
      <c r="U769" s="1366">
        <f t="shared" si="257"/>
        <v>0.14624999999999999</v>
      </c>
      <c r="V769" s="1366">
        <f t="shared" si="258"/>
        <v>0.14624999999999999</v>
      </c>
      <c r="W769" s="1366">
        <f t="shared" si="259"/>
        <v>0.14624999999999999</v>
      </c>
      <c r="X769" s="1366">
        <f t="shared" si="259"/>
        <v>0.14624999999999999</v>
      </c>
      <c r="Y769" s="1365"/>
      <c r="Z769" s="282"/>
      <c r="AA769" s="282"/>
    </row>
    <row r="770" spans="1:27" s="431" customFormat="1" outlineLevel="2" x14ac:dyDescent="0.25">
      <c r="A770" s="276">
        <f t="shared" si="253"/>
        <v>307</v>
      </c>
      <c r="B770" s="758" t="str">
        <f t="shared" si="225"/>
        <v>Clinic Aide / FASA</v>
      </c>
      <c r="C770" s="561"/>
      <c r="D770" s="428"/>
      <c r="G770" s="1290">
        <f t="shared" ref="G770:M771" si="261">G319*$C$90</f>
        <v>0</v>
      </c>
      <c r="H770" s="1290">
        <f t="shared" si="261"/>
        <v>0</v>
      </c>
      <c r="I770" s="1290">
        <f t="shared" si="261"/>
        <v>0</v>
      </c>
      <c r="J770" s="1290">
        <f t="shared" si="261"/>
        <v>2960.3884049999997</v>
      </c>
      <c r="K770" s="1290">
        <f t="shared" si="261"/>
        <v>3049.2000571499998</v>
      </c>
      <c r="L770" s="1290">
        <f t="shared" si="261"/>
        <v>3140.6760588644993</v>
      </c>
      <c r="M770" s="1290">
        <f t="shared" si="261"/>
        <v>3234.8963406304342</v>
      </c>
      <c r="Q770" s="282"/>
      <c r="R770" s="282"/>
      <c r="S770" s="1366">
        <f t="shared" si="255"/>
        <v>0</v>
      </c>
      <c r="T770" s="1366">
        <f t="shared" si="256"/>
        <v>0</v>
      </c>
      <c r="U770" s="1366">
        <f t="shared" si="257"/>
        <v>0.14624999999999999</v>
      </c>
      <c r="V770" s="1366">
        <f t="shared" si="258"/>
        <v>0.14624999999999999</v>
      </c>
      <c r="W770" s="1366">
        <f t="shared" si="259"/>
        <v>0.14624999999999999</v>
      </c>
      <c r="X770" s="1366">
        <f t="shared" si="259"/>
        <v>0.14624999999999999</v>
      </c>
      <c r="Y770" s="1365"/>
      <c r="Z770" s="282"/>
      <c r="AA770" s="282"/>
    </row>
    <row r="771" spans="1:27" s="431" customFormat="1" outlineLevel="2" x14ac:dyDescent="0.25">
      <c r="A771" s="276">
        <f>ROW(A305)</f>
        <v>305</v>
      </c>
      <c r="B771" s="377"/>
      <c r="C771" s="561"/>
      <c r="D771" s="428"/>
      <c r="G771" s="1290">
        <f t="shared" si="261"/>
        <v>0</v>
      </c>
      <c r="H771" s="1290">
        <f t="shared" si="261"/>
        <v>0</v>
      </c>
      <c r="I771" s="1290">
        <f t="shared" si="261"/>
        <v>0</v>
      </c>
      <c r="J771" s="1290">
        <f t="shared" si="261"/>
        <v>0</v>
      </c>
      <c r="K771" s="1290">
        <f t="shared" si="261"/>
        <v>0</v>
      </c>
      <c r="L771" s="1290">
        <f t="shared" si="261"/>
        <v>0</v>
      </c>
      <c r="M771" s="1290">
        <f t="shared" si="261"/>
        <v>0</v>
      </c>
      <c r="Q771" s="282"/>
      <c r="R771" s="282"/>
      <c r="S771" s="1366">
        <f t="shared" ref="S771" si="262">IFERROR(H771/H320,0)</f>
        <v>0</v>
      </c>
      <c r="T771" s="1366">
        <f t="shared" ref="T771" si="263">IFERROR(I771/I320,0)</f>
        <v>0</v>
      </c>
      <c r="U771" s="1366">
        <f t="shared" ref="U771" si="264">IFERROR(J771/J320,0)</f>
        <v>0</v>
      </c>
      <c r="V771" s="1366">
        <f t="shared" ref="V771" si="265">IFERROR(K771/K320,0)</f>
        <v>0</v>
      </c>
      <c r="W771" s="1366">
        <f t="shared" ref="W771:X771" si="266">IFERROR(L771/L320,0)</f>
        <v>0</v>
      </c>
      <c r="X771" s="1366">
        <f t="shared" si="266"/>
        <v>0</v>
      </c>
      <c r="Y771" s="1365"/>
      <c r="Z771" s="282"/>
      <c r="AA771" s="282"/>
    </row>
    <row r="772" spans="1:27" s="431" customFormat="1" outlineLevel="2" x14ac:dyDescent="0.25">
      <c r="A772" s="276">
        <f>ROW(A306)</f>
        <v>306</v>
      </c>
      <c r="B772" s="701" t="str">
        <f>$B$166</f>
        <v xml:space="preserve">Total Special Education/ELL Teachers/Guidance Counselors </v>
      </c>
      <c r="C772" s="733"/>
      <c r="D772" s="701"/>
      <c r="E772" s="750"/>
      <c r="F772" s="750"/>
      <c r="G772" s="1291">
        <f>SUM(G739:G767)</f>
        <v>0</v>
      </c>
      <c r="H772" s="1291">
        <f>SUM(H763:H771)+H760</f>
        <v>16602.3</v>
      </c>
      <c r="I772" s="1291">
        <f t="shared" ref="I772:M772" si="267">SUM(I763:I771)+I760</f>
        <v>26536.302</v>
      </c>
      <c r="J772" s="1291">
        <f t="shared" si="267"/>
        <v>47539.989899999993</v>
      </c>
      <c r="K772" s="1291">
        <f t="shared" si="267"/>
        <v>70566.288115050003</v>
      </c>
      <c r="L772" s="1291">
        <f t="shared" si="267"/>
        <v>81736.588248938962</v>
      </c>
      <c r="M772" s="1291">
        <f t="shared" si="267"/>
        <v>84188.685896407143</v>
      </c>
      <c r="Q772" s="282"/>
      <c r="R772" s="282"/>
      <c r="S772" s="1366">
        <f>IFERROR(H772/(H321+H309),0)</f>
        <v>0.14624999999999999</v>
      </c>
      <c r="T772" s="1366">
        <f t="shared" ref="T772:X772" si="268">IFERROR(I772/(I321+I309),0)</f>
        <v>0.14625000000000002</v>
      </c>
      <c r="U772" s="1366">
        <f t="shared" si="268"/>
        <v>0.14624999999999996</v>
      </c>
      <c r="V772" s="1366">
        <f t="shared" si="268"/>
        <v>0.14625000000000002</v>
      </c>
      <c r="W772" s="1366">
        <f t="shared" si="268"/>
        <v>0.14624999999999996</v>
      </c>
      <c r="X772" s="1366">
        <f t="shared" si="268"/>
        <v>0.14624999999999999</v>
      </c>
      <c r="Y772" s="1365"/>
      <c r="Z772" s="282"/>
      <c r="AA772" s="282"/>
    </row>
    <row r="773" spans="1:27" s="431" customFormat="1" outlineLevel="2" x14ac:dyDescent="0.25">
      <c r="A773" s="276">
        <f>ROW(A307)</f>
        <v>307</v>
      </c>
      <c r="B773" s="428"/>
      <c r="C773" s="561"/>
      <c r="D773" s="428"/>
      <c r="G773" s="1290"/>
      <c r="H773" s="1290"/>
      <c r="I773" s="1290"/>
      <c r="J773" s="1290"/>
      <c r="K773" s="1290"/>
      <c r="L773" s="1290"/>
      <c r="M773" s="1290"/>
      <c r="Q773" s="282"/>
      <c r="R773" s="282"/>
      <c r="S773" s="1366">
        <f t="shared" ref="S773:S778" si="269">IFERROR(H773/H322,0)</f>
        <v>0</v>
      </c>
      <c r="T773" s="1366">
        <f t="shared" ref="T773:T778" si="270">IFERROR(I773/I322,0)</f>
        <v>0</v>
      </c>
      <c r="U773" s="1366">
        <f t="shared" ref="U773:U778" si="271">IFERROR(J773/J322,0)</f>
        <v>0</v>
      </c>
      <c r="V773" s="1366">
        <f t="shared" ref="V773:V778" si="272">IFERROR(K773/K322,0)</f>
        <v>0</v>
      </c>
      <c r="W773" s="1366">
        <f t="shared" ref="W773:X778" si="273">IFERROR(L773/L322,0)</f>
        <v>0</v>
      </c>
      <c r="X773" s="1366">
        <f t="shared" si="273"/>
        <v>0</v>
      </c>
      <c r="Y773" s="1365"/>
      <c r="Z773" s="282"/>
      <c r="AA773" s="282"/>
    </row>
    <row r="774" spans="1:27" s="431" customFormat="1" outlineLevel="2" x14ac:dyDescent="0.25">
      <c r="A774" s="276">
        <f>ROW(A308)</f>
        <v>308</v>
      </c>
      <c r="B774" s="428"/>
      <c r="C774" s="561"/>
      <c r="D774" s="428"/>
      <c r="G774" s="1290"/>
      <c r="H774" s="1290"/>
      <c r="I774" s="1290"/>
      <c r="J774" s="1290"/>
      <c r="K774" s="1290"/>
      <c r="L774" s="1290"/>
      <c r="M774" s="1290"/>
      <c r="Q774" s="282"/>
      <c r="R774" s="282"/>
      <c r="S774" s="1366">
        <f t="shared" si="269"/>
        <v>0</v>
      </c>
      <c r="T774" s="1366">
        <f t="shared" si="270"/>
        <v>0</v>
      </c>
      <c r="U774" s="1366">
        <f t="shared" si="271"/>
        <v>0</v>
      </c>
      <c r="V774" s="1366">
        <f t="shared" si="272"/>
        <v>0</v>
      </c>
      <c r="W774" s="1366">
        <f t="shared" si="273"/>
        <v>0</v>
      </c>
      <c r="X774" s="1366">
        <f t="shared" si="273"/>
        <v>0</v>
      </c>
      <c r="Y774" s="1365"/>
      <c r="Z774" s="282"/>
      <c r="AA774" s="282"/>
    </row>
    <row r="775" spans="1:27" s="428" customFormat="1" outlineLevel="2" x14ac:dyDescent="0.25">
      <c r="A775" s="276">
        <f t="shared" ref="A775:A806" si="274">ROW(A323)</f>
        <v>323</v>
      </c>
      <c r="B775" s="758" t="str">
        <f>$B323</f>
        <v>Kindergarten Teacher</v>
      </c>
      <c r="C775" s="560"/>
      <c r="D775" s="429"/>
      <c r="G775" s="1290">
        <f t="shared" ref="G775:M777" si="275">G323*$C$90</f>
        <v>0</v>
      </c>
      <c r="H775" s="1290">
        <f t="shared" si="275"/>
        <v>6142.5</v>
      </c>
      <c r="I775" s="1290">
        <f t="shared" si="275"/>
        <v>6326.7749999999996</v>
      </c>
      <c r="J775" s="1290">
        <f t="shared" si="275"/>
        <v>6516.5782499999987</v>
      </c>
      <c r="K775" s="1290">
        <f t="shared" si="275"/>
        <v>6712.0755974999993</v>
      </c>
      <c r="L775" s="1290">
        <f t="shared" si="275"/>
        <v>6913.4378654249986</v>
      </c>
      <c r="M775" s="1290">
        <f t="shared" si="275"/>
        <v>7120.8410013877483</v>
      </c>
      <c r="N775" s="168"/>
      <c r="R775" s="282"/>
      <c r="S775" s="1366">
        <f t="shared" si="269"/>
        <v>0.14624999999999999</v>
      </c>
      <c r="T775" s="1366">
        <f t="shared" si="270"/>
        <v>0.14624999999999999</v>
      </c>
      <c r="U775" s="1366">
        <f t="shared" si="271"/>
        <v>0.14624999999999999</v>
      </c>
      <c r="V775" s="1366">
        <f t="shared" si="272"/>
        <v>0.14624999999999999</v>
      </c>
      <c r="W775" s="1366">
        <f t="shared" si="273"/>
        <v>0.14624999999999999</v>
      </c>
      <c r="X775" s="1366">
        <f t="shared" si="273"/>
        <v>0.14624999999999999</v>
      </c>
      <c r="Y775" s="1365"/>
      <c r="Z775" s="282"/>
      <c r="AA775" s="282"/>
    </row>
    <row r="776" spans="1:27" s="428" customFormat="1" outlineLevel="2" x14ac:dyDescent="0.25">
      <c r="A776" s="276">
        <f t="shared" si="274"/>
        <v>324</v>
      </c>
      <c r="B776" s="758" t="str">
        <f>$B324</f>
        <v>Kindergarten Teacher</v>
      </c>
      <c r="C776" s="560"/>
      <c r="D776" s="429"/>
      <c r="G776" s="1290">
        <f t="shared" si="275"/>
        <v>0</v>
      </c>
      <c r="H776" s="1290">
        <f t="shared" si="275"/>
        <v>6142.5</v>
      </c>
      <c r="I776" s="1290">
        <f t="shared" si="275"/>
        <v>6326.7749999999996</v>
      </c>
      <c r="J776" s="1290">
        <f t="shared" si="275"/>
        <v>6516.5782499999987</v>
      </c>
      <c r="K776" s="1290">
        <f t="shared" si="275"/>
        <v>6712.0755974999993</v>
      </c>
      <c r="L776" s="1290">
        <f t="shared" si="275"/>
        <v>6913.4378654249986</v>
      </c>
      <c r="M776" s="1290">
        <f t="shared" si="275"/>
        <v>7120.8410013877483</v>
      </c>
      <c r="N776" s="168"/>
      <c r="R776" s="282"/>
      <c r="S776" s="1366">
        <f t="shared" si="269"/>
        <v>0.14624999999999999</v>
      </c>
      <c r="T776" s="1366">
        <f t="shared" si="270"/>
        <v>0.14624999999999999</v>
      </c>
      <c r="U776" s="1366">
        <f t="shared" si="271"/>
        <v>0.14624999999999999</v>
      </c>
      <c r="V776" s="1366">
        <f t="shared" si="272"/>
        <v>0.14624999999999999</v>
      </c>
      <c r="W776" s="1366">
        <f t="shared" si="273"/>
        <v>0.14624999999999999</v>
      </c>
      <c r="X776" s="1366">
        <f t="shared" si="273"/>
        <v>0.14624999999999999</v>
      </c>
      <c r="Y776" s="1365"/>
      <c r="Z776" s="282"/>
      <c r="AA776" s="282"/>
    </row>
    <row r="777" spans="1:27" s="428" customFormat="1" outlineLevel="2" x14ac:dyDescent="0.25">
      <c r="A777" s="276">
        <f t="shared" si="274"/>
        <v>325</v>
      </c>
      <c r="B777" s="758" t="str">
        <f>$B325</f>
        <v>Kindergarten Teacher</v>
      </c>
      <c r="C777" s="560"/>
      <c r="D777" s="429"/>
      <c r="G777" s="1290">
        <f t="shared" si="275"/>
        <v>0</v>
      </c>
      <c r="H777" s="1290">
        <f t="shared" si="275"/>
        <v>6142.5</v>
      </c>
      <c r="I777" s="1290">
        <f t="shared" si="275"/>
        <v>6326.7749999999996</v>
      </c>
      <c r="J777" s="1290">
        <f t="shared" si="275"/>
        <v>6516.5782499999987</v>
      </c>
      <c r="K777" s="1290">
        <f t="shared" si="275"/>
        <v>6712.0755974999993</v>
      </c>
      <c r="L777" s="1290">
        <f t="shared" si="275"/>
        <v>6913.4378654249986</v>
      </c>
      <c r="M777" s="1290">
        <f t="shared" si="275"/>
        <v>7120.8410013877483</v>
      </c>
      <c r="N777" s="168"/>
      <c r="R777" s="282"/>
      <c r="S777" s="1366">
        <f t="shared" si="269"/>
        <v>0</v>
      </c>
      <c r="T777" s="1366">
        <f t="shared" si="270"/>
        <v>0</v>
      </c>
      <c r="U777" s="1366">
        <f t="shared" si="271"/>
        <v>0</v>
      </c>
      <c r="V777" s="1366">
        <f t="shared" si="272"/>
        <v>0</v>
      </c>
      <c r="W777" s="1366">
        <f t="shared" si="273"/>
        <v>0</v>
      </c>
      <c r="X777" s="1366">
        <f t="shared" si="273"/>
        <v>0</v>
      </c>
      <c r="Y777" s="1365"/>
      <c r="Z777" s="282"/>
      <c r="AA777" s="282"/>
    </row>
    <row r="778" spans="1:27" s="428" customFormat="1" outlineLevel="2" x14ac:dyDescent="0.25">
      <c r="A778" s="276">
        <f t="shared" si="274"/>
        <v>326</v>
      </c>
      <c r="B778" s="758"/>
      <c r="C778" s="560"/>
      <c r="D778" s="429"/>
      <c r="G778" s="1290"/>
      <c r="H778" s="1290"/>
      <c r="I778" s="1290"/>
      <c r="J778" s="1290"/>
      <c r="K778" s="1290"/>
      <c r="L778" s="1290"/>
      <c r="M778" s="1290"/>
      <c r="N778" s="168"/>
      <c r="R778" s="282"/>
      <c r="S778" s="1366">
        <f t="shared" si="269"/>
        <v>0</v>
      </c>
      <c r="T778" s="1366">
        <f t="shared" si="270"/>
        <v>0</v>
      </c>
      <c r="U778" s="1366">
        <f t="shared" si="271"/>
        <v>0</v>
      </c>
      <c r="V778" s="1366">
        <f t="shared" si="272"/>
        <v>0</v>
      </c>
      <c r="W778" s="1366">
        <f t="shared" si="273"/>
        <v>0</v>
      </c>
      <c r="X778" s="1366">
        <f t="shared" si="273"/>
        <v>0</v>
      </c>
      <c r="Y778" s="1365"/>
      <c r="Z778" s="282"/>
      <c r="AA778" s="282"/>
    </row>
    <row r="779" spans="1:27" s="428" customFormat="1" outlineLevel="2" x14ac:dyDescent="0.25">
      <c r="A779" s="276">
        <f t="shared" si="274"/>
        <v>327</v>
      </c>
      <c r="B779" s="758" t="str">
        <f>$B327</f>
        <v>Kindergarten Teacher</v>
      </c>
      <c r="C779" s="560"/>
      <c r="D779" s="429"/>
      <c r="G779" s="1290">
        <f t="shared" ref="G779:M783" si="276">G327*$C$90</f>
        <v>0</v>
      </c>
      <c r="H779" s="1290">
        <f t="shared" si="276"/>
        <v>6142.5</v>
      </c>
      <c r="I779" s="1290">
        <f t="shared" si="276"/>
        <v>6326.7749999999996</v>
      </c>
      <c r="J779" s="1290">
        <f t="shared" si="276"/>
        <v>6516.5782499999987</v>
      </c>
      <c r="K779" s="1290">
        <f t="shared" si="276"/>
        <v>6712.0755974999993</v>
      </c>
      <c r="L779" s="1290">
        <f t="shared" si="276"/>
        <v>6913.4378654249986</v>
      </c>
      <c r="M779" s="1290">
        <f t="shared" si="276"/>
        <v>7120.8410013877483</v>
      </c>
      <c r="N779" s="168"/>
      <c r="R779" s="282"/>
      <c r="S779" s="1366">
        <f>IFERROR(H779/H327,0)</f>
        <v>0.14624999999999999</v>
      </c>
      <c r="T779" s="1366">
        <f t="shared" ref="T779:X779" si="277">IFERROR(I779/I327,0)</f>
        <v>0.14624999999999999</v>
      </c>
      <c r="U779" s="1366">
        <f t="shared" si="277"/>
        <v>0.14624999999999999</v>
      </c>
      <c r="V779" s="1366">
        <f t="shared" si="277"/>
        <v>0.14624999999999999</v>
      </c>
      <c r="W779" s="1366">
        <f t="shared" si="277"/>
        <v>0.14624999999999999</v>
      </c>
      <c r="X779" s="1366">
        <f t="shared" si="277"/>
        <v>0.14624999999999999</v>
      </c>
      <c r="Y779" s="1365"/>
      <c r="Z779" s="282"/>
      <c r="AA779" s="282"/>
    </row>
    <row r="780" spans="1:27" s="428" customFormat="1" outlineLevel="2" x14ac:dyDescent="0.25">
      <c r="A780" s="276">
        <f t="shared" si="274"/>
        <v>328</v>
      </c>
      <c r="B780" s="758" t="str">
        <f>$B328</f>
        <v>1st Grade Teacher</v>
      </c>
      <c r="C780" s="560"/>
      <c r="D780" s="429"/>
      <c r="G780" s="1290">
        <f t="shared" si="276"/>
        <v>0</v>
      </c>
      <c r="H780" s="1290">
        <f t="shared" si="276"/>
        <v>6142.5</v>
      </c>
      <c r="I780" s="1290">
        <f t="shared" si="276"/>
        <v>6326.7749999999996</v>
      </c>
      <c r="J780" s="1290">
        <f t="shared" si="276"/>
        <v>6516.5782499999987</v>
      </c>
      <c r="K780" s="1290">
        <f t="shared" si="276"/>
        <v>6712.0755974999993</v>
      </c>
      <c r="L780" s="1290">
        <f t="shared" si="276"/>
        <v>6913.4378654249986</v>
      </c>
      <c r="M780" s="1290">
        <f t="shared" si="276"/>
        <v>7120.8410013877483</v>
      </c>
      <c r="N780" s="168"/>
      <c r="R780" s="282"/>
      <c r="S780" s="1366">
        <f t="shared" ref="S780:S782" si="278">IFERROR(H780/H328,0)</f>
        <v>0.14624999999999999</v>
      </c>
      <c r="T780" s="1366">
        <f t="shared" ref="T780:T782" si="279">IFERROR(I780/I328,0)</f>
        <v>0.14624999999999999</v>
      </c>
      <c r="U780" s="1366">
        <f t="shared" ref="U780:U782" si="280">IFERROR(J780/J328,0)</f>
        <v>0.14624999999999999</v>
      </c>
      <c r="V780" s="1366">
        <f t="shared" ref="V780:V782" si="281">IFERROR(K780/K328,0)</f>
        <v>0.14624999999999999</v>
      </c>
      <c r="W780" s="1366">
        <f t="shared" ref="W780:X782" si="282">IFERROR(L780/L328,0)</f>
        <v>0.14624999999999999</v>
      </c>
      <c r="X780" s="1366">
        <f t="shared" si="282"/>
        <v>0.14624999999999999</v>
      </c>
      <c r="Y780" s="1365"/>
      <c r="Z780" s="282"/>
      <c r="AA780" s="282"/>
    </row>
    <row r="781" spans="1:27" s="428" customFormat="1" outlineLevel="2" x14ac:dyDescent="0.25">
      <c r="A781" s="276">
        <f t="shared" si="274"/>
        <v>329</v>
      </c>
      <c r="B781" s="758" t="str">
        <f>$B329</f>
        <v>1st Grade Teacher</v>
      </c>
      <c r="C781" s="560"/>
      <c r="D781" s="429"/>
      <c r="G781" s="1290">
        <f t="shared" si="276"/>
        <v>0</v>
      </c>
      <c r="H781" s="1290">
        <f t="shared" si="276"/>
        <v>6142.5</v>
      </c>
      <c r="I781" s="1290">
        <f t="shared" si="276"/>
        <v>6326.7749999999996</v>
      </c>
      <c r="J781" s="1290">
        <f t="shared" si="276"/>
        <v>6516.5782499999987</v>
      </c>
      <c r="K781" s="1290">
        <f t="shared" si="276"/>
        <v>6712.0755974999993</v>
      </c>
      <c r="L781" s="1290">
        <f t="shared" si="276"/>
        <v>6913.4378654249986</v>
      </c>
      <c r="M781" s="1290">
        <f t="shared" si="276"/>
        <v>7120.8410013877483</v>
      </c>
      <c r="N781" s="168"/>
      <c r="R781" s="282"/>
      <c r="S781" s="1366">
        <f t="shared" si="278"/>
        <v>0.14624999999999999</v>
      </c>
      <c r="T781" s="1366">
        <f t="shared" si="279"/>
        <v>0.14624999999999999</v>
      </c>
      <c r="U781" s="1366">
        <f t="shared" si="280"/>
        <v>0.14624999999999999</v>
      </c>
      <c r="V781" s="1366">
        <f t="shared" si="281"/>
        <v>0.14624999999999999</v>
      </c>
      <c r="W781" s="1366">
        <f t="shared" si="282"/>
        <v>0.14624999999999999</v>
      </c>
      <c r="X781" s="1366">
        <f t="shared" si="282"/>
        <v>0.14624999999999999</v>
      </c>
      <c r="Y781" s="1365"/>
      <c r="Z781" s="282"/>
      <c r="AA781" s="282"/>
    </row>
    <row r="782" spans="1:27" s="428" customFormat="1" outlineLevel="2" x14ac:dyDescent="0.25">
      <c r="A782" s="276">
        <f t="shared" si="274"/>
        <v>330</v>
      </c>
      <c r="B782" s="758" t="str">
        <f>$B330</f>
        <v>1st Grade Teacher</v>
      </c>
      <c r="C782" s="560"/>
      <c r="D782" s="429"/>
      <c r="G782" s="1290">
        <f t="shared" si="276"/>
        <v>0</v>
      </c>
      <c r="H782" s="1290">
        <f t="shared" si="276"/>
        <v>0</v>
      </c>
      <c r="I782" s="1290">
        <f t="shared" si="276"/>
        <v>6421.6766250000001</v>
      </c>
      <c r="J782" s="1290">
        <f t="shared" si="276"/>
        <v>6614.3269237499999</v>
      </c>
      <c r="K782" s="1290">
        <f t="shared" si="276"/>
        <v>6812.7567314624994</v>
      </c>
      <c r="L782" s="1290">
        <f t="shared" si="276"/>
        <v>7017.1394334063734</v>
      </c>
      <c r="M782" s="1290">
        <f t="shared" si="276"/>
        <v>7227.6536164085655</v>
      </c>
      <c r="N782" s="168"/>
      <c r="R782" s="282"/>
      <c r="S782" s="1366">
        <f t="shared" si="278"/>
        <v>0</v>
      </c>
      <c r="T782" s="1366">
        <f t="shared" si="279"/>
        <v>0.14624999999999999</v>
      </c>
      <c r="U782" s="1366">
        <f t="shared" si="280"/>
        <v>0.14624999999999999</v>
      </c>
      <c r="V782" s="1366">
        <f t="shared" si="281"/>
        <v>0.14624999999999999</v>
      </c>
      <c r="W782" s="1366">
        <f t="shared" si="282"/>
        <v>0.14624999999999999</v>
      </c>
      <c r="X782" s="1366">
        <f t="shared" si="282"/>
        <v>0.14624999999999999</v>
      </c>
      <c r="Y782" s="1365"/>
      <c r="Z782" s="282"/>
      <c r="AA782" s="282"/>
    </row>
    <row r="783" spans="1:27" s="431" customFormat="1" outlineLevel="2" x14ac:dyDescent="0.25">
      <c r="A783" s="276">
        <f t="shared" si="274"/>
        <v>331</v>
      </c>
      <c r="B783" s="758" t="str">
        <f>$B331</f>
        <v>1st Grade Teacher</v>
      </c>
      <c r="C783" s="560"/>
      <c r="D783" s="429"/>
      <c r="G783" s="1290">
        <f t="shared" si="276"/>
        <v>0</v>
      </c>
      <c r="H783" s="1290">
        <f t="shared" si="276"/>
        <v>0</v>
      </c>
      <c r="I783" s="1290">
        <f t="shared" si="276"/>
        <v>6421.6766250000001</v>
      </c>
      <c r="J783" s="1290">
        <f t="shared" si="276"/>
        <v>6614.3269237499999</v>
      </c>
      <c r="K783" s="1290">
        <f t="shared" si="276"/>
        <v>6812.7567314624994</v>
      </c>
      <c r="L783" s="1290">
        <f t="shared" si="276"/>
        <v>7017.1394334063734</v>
      </c>
      <c r="M783" s="1290">
        <f t="shared" si="276"/>
        <v>7227.6536164085655</v>
      </c>
      <c r="N783" s="141"/>
      <c r="R783" s="282"/>
      <c r="S783" s="1366">
        <f t="shared" ref="S783:S846" si="283">IFERROR(H783/H331,0)</f>
        <v>0</v>
      </c>
      <c r="T783" s="1366">
        <f t="shared" ref="T783:T846" si="284">IFERROR(I783/I331,0)</f>
        <v>0.14624999999999999</v>
      </c>
      <c r="U783" s="1366">
        <f t="shared" ref="U783:U846" si="285">IFERROR(J783/J331,0)</f>
        <v>0.14624999999999999</v>
      </c>
      <c r="V783" s="1366">
        <f t="shared" ref="V783:V846" si="286">IFERROR(K783/K331,0)</f>
        <v>0.14624999999999999</v>
      </c>
      <c r="W783" s="1366">
        <f t="shared" ref="W783:X846" si="287">IFERROR(L783/L331,0)</f>
        <v>0.14624999999999999</v>
      </c>
      <c r="X783" s="1366">
        <f t="shared" si="287"/>
        <v>0.14624999999999999</v>
      </c>
      <c r="Y783" s="1365"/>
      <c r="Z783" s="282"/>
      <c r="AA783" s="282"/>
    </row>
    <row r="784" spans="1:27" s="431" customFormat="1" outlineLevel="2" x14ac:dyDescent="0.25">
      <c r="A784" s="276">
        <f t="shared" si="274"/>
        <v>332</v>
      </c>
      <c r="B784" s="758"/>
      <c r="C784" s="561"/>
      <c r="D784" s="428"/>
      <c r="G784" s="1290"/>
      <c r="H784" s="1290"/>
      <c r="I784" s="1290"/>
      <c r="J784" s="1290"/>
      <c r="K784" s="1290"/>
      <c r="L784" s="1290"/>
      <c r="M784" s="1290"/>
      <c r="N784" s="141"/>
      <c r="R784" s="282"/>
      <c r="S784" s="1366">
        <f t="shared" si="283"/>
        <v>0</v>
      </c>
      <c r="T784" s="1366">
        <f t="shared" si="284"/>
        <v>0</v>
      </c>
      <c r="U784" s="1366">
        <f t="shared" si="285"/>
        <v>0</v>
      </c>
      <c r="V784" s="1366">
        <f t="shared" si="286"/>
        <v>0</v>
      </c>
      <c r="W784" s="1366">
        <f t="shared" si="287"/>
        <v>0</v>
      </c>
      <c r="X784" s="1366">
        <f t="shared" si="287"/>
        <v>0</v>
      </c>
      <c r="Y784" s="1365"/>
      <c r="Z784" s="282"/>
      <c r="AA784" s="282"/>
    </row>
    <row r="785" spans="1:27" s="428" customFormat="1" outlineLevel="2" x14ac:dyDescent="0.25">
      <c r="A785" s="276">
        <f t="shared" si="274"/>
        <v>333</v>
      </c>
      <c r="B785" s="758" t="str">
        <f>$B333</f>
        <v>2nd Grade Teacher</v>
      </c>
      <c r="C785" s="560"/>
      <c r="D785" s="429"/>
      <c r="G785" s="1290">
        <f t="shared" ref="G785:M789" si="288">G333*$C$90</f>
        <v>0</v>
      </c>
      <c r="H785" s="1290">
        <f t="shared" si="288"/>
        <v>6142.5</v>
      </c>
      <c r="I785" s="1290">
        <f t="shared" si="288"/>
        <v>6326.7749999999996</v>
      </c>
      <c r="J785" s="1290">
        <f t="shared" si="288"/>
        <v>6516.5782499999987</v>
      </c>
      <c r="K785" s="1290">
        <f t="shared" si="288"/>
        <v>6712.0755974999993</v>
      </c>
      <c r="L785" s="1290">
        <f t="shared" si="288"/>
        <v>6913.4378654249986</v>
      </c>
      <c r="M785" s="1290">
        <f t="shared" si="288"/>
        <v>7120.8410013877483</v>
      </c>
      <c r="N785" s="168"/>
      <c r="R785" s="282"/>
      <c r="S785" s="1366">
        <f t="shared" si="283"/>
        <v>0.14624999999999999</v>
      </c>
      <c r="T785" s="1366">
        <f t="shared" si="284"/>
        <v>0.14624999999999999</v>
      </c>
      <c r="U785" s="1366">
        <f t="shared" si="285"/>
        <v>0.14624999999999999</v>
      </c>
      <c r="V785" s="1366">
        <f t="shared" si="286"/>
        <v>0.14624999999999999</v>
      </c>
      <c r="W785" s="1366">
        <f t="shared" si="287"/>
        <v>0.14624999999999999</v>
      </c>
      <c r="X785" s="1366">
        <f t="shared" si="287"/>
        <v>0.14624999999999999</v>
      </c>
      <c r="Y785" s="1365"/>
      <c r="Z785" s="282"/>
      <c r="AA785" s="282"/>
    </row>
    <row r="786" spans="1:27" s="428" customFormat="1" outlineLevel="2" x14ac:dyDescent="0.25">
      <c r="A786" s="276">
        <f t="shared" si="274"/>
        <v>334</v>
      </c>
      <c r="B786" s="758" t="str">
        <f>$B334</f>
        <v>2nd Grade Teacher</v>
      </c>
      <c r="C786" s="560"/>
      <c r="D786" s="429"/>
      <c r="G786" s="1290">
        <f t="shared" si="288"/>
        <v>0</v>
      </c>
      <c r="H786" s="1290">
        <f t="shared" si="288"/>
        <v>6142.5</v>
      </c>
      <c r="I786" s="1290">
        <f t="shared" si="288"/>
        <v>6326.7749999999996</v>
      </c>
      <c r="J786" s="1290">
        <f t="shared" si="288"/>
        <v>6516.5782499999987</v>
      </c>
      <c r="K786" s="1290">
        <f t="shared" si="288"/>
        <v>6712.0755974999993</v>
      </c>
      <c r="L786" s="1290">
        <f t="shared" si="288"/>
        <v>6913.4378654249986</v>
      </c>
      <c r="M786" s="1290">
        <f t="shared" si="288"/>
        <v>7120.8410013877483</v>
      </c>
      <c r="N786" s="168"/>
      <c r="R786" s="282"/>
      <c r="S786" s="1366">
        <f t="shared" si="283"/>
        <v>0.14624999999999999</v>
      </c>
      <c r="T786" s="1366">
        <f t="shared" si="284"/>
        <v>0.14624999999999999</v>
      </c>
      <c r="U786" s="1366">
        <f t="shared" si="285"/>
        <v>0.14624999999999999</v>
      </c>
      <c r="V786" s="1366">
        <f t="shared" si="286"/>
        <v>0.14624999999999999</v>
      </c>
      <c r="W786" s="1366">
        <f t="shared" si="287"/>
        <v>0.14624999999999999</v>
      </c>
      <c r="X786" s="1366">
        <f t="shared" si="287"/>
        <v>0.14624999999999999</v>
      </c>
      <c r="Y786" s="1365"/>
      <c r="Z786" s="282"/>
      <c r="AA786" s="282"/>
    </row>
    <row r="787" spans="1:27" s="428" customFormat="1" outlineLevel="2" x14ac:dyDescent="0.25">
      <c r="A787" s="276">
        <f t="shared" si="274"/>
        <v>335</v>
      </c>
      <c r="B787" s="758" t="str">
        <f>$B335</f>
        <v>2nd Grade Teacher</v>
      </c>
      <c r="C787" s="560"/>
      <c r="D787" s="429"/>
      <c r="G787" s="1290">
        <f t="shared" si="288"/>
        <v>0</v>
      </c>
      <c r="H787" s="1290">
        <f t="shared" si="288"/>
        <v>0</v>
      </c>
      <c r="I787" s="1290">
        <f t="shared" si="288"/>
        <v>6421.6766250000001</v>
      </c>
      <c r="J787" s="1290">
        <f t="shared" si="288"/>
        <v>6614.3269237499999</v>
      </c>
      <c r="K787" s="1290">
        <f t="shared" si="288"/>
        <v>6812.7567314624994</v>
      </c>
      <c r="L787" s="1290">
        <f t="shared" si="288"/>
        <v>7017.1394334063734</v>
      </c>
      <c r="M787" s="1290">
        <f t="shared" si="288"/>
        <v>7227.6536164085655</v>
      </c>
      <c r="N787" s="168"/>
      <c r="R787" s="282"/>
      <c r="S787" s="1366">
        <f t="shared" si="283"/>
        <v>0</v>
      </c>
      <c r="T787" s="1366">
        <f t="shared" si="284"/>
        <v>0.14624999999999999</v>
      </c>
      <c r="U787" s="1366">
        <f t="shared" si="285"/>
        <v>0.14624999999999999</v>
      </c>
      <c r="V787" s="1366">
        <f t="shared" si="286"/>
        <v>0.14624999999999999</v>
      </c>
      <c r="W787" s="1366">
        <f t="shared" si="287"/>
        <v>0.14624999999999999</v>
      </c>
      <c r="X787" s="1366">
        <f t="shared" si="287"/>
        <v>0.14624999999999999</v>
      </c>
      <c r="Y787" s="1365"/>
      <c r="Z787" s="282"/>
      <c r="AA787" s="282"/>
    </row>
    <row r="788" spans="1:27" s="428" customFormat="1" outlineLevel="2" x14ac:dyDescent="0.25">
      <c r="A788" s="276">
        <f t="shared" si="274"/>
        <v>336</v>
      </c>
      <c r="B788" s="758" t="str">
        <f>$B336</f>
        <v>2nd Grade Teacher</v>
      </c>
      <c r="C788" s="560"/>
      <c r="D788" s="429"/>
      <c r="G788" s="1290">
        <f t="shared" si="288"/>
        <v>0</v>
      </c>
      <c r="H788" s="1290">
        <f t="shared" si="288"/>
        <v>0</v>
      </c>
      <c r="I788" s="1290">
        <f t="shared" si="288"/>
        <v>6421.6766250000001</v>
      </c>
      <c r="J788" s="1290">
        <f t="shared" si="288"/>
        <v>6614.3269237499999</v>
      </c>
      <c r="K788" s="1290">
        <f t="shared" si="288"/>
        <v>6812.7567314624994</v>
      </c>
      <c r="L788" s="1290">
        <f t="shared" si="288"/>
        <v>7017.1394334063734</v>
      </c>
      <c r="M788" s="1290">
        <f t="shared" si="288"/>
        <v>7227.6536164085655</v>
      </c>
      <c r="N788" s="168"/>
      <c r="R788" s="282"/>
      <c r="S788" s="1366">
        <f t="shared" si="283"/>
        <v>0</v>
      </c>
      <c r="T788" s="1366">
        <f t="shared" si="284"/>
        <v>0.14624999999999999</v>
      </c>
      <c r="U788" s="1366">
        <f t="shared" si="285"/>
        <v>0.14624999999999999</v>
      </c>
      <c r="V788" s="1366">
        <f t="shared" si="286"/>
        <v>0.14624999999999999</v>
      </c>
      <c r="W788" s="1366">
        <f t="shared" si="287"/>
        <v>0.14624999999999999</v>
      </c>
      <c r="X788" s="1366">
        <f t="shared" si="287"/>
        <v>0.14624999999999999</v>
      </c>
      <c r="Y788" s="1365"/>
      <c r="Z788" s="282"/>
      <c r="AA788" s="282"/>
    </row>
    <row r="789" spans="1:27" s="428" customFormat="1" outlineLevel="2" x14ac:dyDescent="0.25">
      <c r="A789" s="276">
        <f t="shared" si="274"/>
        <v>337</v>
      </c>
      <c r="B789" s="758" t="str">
        <f>$B337</f>
        <v>3rd Grade Teacher</v>
      </c>
      <c r="C789" s="560"/>
      <c r="D789" s="429"/>
      <c r="G789" s="1290">
        <f t="shared" si="288"/>
        <v>0</v>
      </c>
      <c r="H789" s="1290">
        <f t="shared" si="288"/>
        <v>6142.5</v>
      </c>
      <c r="I789" s="1290">
        <f t="shared" si="288"/>
        <v>6326.7749999999996</v>
      </c>
      <c r="J789" s="1290">
        <f t="shared" si="288"/>
        <v>6516.5782499999987</v>
      </c>
      <c r="K789" s="1290">
        <f t="shared" si="288"/>
        <v>6712.0755974999993</v>
      </c>
      <c r="L789" s="1290">
        <f t="shared" si="288"/>
        <v>6913.4378654249986</v>
      </c>
      <c r="M789" s="1290">
        <f t="shared" si="288"/>
        <v>7120.8410013877483</v>
      </c>
      <c r="N789" s="168"/>
      <c r="R789" s="282"/>
      <c r="S789" s="1366">
        <f t="shared" si="283"/>
        <v>0.14624999999999999</v>
      </c>
      <c r="T789" s="1366">
        <f t="shared" si="284"/>
        <v>0.14624999999999999</v>
      </c>
      <c r="U789" s="1366">
        <f t="shared" si="285"/>
        <v>0.14624999999999999</v>
      </c>
      <c r="V789" s="1366">
        <f t="shared" si="286"/>
        <v>0.14624999999999999</v>
      </c>
      <c r="W789" s="1366">
        <f t="shared" si="287"/>
        <v>0.14624999999999999</v>
      </c>
      <c r="X789" s="1366">
        <f t="shared" si="287"/>
        <v>0.14624999999999999</v>
      </c>
      <c r="Y789" s="1365"/>
      <c r="Z789" s="282"/>
      <c r="AA789" s="282"/>
    </row>
    <row r="790" spans="1:27" s="428" customFormat="1" outlineLevel="2" x14ac:dyDescent="0.25">
      <c r="A790" s="276">
        <f t="shared" si="274"/>
        <v>338</v>
      </c>
      <c r="B790" s="758"/>
      <c r="C790" s="560"/>
      <c r="D790" s="429"/>
      <c r="G790" s="1290"/>
      <c r="H790" s="1290"/>
      <c r="I790" s="1290"/>
      <c r="J790" s="1290"/>
      <c r="K790" s="1290"/>
      <c r="L790" s="1290"/>
      <c r="M790" s="1290"/>
      <c r="N790" s="168"/>
      <c r="R790" s="282"/>
      <c r="S790" s="1366">
        <f t="shared" si="283"/>
        <v>0</v>
      </c>
      <c r="T790" s="1366">
        <f t="shared" si="284"/>
        <v>0</v>
      </c>
      <c r="U790" s="1366">
        <f t="shared" si="285"/>
        <v>0</v>
      </c>
      <c r="V790" s="1366">
        <f t="shared" si="286"/>
        <v>0</v>
      </c>
      <c r="W790" s="1366">
        <f t="shared" si="287"/>
        <v>0</v>
      </c>
      <c r="X790" s="1366">
        <f t="shared" si="287"/>
        <v>0</v>
      </c>
      <c r="Y790" s="1365"/>
      <c r="Z790" s="282"/>
      <c r="AA790" s="282"/>
    </row>
    <row r="791" spans="1:27" s="428" customFormat="1" outlineLevel="2" x14ac:dyDescent="0.25">
      <c r="A791" s="276">
        <f t="shared" si="274"/>
        <v>339</v>
      </c>
      <c r="B791" s="758" t="str">
        <f>$B339</f>
        <v>3rd Grade Teacher</v>
      </c>
      <c r="C791" s="560"/>
      <c r="D791" s="429"/>
      <c r="G791" s="1290">
        <f t="shared" ref="G791:M795" si="289">G339*$C$90</f>
        <v>0</v>
      </c>
      <c r="H791" s="1290">
        <f t="shared" si="289"/>
        <v>6142.5</v>
      </c>
      <c r="I791" s="1290">
        <f t="shared" si="289"/>
        <v>6326.7749999999996</v>
      </c>
      <c r="J791" s="1290">
        <f t="shared" si="289"/>
        <v>6516.5782499999987</v>
      </c>
      <c r="K791" s="1290">
        <f t="shared" si="289"/>
        <v>6712.0755974999993</v>
      </c>
      <c r="L791" s="1290">
        <f t="shared" si="289"/>
        <v>6913.4378654249986</v>
      </c>
      <c r="M791" s="1290">
        <f t="shared" si="289"/>
        <v>7120.8410013877483</v>
      </c>
      <c r="N791" s="168"/>
      <c r="R791" s="282"/>
      <c r="S791" s="1366">
        <f t="shared" si="283"/>
        <v>0.14624999999999999</v>
      </c>
      <c r="T791" s="1366">
        <f t="shared" si="284"/>
        <v>0.14624999999999999</v>
      </c>
      <c r="U791" s="1366">
        <f t="shared" si="285"/>
        <v>0.14624999999999999</v>
      </c>
      <c r="V791" s="1366">
        <f t="shared" si="286"/>
        <v>0.14624999999999999</v>
      </c>
      <c r="W791" s="1366">
        <f t="shared" si="287"/>
        <v>0.14624999999999999</v>
      </c>
      <c r="X791" s="1366">
        <f t="shared" si="287"/>
        <v>0.14624999999999999</v>
      </c>
      <c r="Y791" s="1365"/>
      <c r="Z791" s="282"/>
      <c r="AA791" s="282"/>
    </row>
    <row r="792" spans="1:27" s="428" customFormat="1" outlineLevel="2" x14ac:dyDescent="0.25">
      <c r="A792" s="276">
        <f t="shared" si="274"/>
        <v>340</v>
      </c>
      <c r="B792" s="758" t="str">
        <f>$B340</f>
        <v>3rd Grade Teacher</v>
      </c>
      <c r="C792" s="560"/>
      <c r="D792" s="429"/>
      <c r="G792" s="1290">
        <f t="shared" si="289"/>
        <v>0</v>
      </c>
      <c r="H792" s="1290">
        <f t="shared" si="289"/>
        <v>0</v>
      </c>
      <c r="I792" s="1290">
        <f t="shared" si="289"/>
        <v>6421.6766250000001</v>
      </c>
      <c r="J792" s="1290">
        <f t="shared" si="289"/>
        <v>6614.3269237499999</v>
      </c>
      <c r="K792" s="1290">
        <f t="shared" si="289"/>
        <v>6812.7567314624994</v>
      </c>
      <c r="L792" s="1290">
        <f t="shared" si="289"/>
        <v>7017.1394334063734</v>
      </c>
      <c r="M792" s="1290">
        <f t="shared" si="289"/>
        <v>7227.6536164085655</v>
      </c>
      <c r="N792" s="168"/>
      <c r="R792" s="282"/>
      <c r="S792" s="1366">
        <f t="shared" si="283"/>
        <v>0</v>
      </c>
      <c r="T792" s="1366">
        <f t="shared" si="284"/>
        <v>0.14624999999999999</v>
      </c>
      <c r="U792" s="1366">
        <f t="shared" si="285"/>
        <v>0.14624999999999999</v>
      </c>
      <c r="V792" s="1366">
        <f t="shared" si="286"/>
        <v>0.14624999999999999</v>
      </c>
      <c r="W792" s="1366">
        <f t="shared" si="287"/>
        <v>0.14624999999999999</v>
      </c>
      <c r="X792" s="1366">
        <f t="shared" si="287"/>
        <v>0.14624999999999999</v>
      </c>
      <c r="Y792" s="1365"/>
      <c r="Z792" s="282"/>
      <c r="AA792" s="282"/>
    </row>
    <row r="793" spans="1:27" s="428" customFormat="1" outlineLevel="2" x14ac:dyDescent="0.25">
      <c r="A793" s="276">
        <f t="shared" si="274"/>
        <v>341</v>
      </c>
      <c r="B793" s="758" t="str">
        <f>$B341</f>
        <v>3rd Grade Teacher</v>
      </c>
      <c r="C793" s="560"/>
      <c r="D793" s="429"/>
      <c r="G793" s="1290">
        <f t="shared" si="289"/>
        <v>0</v>
      </c>
      <c r="H793" s="1290">
        <f t="shared" si="289"/>
        <v>0</v>
      </c>
      <c r="I793" s="1290">
        <f t="shared" si="289"/>
        <v>6421.6766250000001</v>
      </c>
      <c r="J793" s="1290">
        <f t="shared" si="289"/>
        <v>6614.3269237499999</v>
      </c>
      <c r="K793" s="1290">
        <f t="shared" si="289"/>
        <v>6812.7567314624994</v>
      </c>
      <c r="L793" s="1290">
        <f t="shared" si="289"/>
        <v>7017.1394334063734</v>
      </c>
      <c r="M793" s="1290">
        <f t="shared" si="289"/>
        <v>7227.6536164085655</v>
      </c>
      <c r="N793" s="168"/>
      <c r="R793" s="282"/>
      <c r="S793" s="1366">
        <f t="shared" si="283"/>
        <v>0</v>
      </c>
      <c r="T793" s="1366">
        <f t="shared" si="284"/>
        <v>0.14624999999999999</v>
      </c>
      <c r="U793" s="1366">
        <f t="shared" si="285"/>
        <v>0.14624999999999999</v>
      </c>
      <c r="V793" s="1366">
        <f t="shared" si="286"/>
        <v>0.14624999999999999</v>
      </c>
      <c r="W793" s="1366">
        <f t="shared" si="287"/>
        <v>0.14624999999999999</v>
      </c>
      <c r="X793" s="1366">
        <f t="shared" si="287"/>
        <v>0.14624999999999999</v>
      </c>
      <c r="Y793" s="1365"/>
      <c r="Z793" s="282"/>
      <c r="AA793" s="282"/>
    </row>
    <row r="794" spans="1:27" s="428" customFormat="1" outlineLevel="2" x14ac:dyDescent="0.25">
      <c r="A794" s="276">
        <f t="shared" si="274"/>
        <v>342</v>
      </c>
      <c r="B794" s="758" t="str">
        <f>$B342</f>
        <v>4th Grade Teacher</v>
      </c>
      <c r="C794" s="560"/>
      <c r="D794" s="429"/>
      <c r="G794" s="1290">
        <f t="shared" si="289"/>
        <v>0</v>
      </c>
      <c r="H794" s="1290">
        <f t="shared" si="289"/>
        <v>6142.5</v>
      </c>
      <c r="I794" s="1290">
        <f t="shared" si="289"/>
        <v>6326.7749999999996</v>
      </c>
      <c r="J794" s="1290">
        <f t="shared" si="289"/>
        <v>6516.5782499999987</v>
      </c>
      <c r="K794" s="1290">
        <f t="shared" si="289"/>
        <v>6712.0755974999993</v>
      </c>
      <c r="L794" s="1290">
        <f t="shared" si="289"/>
        <v>6913.4378654249986</v>
      </c>
      <c r="M794" s="1290">
        <f t="shared" si="289"/>
        <v>7120.8410013877483</v>
      </c>
      <c r="N794" s="168"/>
      <c r="R794" s="282"/>
      <c r="S794" s="1366">
        <f t="shared" si="283"/>
        <v>0.14624999999999999</v>
      </c>
      <c r="T794" s="1366">
        <f t="shared" si="284"/>
        <v>0.14624999999999999</v>
      </c>
      <c r="U794" s="1366">
        <f t="shared" si="285"/>
        <v>0.14624999999999999</v>
      </c>
      <c r="V794" s="1366">
        <f t="shared" si="286"/>
        <v>0.14624999999999999</v>
      </c>
      <c r="W794" s="1366">
        <f t="shared" si="287"/>
        <v>0.14624999999999999</v>
      </c>
      <c r="X794" s="1366">
        <f t="shared" si="287"/>
        <v>0.14624999999999999</v>
      </c>
      <c r="Y794" s="1365"/>
      <c r="Z794" s="282"/>
      <c r="AA794" s="282"/>
    </row>
    <row r="795" spans="1:27" s="431" customFormat="1" outlineLevel="2" x14ac:dyDescent="0.25">
      <c r="A795" s="276">
        <f t="shared" si="274"/>
        <v>343</v>
      </c>
      <c r="B795" s="758" t="str">
        <f>$B343</f>
        <v>4th Grade Teacher</v>
      </c>
      <c r="C795" s="560"/>
      <c r="D795" s="429"/>
      <c r="G795" s="1290">
        <f t="shared" si="289"/>
        <v>0</v>
      </c>
      <c r="H795" s="1290">
        <f t="shared" si="289"/>
        <v>0</v>
      </c>
      <c r="I795" s="1290">
        <f t="shared" si="289"/>
        <v>6421.6766250000001</v>
      </c>
      <c r="J795" s="1290">
        <f t="shared" si="289"/>
        <v>6614.3269237499999</v>
      </c>
      <c r="K795" s="1290">
        <f t="shared" si="289"/>
        <v>6812.7567314624994</v>
      </c>
      <c r="L795" s="1290">
        <f t="shared" si="289"/>
        <v>7017.1394334063734</v>
      </c>
      <c r="M795" s="1290">
        <f t="shared" si="289"/>
        <v>7227.6536164085655</v>
      </c>
      <c r="N795" s="141"/>
      <c r="R795" s="282"/>
      <c r="S795" s="1366">
        <f t="shared" si="283"/>
        <v>0</v>
      </c>
      <c r="T795" s="1366">
        <f t="shared" si="284"/>
        <v>0.14624999999999999</v>
      </c>
      <c r="U795" s="1366">
        <f t="shared" si="285"/>
        <v>0.14624999999999999</v>
      </c>
      <c r="V795" s="1366">
        <f t="shared" si="286"/>
        <v>0.14624999999999999</v>
      </c>
      <c r="W795" s="1366">
        <f t="shared" si="287"/>
        <v>0.14624999999999999</v>
      </c>
      <c r="X795" s="1366">
        <f t="shared" si="287"/>
        <v>0.14624999999999999</v>
      </c>
      <c r="Y795" s="1365"/>
      <c r="Z795" s="282"/>
      <c r="AA795" s="282"/>
    </row>
    <row r="796" spans="1:27" s="431" customFormat="1" outlineLevel="2" x14ac:dyDescent="0.25">
      <c r="A796" s="276">
        <f t="shared" si="274"/>
        <v>344</v>
      </c>
      <c r="B796" s="758"/>
      <c r="C796" s="561"/>
      <c r="D796" s="428"/>
      <c r="G796" s="1290"/>
      <c r="H796" s="1290"/>
      <c r="I796" s="1290"/>
      <c r="J796" s="1290"/>
      <c r="K796" s="1290"/>
      <c r="L796" s="1290"/>
      <c r="M796" s="1290"/>
      <c r="N796" s="141"/>
      <c r="R796" s="282"/>
      <c r="S796" s="1366">
        <f t="shared" si="283"/>
        <v>0</v>
      </c>
      <c r="T796" s="1366">
        <f t="shared" si="284"/>
        <v>0</v>
      </c>
      <c r="U796" s="1366">
        <f t="shared" si="285"/>
        <v>0</v>
      </c>
      <c r="V796" s="1366">
        <f t="shared" si="286"/>
        <v>0</v>
      </c>
      <c r="W796" s="1366">
        <f t="shared" si="287"/>
        <v>0</v>
      </c>
      <c r="X796" s="1366">
        <f t="shared" si="287"/>
        <v>0</v>
      </c>
      <c r="Y796" s="1365"/>
      <c r="Z796" s="282"/>
      <c r="AA796" s="282"/>
    </row>
    <row r="797" spans="1:27" s="428" customFormat="1" outlineLevel="2" x14ac:dyDescent="0.25">
      <c r="A797" s="276">
        <f t="shared" si="274"/>
        <v>345</v>
      </c>
      <c r="B797" s="758" t="str">
        <f>$B345</f>
        <v>4th Grade Teacher</v>
      </c>
      <c r="C797" s="560"/>
      <c r="D797" s="429"/>
      <c r="G797" s="1290">
        <f t="shared" ref="G797:M801" si="290">G345*$C$90</f>
        <v>0</v>
      </c>
      <c r="H797" s="1290">
        <f t="shared" si="290"/>
        <v>0</v>
      </c>
      <c r="I797" s="1290">
        <f t="shared" si="290"/>
        <v>0</v>
      </c>
      <c r="J797" s="1290">
        <f t="shared" si="290"/>
        <v>6718.2818625</v>
      </c>
      <c r="K797" s="1290">
        <f t="shared" si="290"/>
        <v>6919.8303183750004</v>
      </c>
      <c r="L797" s="1290">
        <f t="shared" si="290"/>
        <v>7127.4252279262491</v>
      </c>
      <c r="M797" s="1290">
        <f t="shared" si="290"/>
        <v>7341.2479847640361</v>
      </c>
      <c r="N797" s="168"/>
      <c r="R797" s="282"/>
      <c r="S797" s="1366">
        <f t="shared" si="283"/>
        <v>0</v>
      </c>
      <c r="T797" s="1366">
        <f t="shared" si="284"/>
        <v>0</v>
      </c>
      <c r="U797" s="1366">
        <f t="shared" si="285"/>
        <v>0.14624999999999999</v>
      </c>
      <c r="V797" s="1366">
        <f t="shared" si="286"/>
        <v>0.14624999999999999</v>
      </c>
      <c r="W797" s="1366">
        <f t="shared" si="287"/>
        <v>0.14624999999999999</v>
      </c>
      <c r="X797" s="1366">
        <f t="shared" si="287"/>
        <v>0.14624999999999999</v>
      </c>
      <c r="Y797" s="1365"/>
      <c r="Z797" s="282"/>
      <c r="AA797" s="282"/>
    </row>
    <row r="798" spans="1:27" s="428" customFormat="1" outlineLevel="2" x14ac:dyDescent="0.25">
      <c r="A798" s="276">
        <f t="shared" si="274"/>
        <v>346</v>
      </c>
      <c r="B798" s="758" t="str">
        <f>$B346</f>
        <v>4th Grade Teacher</v>
      </c>
      <c r="C798" s="560"/>
      <c r="D798" s="429"/>
      <c r="G798" s="1290">
        <f t="shared" si="290"/>
        <v>0</v>
      </c>
      <c r="H798" s="1290">
        <f t="shared" si="290"/>
        <v>0</v>
      </c>
      <c r="I798" s="1290">
        <f t="shared" si="290"/>
        <v>0</v>
      </c>
      <c r="J798" s="1290">
        <f t="shared" si="290"/>
        <v>6718.2818625</v>
      </c>
      <c r="K798" s="1290">
        <f t="shared" si="290"/>
        <v>6919.8303183750004</v>
      </c>
      <c r="L798" s="1290">
        <f t="shared" si="290"/>
        <v>7127.4252279262491</v>
      </c>
      <c r="M798" s="1290">
        <f t="shared" si="290"/>
        <v>7341.2479847640361</v>
      </c>
      <c r="N798" s="168"/>
      <c r="R798" s="282"/>
      <c r="S798" s="1366">
        <f t="shared" si="283"/>
        <v>0</v>
      </c>
      <c r="T798" s="1366">
        <f t="shared" si="284"/>
        <v>0</v>
      </c>
      <c r="U798" s="1366">
        <f t="shared" si="285"/>
        <v>0.14624999999999999</v>
      </c>
      <c r="V798" s="1366">
        <f t="shared" si="286"/>
        <v>0.14624999999999999</v>
      </c>
      <c r="W798" s="1366">
        <f t="shared" si="287"/>
        <v>0.14624999999999999</v>
      </c>
      <c r="X798" s="1366">
        <f t="shared" si="287"/>
        <v>0.14624999999999999</v>
      </c>
      <c r="Y798" s="1365"/>
      <c r="Z798" s="282"/>
      <c r="AA798" s="282"/>
    </row>
    <row r="799" spans="1:27" s="428" customFormat="1" outlineLevel="2" x14ac:dyDescent="0.25">
      <c r="A799" s="276">
        <f t="shared" si="274"/>
        <v>347</v>
      </c>
      <c r="B799" s="758" t="str">
        <f>$B347</f>
        <v>5th Grade Teacher</v>
      </c>
      <c r="C799" s="560"/>
      <c r="D799" s="429"/>
      <c r="G799" s="1290">
        <f t="shared" si="290"/>
        <v>0</v>
      </c>
      <c r="H799" s="1290">
        <f t="shared" si="290"/>
        <v>6142.5</v>
      </c>
      <c r="I799" s="1290">
        <f t="shared" si="290"/>
        <v>6326.7749999999996</v>
      </c>
      <c r="J799" s="1290">
        <f t="shared" si="290"/>
        <v>6516.5782499999987</v>
      </c>
      <c r="K799" s="1290">
        <f t="shared" si="290"/>
        <v>6712.0755974999993</v>
      </c>
      <c r="L799" s="1290">
        <f t="shared" si="290"/>
        <v>6913.4378654249986</v>
      </c>
      <c r="M799" s="1290">
        <f t="shared" si="290"/>
        <v>7120.8410013877483</v>
      </c>
      <c r="N799" s="168"/>
      <c r="R799" s="282"/>
      <c r="S799" s="1366">
        <f t="shared" si="283"/>
        <v>0.14624999999999999</v>
      </c>
      <c r="T799" s="1366">
        <f t="shared" si="284"/>
        <v>0.14624999999999999</v>
      </c>
      <c r="U799" s="1366">
        <f t="shared" si="285"/>
        <v>0.14624999999999999</v>
      </c>
      <c r="V799" s="1366">
        <f t="shared" si="286"/>
        <v>0.14624999999999999</v>
      </c>
      <c r="W799" s="1366">
        <f t="shared" si="287"/>
        <v>0.14624999999999999</v>
      </c>
      <c r="X799" s="1366">
        <f t="shared" si="287"/>
        <v>0.14624999999999999</v>
      </c>
      <c r="Y799" s="1365"/>
      <c r="Z799" s="282"/>
      <c r="AA799" s="282"/>
    </row>
    <row r="800" spans="1:27" s="428" customFormat="1" outlineLevel="2" x14ac:dyDescent="0.25">
      <c r="A800" s="276">
        <f t="shared" si="274"/>
        <v>348</v>
      </c>
      <c r="B800" s="758" t="str">
        <f>$B348</f>
        <v>5th Grade Teacher</v>
      </c>
      <c r="C800" s="560"/>
      <c r="D800" s="429"/>
      <c r="G800" s="1290">
        <f t="shared" si="290"/>
        <v>0</v>
      </c>
      <c r="H800" s="1290">
        <f t="shared" si="290"/>
        <v>0</v>
      </c>
      <c r="I800" s="1290">
        <f t="shared" si="290"/>
        <v>0</v>
      </c>
      <c r="J800" s="1290">
        <f t="shared" si="290"/>
        <v>6718.2818625</v>
      </c>
      <c r="K800" s="1290">
        <f t="shared" si="290"/>
        <v>6919.8303183750004</v>
      </c>
      <c r="L800" s="1290">
        <f t="shared" si="290"/>
        <v>7127.4252279262491</v>
      </c>
      <c r="M800" s="1290">
        <f t="shared" si="290"/>
        <v>7341.2479847640361</v>
      </c>
      <c r="N800" s="168"/>
      <c r="R800" s="282"/>
      <c r="S800" s="1366">
        <f t="shared" si="283"/>
        <v>0</v>
      </c>
      <c r="T800" s="1366">
        <f t="shared" si="284"/>
        <v>0</v>
      </c>
      <c r="U800" s="1366">
        <f t="shared" si="285"/>
        <v>0.14624999999999999</v>
      </c>
      <c r="V800" s="1366">
        <f t="shared" si="286"/>
        <v>0.14624999999999999</v>
      </c>
      <c r="W800" s="1366">
        <f t="shared" si="287"/>
        <v>0.14624999999999999</v>
      </c>
      <c r="X800" s="1366">
        <f t="shared" si="287"/>
        <v>0.14624999999999999</v>
      </c>
      <c r="Y800" s="1365"/>
      <c r="Z800" s="282"/>
      <c r="AA800" s="282"/>
    </row>
    <row r="801" spans="1:27" s="428" customFormat="1" outlineLevel="2" x14ac:dyDescent="0.25">
      <c r="A801" s="276">
        <f t="shared" si="274"/>
        <v>349</v>
      </c>
      <c r="B801" s="758" t="str">
        <f>$B349</f>
        <v>5th Grade Teacher</v>
      </c>
      <c r="C801" s="560"/>
      <c r="D801" s="429"/>
      <c r="G801" s="1290">
        <f t="shared" si="290"/>
        <v>0</v>
      </c>
      <c r="H801" s="1290">
        <f t="shared" si="290"/>
        <v>0</v>
      </c>
      <c r="I801" s="1290">
        <f t="shared" si="290"/>
        <v>0</v>
      </c>
      <c r="J801" s="1290">
        <f t="shared" si="290"/>
        <v>0</v>
      </c>
      <c r="K801" s="1290">
        <f t="shared" si="290"/>
        <v>7031.6982449999996</v>
      </c>
      <c r="L801" s="1290">
        <f t="shared" si="290"/>
        <v>7242.6491923499989</v>
      </c>
      <c r="M801" s="1290">
        <f t="shared" si="290"/>
        <v>7459.9286681204985</v>
      </c>
      <c r="N801" s="168"/>
      <c r="R801" s="282"/>
      <c r="S801" s="1366">
        <f t="shared" si="283"/>
        <v>0</v>
      </c>
      <c r="T801" s="1366">
        <f t="shared" si="284"/>
        <v>0</v>
      </c>
      <c r="U801" s="1366">
        <f t="shared" si="285"/>
        <v>0</v>
      </c>
      <c r="V801" s="1366">
        <f t="shared" si="286"/>
        <v>0.14624999999999999</v>
      </c>
      <c r="W801" s="1366">
        <f t="shared" si="287"/>
        <v>0.14624999999999999</v>
      </c>
      <c r="X801" s="1366">
        <f t="shared" si="287"/>
        <v>0.14624999999999999</v>
      </c>
      <c r="Y801" s="1365"/>
      <c r="Z801" s="282"/>
      <c r="AA801" s="282"/>
    </row>
    <row r="802" spans="1:27" s="428" customFormat="1" outlineLevel="2" x14ac:dyDescent="0.25">
      <c r="A802" s="276">
        <f t="shared" si="274"/>
        <v>350</v>
      </c>
      <c r="B802" s="758"/>
      <c r="C802" s="560"/>
      <c r="D802" s="429"/>
      <c r="G802" s="1290"/>
      <c r="H802" s="1290"/>
      <c r="I802" s="1290"/>
      <c r="J802" s="1290"/>
      <c r="K802" s="1290"/>
      <c r="L802" s="1290"/>
      <c r="M802" s="1290"/>
      <c r="N802" s="168"/>
      <c r="R802" s="282"/>
      <c r="S802" s="1366">
        <f t="shared" si="283"/>
        <v>0</v>
      </c>
      <c r="T802" s="1366">
        <f t="shared" si="284"/>
        <v>0</v>
      </c>
      <c r="U802" s="1366">
        <f t="shared" si="285"/>
        <v>0</v>
      </c>
      <c r="V802" s="1366">
        <f t="shared" si="286"/>
        <v>0</v>
      </c>
      <c r="W802" s="1366">
        <f t="shared" si="287"/>
        <v>0</v>
      </c>
      <c r="X802" s="1366">
        <f t="shared" si="287"/>
        <v>0</v>
      </c>
      <c r="Y802" s="1365"/>
      <c r="Z802" s="282"/>
      <c r="AA802" s="282"/>
    </row>
    <row r="803" spans="1:27" s="428" customFormat="1" outlineLevel="2" x14ac:dyDescent="0.25">
      <c r="A803" s="276">
        <f t="shared" si="274"/>
        <v>351</v>
      </c>
      <c r="B803" s="758" t="str">
        <f>$B351</f>
        <v>5th Grade Teacher</v>
      </c>
      <c r="C803" s="560"/>
      <c r="D803" s="429"/>
      <c r="G803" s="1290">
        <f t="shared" ref="G803:M807" si="291">G351*$C$90</f>
        <v>0</v>
      </c>
      <c r="H803" s="1290">
        <f t="shared" si="291"/>
        <v>0</v>
      </c>
      <c r="I803" s="1290">
        <f t="shared" si="291"/>
        <v>0</v>
      </c>
      <c r="J803" s="1290">
        <f t="shared" si="291"/>
        <v>0</v>
      </c>
      <c r="K803" s="1290">
        <f t="shared" si="291"/>
        <v>7031.6982449999996</v>
      </c>
      <c r="L803" s="1290">
        <f t="shared" si="291"/>
        <v>7242.6491923499989</v>
      </c>
      <c r="M803" s="1290">
        <f t="shared" si="291"/>
        <v>7459.9286681204985</v>
      </c>
      <c r="N803" s="168"/>
      <c r="R803" s="282"/>
      <c r="S803" s="1366">
        <f t="shared" si="283"/>
        <v>0</v>
      </c>
      <c r="T803" s="1366">
        <f t="shared" si="284"/>
        <v>0</v>
      </c>
      <c r="U803" s="1366">
        <f t="shared" si="285"/>
        <v>0</v>
      </c>
      <c r="V803" s="1366">
        <f t="shared" si="286"/>
        <v>0.14624999999999999</v>
      </c>
      <c r="W803" s="1366">
        <f t="shared" si="287"/>
        <v>0.14624999999999999</v>
      </c>
      <c r="X803" s="1366">
        <f t="shared" si="287"/>
        <v>0.14624999999999999</v>
      </c>
      <c r="Y803" s="1365"/>
      <c r="Z803" s="282"/>
      <c r="AA803" s="282"/>
    </row>
    <row r="804" spans="1:27" s="428" customFormat="1" outlineLevel="2" x14ac:dyDescent="0.25">
      <c r="A804" s="276">
        <f t="shared" si="274"/>
        <v>352</v>
      </c>
      <c r="B804" s="758" t="str">
        <f>$B352</f>
        <v>6th Grade Teacher</v>
      </c>
      <c r="C804" s="560"/>
      <c r="D804" s="429"/>
      <c r="G804" s="1290">
        <f t="shared" si="291"/>
        <v>0</v>
      </c>
      <c r="H804" s="1290">
        <f t="shared" si="291"/>
        <v>6142.5</v>
      </c>
      <c r="I804" s="1290">
        <f t="shared" si="291"/>
        <v>6326.7749999999996</v>
      </c>
      <c r="J804" s="1290">
        <f t="shared" si="291"/>
        <v>6516.5782499999987</v>
      </c>
      <c r="K804" s="1290">
        <f t="shared" si="291"/>
        <v>6712.0755974999993</v>
      </c>
      <c r="L804" s="1290">
        <f t="shared" si="291"/>
        <v>6913.4378654249986</v>
      </c>
      <c r="M804" s="1290">
        <f t="shared" si="291"/>
        <v>7120.8410013877483</v>
      </c>
      <c r="N804" s="168"/>
      <c r="R804" s="282"/>
      <c r="S804" s="1366">
        <f t="shared" si="283"/>
        <v>0.14624999999999999</v>
      </c>
      <c r="T804" s="1366">
        <f t="shared" si="284"/>
        <v>0.14624999999999999</v>
      </c>
      <c r="U804" s="1366">
        <f t="shared" si="285"/>
        <v>0.14624999999999999</v>
      </c>
      <c r="V804" s="1366">
        <f t="shared" si="286"/>
        <v>0.14624999999999999</v>
      </c>
      <c r="W804" s="1366">
        <f t="shared" si="287"/>
        <v>0.14624999999999999</v>
      </c>
      <c r="X804" s="1366">
        <f t="shared" si="287"/>
        <v>0.14624999999999999</v>
      </c>
      <c r="Y804" s="1365"/>
      <c r="Z804" s="282"/>
      <c r="AA804" s="282"/>
    </row>
    <row r="805" spans="1:27" s="428" customFormat="1" outlineLevel="2" x14ac:dyDescent="0.25">
      <c r="A805" s="276">
        <f t="shared" si="274"/>
        <v>353</v>
      </c>
      <c r="B805" s="758" t="str">
        <f>$B353</f>
        <v>6th Grade Teacher</v>
      </c>
      <c r="C805" s="560"/>
      <c r="D805" s="429"/>
      <c r="G805" s="1290">
        <f t="shared" si="291"/>
        <v>0</v>
      </c>
      <c r="H805" s="1290">
        <f t="shared" si="291"/>
        <v>0</v>
      </c>
      <c r="I805" s="1290">
        <f t="shared" si="291"/>
        <v>6421.6766250000001</v>
      </c>
      <c r="J805" s="1290">
        <f t="shared" si="291"/>
        <v>6614.3269237499999</v>
      </c>
      <c r="K805" s="1290">
        <f t="shared" si="291"/>
        <v>6812.7567314624994</v>
      </c>
      <c r="L805" s="1290">
        <f t="shared" si="291"/>
        <v>7017.1394334063734</v>
      </c>
      <c r="M805" s="1290">
        <f t="shared" si="291"/>
        <v>7227.6536164085655</v>
      </c>
      <c r="N805" s="168"/>
      <c r="R805" s="282"/>
      <c r="S805" s="1366">
        <f t="shared" si="283"/>
        <v>0</v>
      </c>
      <c r="T805" s="1366">
        <f t="shared" si="284"/>
        <v>0.14624999999999999</v>
      </c>
      <c r="U805" s="1366">
        <f t="shared" si="285"/>
        <v>0.14624999999999999</v>
      </c>
      <c r="V805" s="1366">
        <f t="shared" si="286"/>
        <v>0.14624999999999999</v>
      </c>
      <c r="W805" s="1366">
        <f t="shared" si="287"/>
        <v>0.14624999999999999</v>
      </c>
      <c r="X805" s="1366">
        <f t="shared" si="287"/>
        <v>0.14624999999999999</v>
      </c>
      <c r="Y805" s="1365"/>
      <c r="Z805" s="282"/>
      <c r="AA805" s="282"/>
    </row>
    <row r="806" spans="1:27" s="428" customFormat="1" outlineLevel="2" x14ac:dyDescent="0.25">
      <c r="A806" s="276">
        <f t="shared" si="274"/>
        <v>354</v>
      </c>
      <c r="B806" s="758" t="str">
        <f>$B354</f>
        <v>6th Grade Teacher</v>
      </c>
      <c r="C806" s="560"/>
      <c r="D806" s="429"/>
      <c r="G806" s="1290">
        <f t="shared" si="291"/>
        <v>0</v>
      </c>
      <c r="H806" s="1290">
        <f t="shared" si="291"/>
        <v>0</v>
      </c>
      <c r="I806" s="1290">
        <f t="shared" si="291"/>
        <v>0</v>
      </c>
      <c r="J806" s="1290">
        <f t="shared" si="291"/>
        <v>0</v>
      </c>
      <c r="K806" s="1290">
        <f t="shared" si="291"/>
        <v>7031.6982449999996</v>
      </c>
      <c r="L806" s="1290">
        <f t="shared" si="291"/>
        <v>7242.6491923499989</v>
      </c>
      <c r="M806" s="1290">
        <f t="shared" si="291"/>
        <v>7459.9286681204985</v>
      </c>
      <c r="N806" s="168"/>
      <c r="R806" s="282"/>
      <c r="S806" s="1366">
        <f t="shared" si="283"/>
        <v>0</v>
      </c>
      <c r="T806" s="1366">
        <f t="shared" si="284"/>
        <v>0</v>
      </c>
      <c r="U806" s="1366">
        <f t="shared" si="285"/>
        <v>0</v>
      </c>
      <c r="V806" s="1366">
        <f t="shared" si="286"/>
        <v>0.14624999999999999</v>
      </c>
      <c r="W806" s="1366">
        <f t="shared" si="287"/>
        <v>0.14624999999999999</v>
      </c>
      <c r="X806" s="1366">
        <f t="shared" si="287"/>
        <v>0.14624999999999999</v>
      </c>
      <c r="Y806" s="1365"/>
      <c r="Z806" s="282"/>
      <c r="AA806" s="282"/>
    </row>
    <row r="807" spans="1:27" s="431" customFormat="1" outlineLevel="2" x14ac:dyDescent="0.25">
      <c r="A807" s="276">
        <f t="shared" ref="A807:A838" si="292">ROW(A355)</f>
        <v>355</v>
      </c>
      <c r="B807" s="758" t="str">
        <f>$B355</f>
        <v>6th Grade Teacher</v>
      </c>
      <c r="C807" s="560"/>
      <c r="D807" s="429"/>
      <c r="G807" s="1290">
        <f t="shared" si="291"/>
        <v>0</v>
      </c>
      <c r="H807" s="1290">
        <f t="shared" si="291"/>
        <v>0</v>
      </c>
      <c r="I807" s="1290">
        <f t="shared" si="291"/>
        <v>0</v>
      </c>
      <c r="J807" s="1290">
        <f t="shared" si="291"/>
        <v>0</v>
      </c>
      <c r="K807" s="1290">
        <f t="shared" si="291"/>
        <v>7031.6982449999996</v>
      </c>
      <c r="L807" s="1290">
        <f t="shared" si="291"/>
        <v>7242.6491923499989</v>
      </c>
      <c r="M807" s="1290">
        <f t="shared" si="291"/>
        <v>7459.9286681204985</v>
      </c>
      <c r="N807" s="141"/>
      <c r="R807" s="282"/>
      <c r="S807" s="1366">
        <f t="shared" si="283"/>
        <v>0</v>
      </c>
      <c r="T807" s="1366">
        <f t="shared" si="284"/>
        <v>0</v>
      </c>
      <c r="U807" s="1366">
        <f t="shared" si="285"/>
        <v>0</v>
      </c>
      <c r="V807" s="1366">
        <f t="shared" si="286"/>
        <v>0.14624999999999999</v>
      </c>
      <c r="W807" s="1366">
        <f t="shared" si="287"/>
        <v>0.14624999999999999</v>
      </c>
      <c r="X807" s="1366">
        <f t="shared" si="287"/>
        <v>0.14624999999999999</v>
      </c>
      <c r="Y807" s="1365"/>
      <c r="Z807" s="282"/>
      <c r="AA807" s="282"/>
    </row>
    <row r="808" spans="1:27" s="431" customFormat="1" outlineLevel="2" x14ac:dyDescent="0.25">
      <c r="A808" s="276">
        <f t="shared" si="292"/>
        <v>356</v>
      </c>
      <c r="B808" s="758"/>
      <c r="C808" s="561"/>
      <c r="D808" s="428"/>
      <c r="G808" s="1290"/>
      <c r="H808" s="1290"/>
      <c r="I808" s="1290"/>
      <c r="J808" s="1290"/>
      <c r="K808" s="1290"/>
      <c r="L808" s="1290"/>
      <c r="M808" s="1290"/>
      <c r="N808" s="141"/>
      <c r="R808" s="282"/>
      <c r="S808" s="1366">
        <f t="shared" si="283"/>
        <v>0</v>
      </c>
      <c r="T808" s="1366">
        <f t="shared" si="284"/>
        <v>0</v>
      </c>
      <c r="U808" s="1366">
        <f t="shared" si="285"/>
        <v>0</v>
      </c>
      <c r="V808" s="1366">
        <f t="shared" si="286"/>
        <v>0</v>
      </c>
      <c r="W808" s="1366">
        <f t="shared" si="287"/>
        <v>0</v>
      </c>
      <c r="X808" s="1366">
        <f t="shared" si="287"/>
        <v>0</v>
      </c>
      <c r="Y808" s="1365"/>
      <c r="Z808" s="282"/>
      <c r="AA808" s="282"/>
    </row>
    <row r="809" spans="1:27" s="428" customFormat="1" outlineLevel="2" x14ac:dyDescent="0.25">
      <c r="A809" s="276">
        <f t="shared" si="292"/>
        <v>357</v>
      </c>
      <c r="B809" s="758" t="str">
        <f>$B357</f>
        <v>7th Grade Teacher</v>
      </c>
      <c r="C809" s="560"/>
      <c r="D809" s="429"/>
      <c r="G809" s="1290">
        <f t="shared" ref="G809:M813" si="293">G357*$C$90</f>
        <v>0</v>
      </c>
      <c r="H809" s="1290">
        <f t="shared" si="293"/>
        <v>0</v>
      </c>
      <c r="I809" s="1290">
        <f t="shared" si="293"/>
        <v>6421.6766250000001</v>
      </c>
      <c r="J809" s="1290">
        <f t="shared" si="293"/>
        <v>6614.3269237499999</v>
      </c>
      <c r="K809" s="1290">
        <f t="shared" si="293"/>
        <v>6812.7567314624994</v>
      </c>
      <c r="L809" s="1290">
        <f t="shared" si="293"/>
        <v>7017.1394334063734</v>
      </c>
      <c r="M809" s="1290">
        <f t="shared" si="293"/>
        <v>7227.6536164085655</v>
      </c>
      <c r="N809" s="168"/>
      <c r="R809" s="282"/>
      <c r="S809" s="1366">
        <f t="shared" si="283"/>
        <v>0</v>
      </c>
      <c r="T809" s="1366">
        <f t="shared" si="284"/>
        <v>0.14624999999999999</v>
      </c>
      <c r="U809" s="1366">
        <f t="shared" si="285"/>
        <v>0.14624999999999999</v>
      </c>
      <c r="V809" s="1366">
        <f t="shared" si="286"/>
        <v>0.14624999999999999</v>
      </c>
      <c r="W809" s="1366">
        <f t="shared" si="287"/>
        <v>0.14624999999999999</v>
      </c>
      <c r="X809" s="1366">
        <f t="shared" si="287"/>
        <v>0.14624999999999999</v>
      </c>
      <c r="Y809" s="1365"/>
      <c r="Z809" s="282"/>
      <c r="AA809" s="282"/>
    </row>
    <row r="810" spans="1:27" s="428" customFormat="1" outlineLevel="2" x14ac:dyDescent="0.25">
      <c r="A810" s="276">
        <f t="shared" si="292"/>
        <v>358</v>
      </c>
      <c r="B810" s="758" t="str">
        <f>$B358</f>
        <v>7th Grade Teacher</v>
      </c>
      <c r="C810" s="560"/>
      <c r="D810" s="429"/>
      <c r="G810" s="1290">
        <f t="shared" si="293"/>
        <v>0</v>
      </c>
      <c r="H810" s="1290">
        <f t="shared" si="293"/>
        <v>0</v>
      </c>
      <c r="I810" s="1290">
        <f t="shared" si="293"/>
        <v>0</v>
      </c>
      <c r="J810" s="1290">
        <f t="shared" si="293"/>
        <v>6718.2818625</v>
      </c>
      <c r="K810" s="1290">
        <f t="shared" si="293"/>
        <v>6919.8303183750004</v>
      </c>
      <c r="L810" s="1290">
        <f t="shared" si="293"/>
        <v>7127.4252279262491</v>
      </c>
      <c r="M810" s="1290">
        <f t="shared" si="293"/>
        <v>7341.2479847640361</v>
      </c>
      <c r="N810" s="168"/>
      <c r="R810" s="282"/>
      <c r="S810" s="1366">
        <f t="shared" si="283"/>
        <v>0</v>
      </c>
      <c r="T810" s="1366">
        <f t="shared" si="284"/>
        <v>0</v>
      </c>
      <c r="U810" s="1366">
        <f t="shared" si="285"/>
        <v>0.14624999999999999</v>
      </c>
      <c r="V810" s="1366">
        <f t="shared" si="286"/>
        <v>0.14624999999999999</v>
      </c>
      <c r="W810" s="1366">
        <f t="shared" si="287"/>
        <v>0.14624999999999999</v>
      </c>
      <c r="X810" s="1366">
        <f t="shared" si="287"/>
        <v>0.14624999999999999</v>
      </c>
      <c r="Y810" s="1365"/>
      <c r="Z810" s="282"/>
      <c r="AA810" s="282"/>
    </row>
    <row r="811" spans="1:27" s="428" customFormat="1" outlineLevel="2" x14ac:dyDescent="0.25">
      <c r="A811" s="276">
        <f t="shared" si="292"/>
        <v>359</v>
      </c>
      <c r="B811" s="758" t="str">
        <f>$B359</f>
        <v>7th Grade Teacher</v>
      </c>
      <c r="C811" s="560"/>
      <c r="D811" s="429"/>
      <c r="G811" s="1290">
        <f t="shared" si="293"/>
        <v>0</v>
      </c>
      <c r="H811" s="1290">
        <f t="shared" si="293"/>
        <v>0</v>
      </c>
      <c r="I811" s="1290">
        <f t="shared" si="293"/>
        <v>0</v>
      </c>
      <c r="J811" s="1290">
        <f t="shared" si="293"/>
        <v>0</v>
      </c>
      <c r="K811" s="1290">
        <f t="shared" si="293"/>
        <v>0</v>
      </c>
      <c r="L811" s="1290">
        <f t="shared" si="293"/>
        <v>7357.8731567737495</v>
      </c>
      <c r="M811" s="1290">
        <f t="shared" si="293"/>
        <v>7578.6093514769618</v>
      </c>
      <c r="N811" s="168"/>
      <c r="R811" s="282"/>
      <c r="S811" s="1366">
        <f t="shared" si="283"/>
        <v>0</v>
      </c>
      <c r="T811" s="1366">
        <f t="shared" si="284"/>
        <v>0</v>
      </c>
      <c r="U811" s="1366">
        <f t="shared" si="285"/>
        <v>0</v>
      </c>
      <c r="V811" s="1366">
        <f t="shared" si="286"/>
        <v>0</v>
      </c>
      <c r="W811" s="1366">
        <f t="shared" si="287"/>
        <v>0.14624999999999999</v>
      </c>
      <c r="X811" s="1366">
        <f t="shared" si="287"/>
        <v>0.14624999999999999</v>
      </c>
      <c r="Y811" s="1365"/>
      <c r="Z811" s="282"/>
      <c r="AA811" s="282"/>
    </row>
    <row r="812" spans="1:27" s="428" customFormat="1" outlineLevel="2" x14ac:dyDescent="0.25">
      <c r="A812" s="276">
        <f t="shared" si="292"/>
        <v>360</v>
      </c>
      <c r="B812" s="758" t="str">
        <f>$B360</f>
        <v>7th Grade Teacher</v>
      </c>
      <c r="C812" s="560"/>
      <c r="D812" s="429"/>
      <c r="G812" s="1290">
        <f t="shared" si="293"/>
        <v>0</v>
      </c>
      <c r="H812" s="1290">
        <f t="shared" si="293"/>
        <v>0</v>
      </c>
      <c r="I812" s="1290">
        <f t="shared" si="293"/>
        <v>0</v>
      </c>
      <c r="J812" s="1290">
        <f t="shared" si="293"/>
        <v>0</v>
      </c>
      <c r="K812" s="1290">
        <f t="shared" si="293"/>
        <v>0</v>
      </c>
      <c r="L812" s="1290">
        <f t="shared" si="293"/>
        <v>7357.8731567737495</v>
      </c>
      <c r="M812" s="1290">
        <f t="shared" si="293"/>
        <v>7578.6093514769618</v>
      </c>
      <c r="N812" s="168"/>
      <c r="R812" s="282"/>
      <c r="S812" s="1366">
        <f t="shared" si="283"/>
        <v>0</v>
      </c>
      <c r="T812" s="1366">
        <f t="shared" si="284"/>
        <v>0</v>
      </c>
      <c r="U812" s="1366">
        <f t="shared" si="285"/>
        <v>0</v>
      </c>
      <c r="V812" s="1366">
        <f t="shared" si="286"/>
        <v>0</v>
      </c>
      <c r="W812" s="1366">
        <f t="shared" si="287"/>
        <v>0.14624999999999999</v>
      </c>
      <c r="X812" s="1366">
        <f t="shared" si="287"/>
        <v>0.14624999999999999</v>
      </c>
      <c r="Y812" s="1365"/>
      <c r="Z812" s="282"/>
      <c r="AA812" s="282"/>
    </row>
    <row r="813" spans="1:27" s="428" customFormat="1" outlineLevel="2" x14ac:dyDescent="0.25">
      <c r="A813" s="276">
        <f t="shared" si="292"/>
        <v>361</v>
      </c>
      <c r="B813" s="758" t="str">
        <f>$B361</f>
        <v>8th Grade Teacher</v>
      </c>
      <c r="C813" s="560"/>
      <c r="D813" s="429"/>
      <c r="G813" s="1290">
        <f t="shared" si="293"/>
        <v>0</v>
      </c>
      <c r="H813" s="1290">
        <f t="shared" si="293"/>
        <v>0</v>
      </c>
      <c r="I813" s="1290">
        <f t="shared" si="293"/>
        <v>0</v>
      </c>
      <c r="J813" s="1290">
        <f t="shared" si="293"/>
        <v>6718.2818625</v>
      </c>
      <c r="K813" s="1290">
        <f t="shared" si="293"/>
        <v>6919.8303183750004</v>
      </c>
      <c r="L813" s="1290">
        <f t="shared" si="293"/>
        <v>7127.4252279262491</v>
      </c>
      <c r="M813" s="1290">
        <f t="shared" si="293"/>
        <v>7341.2479847640361</v>
      </c>
      <c r="N813" s="168"/>
      <c r="R813" s="282"/>
      <c r="S813" s="1366">
        <f t="shared" si="283"/>
        <v>0</v>
      </c>
      <c r="T813" s="1366">
        <f t="shared" si="284"/>
        <v>0</v>
      </c>
      <c r="U813" s="1366">
        <f t="shared" si="285"/>
        <v>0.14624999999999999</v>
      </c>
      <c r="V813" s="1366">
        <f t="shared" si="286"/>
        <v>0.14624999999999999</v>
      </c>
      <c r="W813" s="1366">
        <f t="shared" si="287"/>
        <v>0.14624999999999999</v>
      </c>
      <c r="X813" s="1366">
        <f t="shared" si="287"/>
        <v>0.14624999999999999</v>
      </c>
      <c r="Y813" s="1365"/>
      <c r="Z813" s="282"/>
      <c r="AA813" s="282"/>
    </row>
    <row r="814" spans="1:27" s="428" customFormat="1" outlineLevel="2" x14ac:dyDescent="0.25">
      <c r="A814" s="276">
        <f t="shared" si="292"/>
        <v>362</v>
      </c>
      <c r="B814" s="758"/>
      <c r="C814" s="560"/>
      <c r="D814" s="429"/>
      <c r="G814" s="1290"/>
      <c r="H814" s="1290"/>
      <c r="I814" s="1290"/>
      <c r="J814" s="1290"/>
      <c r="K814" s="1290"/>
      <c r="L814" s="1290"/>
      <c r="M814" s="1290"/>
      <c r="N814" s="168"/>
      <c r="R814" s="282"/>
      <c r="S814" s="1366">
        <f t="shared" si="283"/>
        <v>0</v>
      </c>
      <c r="T814" s="1366">
        <f t="shared" si="284"/>
        <v>0</v>
      </c>
      <c r="U814" s="1366">
        <f t="shared" si="285"/>
        <v>0</v>
      </c>
      <c r="V814" s="1366">
        <f t="shared" si="286"/>
        <v>0</v>
      </c>
      <c r="W814" s="1366">
        <f t="shared" si="287"/>
        <v>0</v>
      </c>
      <c r="X814" s="1366">
        <f t="shared" si="287"/>
        <v>0</v>
      </c>
      <c r="Y814" s="1365"/>
      <c r="Z814" s="282"/>
      <c r="AA814" s="282"/>
    </row>
    <row r="815" spans="1:27" s="428" customFormat="1" outlineLevel="2" x14ac:dyDescent="0.25">
      <c r="A815" s="276">
        <f t="shared" si="292"/>
        <v>363</v>
      </c>
      <c r="B815" s="758" t="str">
        <f>$B363</f>
        <v>8th Grade Teacher</v>
      </c>
      <c r="C815" s="560"/>
      <c r="D815" s="429"/>
      <c r="G815" s="1290">
        <f t="shared" ref="G815:M819" si="294">G363*$C$90</f>
        <v>0</v>
      </c>
      <c r="H815" s="1290">
        <f t="shared" si="294"/>
        <v>0</v>
      </c>
      <c r="I815" s="1290">
        <f t="shared" si="294"/>
        <v>0</v>
      </c>
      <c r="J815" s="1290">
        <f t="shared" si="294"/>
        <v>0</v>
      </c>
      <c r="K815" s="1290">
        <f t="shared" si="294"/>
        <v>7031.6982449999996</v>
      </c>
      <c r="L815" s="1290">
        <f t="shared" si="294"/>
        <v>7242.6491923499989</v>
      </c>
      <c r="M815" s="1290">
        <f t="shared" si="294"/>
        <v>7459.9286681204985</v>
      </c>
      <c r="N815" s="168"/>
      <c r="R815" s="282"/>
      <c r="S815" s="1366">
        <f t="shared" si="283"/>
        <v>0</v>
      </c>
      <c r="T815" s="1366">
        <f t="shared" si="284"/>
        <v>0</v>
      </c>
      <c r="U815" s="1366">
        <f t="shared" si="285"/>
        <v>0</v>
      </c>
      <c r="V815" s="1366">
        <f t="shared" si="286"/>
        <v>0.14624999999999999</v>
      </c>
      <c r="W815" s="1366">
        <f t="shared" si="287"/>
        <v>0.14624999999999999</v>
      </c>
      <c r="X815" s="1366">
        <f t="shared" si="287"/>
        <v>0.14624999999999999</v>
      </c>
      <c r="Y815" s="1365"/>
      <c r="Z815" s="282"/>
      <c r="AA815" s="282"/>
    </row>
    <row r="816" spans="1:27" s="428" customFormat="1" outlineLevel="2" x14ac:dyDescent="0.25">
      <c r="A816" s="276">
        <f t="shared" si="292"/>
        <v>364</v>
      </c>
      <c r="B816" s="758" t="str">
        <f>$B364</f>
        <v>8th Grade Teacher</v>
      </c>
      <c r="C816" s="560"/>
      <c r="D816" s="429"/>
      <c r="G816" s="1290">
        <f t="shared" si="294"/>
        <v>0</v>
      </c>
      <c r="H816" s="1290">
        <f t="shared" si="294"/>
        <v>0</v>
      </c>
      <c r="I816" s="1290">
        <f t="shared" si="294"/>
        <v>0</v>
      </c>
      <c r="J816" s="1290">
        <f t="shared" si="294"/>
        <v>0</v>
      </c>
      <c r="K816" s="1290">
        <f t="shared" si="294"/>
        <v>0</v>
      </c>
      <c r="L816" s="1290">
        <f t="shared" si="294"/>
        <v>0</v>
      </c>
      <c r="M816" s="1290">
        <f t="shared" si="294"/>
        <v>7688.8128431651039</v>
      </c>
      <c r="N816" s="168"/>
      <c r="R816" s="282"/>
      <c r="S816" s="1366">
        <f t="shared" si="283"/>
        <v>0</v>
      </c>
      <c r="T816" s="1366">
        <f t="shared" si="284"/>
        <v>0</v>
      </c>
      <c r="U816" s="1366">
        <f t="shared" si="285"/>
        <v>0</v>
      </c>
      <c r="V816" s="1366">
        <f t="shared" si="286"/>
        <v>0</v>
      </c>
      <c r="W816" s="1366">
        <f t="shared" si="287"/>
        <v>0</v>
      </c>
      <c r="X816" s="1366">
        <f t="shared" si="287"/>
        <v>0.14624999999999999</v>
      </c>
      <c r="Y816" s="1365"/>
      <c r="Z816" s="282"/>
      <c r="AA816" s="282"/>
    </row>
    <row r="817" spans="1:27" s="428" customFormat="1" outlineLevel="2" x14ac:dyDescent="0.25">
      <c r="A817" s="276">
        <f t="shared" si="292"/>
        <v>365</v>
      </c>
      <c r="B817" s="758" t="str">
        <f>$B365</f>
        <v>8th Grade Teacher</v>
      </c>
      <c r="C817" s="560"/>
      <c r="D817" s="429"/>
      <c r="G817" s="1290">
        <f t="shared" si="294"/>
        <v>0</v>
      </c>
      <c r="H817" s="1290">
        <f t="shared" si="294"/>
        <v>0</v>
      </c>
      <c r="I817" s="1290">
        <f t="shared" si="294"/>
        <v>0</v>
      </c>
      <c r="J817" s="1290">
        <f t="shared" si="294"/>
        <v>0</v>
      </c>
      <c r="K817" s="1290">
        <f t="shared" si="294"/>
        <v>0</v>
      </c>
      <c r="L817" s="1290">
        <f t="shared" si="294"/>
        <v>0</v>
      </c>
      <c r="M817" s="1290">
        <f t="shared" si="294"/>
        <v>7688.8128431651039</v>
      </c>
      <c r="N817" s="168"/>
      <c r="R817" s="282"/>
      <c r="S817" s="1366">
        <f t="shared" si="283"/>
        <v>0</v>
      </c>
      <c r="T817" s="1366">
        <f t="shared" si="284"/>
        <v>0</v>
      </c>
      <c r="U817" s="1366">
        <f t="shared" si="285"/>
        <v>0</v>
      </c>
      <c r="V817" s="1366">
        <f t="shared" si="286"/>
        <v>0</v>
      </c>
      <c r="W817" s="1366">
        <f t="shared" si="287"/>
        <v>0</v>
      </c>
      <c r="X817" s="1366">
        <f t="shared" si="287"/>
        <v>0.14624999999999999</v>
      </c>
      <c r="Y817" s="1365"/>
      <c r="Z817" s="282"/>
      <c r="AA817" s="282"/>
    </row>
    <row r="818" spans="1:27" s="428" customFormat="1" outlineLevel="2" x14ac:dyDescent="0.25">
      <c r="A818" s="276">
        <f t="shared" si="292"/>
        <v>366</v>
      </c>
      <c r="B818" s="758" t="str">
        <f>$B366</f>
        <v>Grade Level Teacher</v>
      </c>
      <c r="C818" s="560"/>
      <c r="D818" s="429"/>
      <c r="G818" s="1290">
        <f t="shared" si="294"/>
        <v>0</v>
      </c>
      <c r="H818" s="1290">
        <f t="shared" si="294"/>
        <v>0</v>
      </c>
      <c r="I818" s="1290">
        <f t="shared" si="294"/>
        <v>6421.6766250000001</v>
      </c>
      <c r="J818" s="1290">
        <f t="shared" si="294"/>
        <v>6614.3269237499999</v>
      </c>
      <c r="K818" s="1290">
        <f t="shared" si="294"/>
        <v>6812.7567314624994</v>
      </c>
      <c r="L818" s="1290">
        <f t="shared" si="294"/>
        <v>7017.1394334063734</v>
      </c>
      <c r="M818" s="1290">
        <f t="shared" si="294"/>
        <v>7227.6536164085655</v>
      </c>
      <c r="N818" s="168"/>
      <c r="R818" s="282"/>
      <c r="S818" s="1366">
        <f t="shared" si="283"/>
        <v>0</v>
      </c>
      <c r="T818" s="1366">
        <f t="shared" si="284"/>
        <v>0.14624999999999999</v>
      </c>
      <c r="U818" s="1366">
        <f t="shared" si="285"/>
        <v>0.14624999999999999</v>
      </c>
      <c r="V818" s="1366">
        <f t="shared" si="286"/>
        <v>0.14624999999999999</v>
      </c>
      <c r="W818" s="1366">
        <f t="shared" si="287"/>
        <v>0.14624999999999999</v>
      </c>
      <c r="X818" s="1366">
        <f t="shared" si="287"/>
        <v>0.14624999999999999</v>
      </c>
      <c r="Y818" s="1365"/>
      <c r="Z818" s="282"/>
      <c r="AA818" s="282"/>
    </row>
    <row r="819" spans="1:27" s="431" customFormat="1" outlineLevel="2" x14ac:dyDescent="0.25">
      <c r="A819" s="276">
        <f t="shared" si="292"/>
        <v>367</v>
      </c>
      <c r="B819" s="758" t="str">
        <f>$B367</f>
        <v>Grade Level Teacher</v>
      </c>
      <c r="C819" s="560"/>
      <c r="D819" s="429"/>
      <c r="G819" s="1290">
        <f t="shared" si="294"/>
        <v>0</v>
      </c>
      <c r="H819" s="1290">
        <f t="shared" si="294"/>
        <v>0</v>
      </c>
      <c r="I819" s="1290">
        <f t="shared" si="294"/>
        <v>6421.6766250000001</v>
      </c>
      <c r="J819" s="1290">
        <f t="shared" si="294"/>
        <v>6614.3269237499999</v>
      </c>
      <c r="K819" s="1290">
        <f t="shared" si="294"/>
        <v>6812.7567314624994</v>
      </c>
      <c r="L819" s="1290">
        <f t="shared" si="294"/>
        <v>7017.1394334063734</v>
      </c>
      <c r="M819" s="1290">
        <f t="shared" si="294"/>
        <v>7227.6536164085655</v>
      </c>
      <c r="N819" s="141"/>
      <c r="R819" s="282"/>
      <c r="S819" s="1366">
        <f t="shared" si="283"/>
        <v>0</v>
      </c>
      <c r="T819" s="1366">
        <f t="shared" si="284"/>
        <v>0.14624999999999999</v>
      </c>
      <c r="U819" s="1366">
        <f t="shared" si="285"/>
        <v>0.14624999999999999</v>
      </c>
      <c r="V819" s="1366">
        <f t="shared" si="286"/>
        <v>0.14624999999999999</v>
      </c>
      <c r="W819" s="1366">
        <f t="shared" si="287"/>
        <v>0.14624999999999999</v>
      </c>
      <c r="X819" s="1366">
        <f t="shared" si="287"/>
        <v>0.14624999999999999</v>
      </c>
      <c r="Y819" s="1365"/>
      <c r="Z819" s="282"/>
      <c r="AA819" s="282"/>
    </row>
    <row r="820" spans="1:27" s="431" customFormat="1" outlineLevel="2" x14ac:dyDescent="0.25">
      <c r="A820" s="276">
        <f t="shared" si="292"/>
        <v>368</v>
      </c>
      <c r="B820" s="758"/>
      <c r="C820" s="561"/>
      <c r="D820" s="428"/>
      <c r="G820" s="1290"/>
      <c r="H820" s="1290"/>
      <c r="I820" s="1290"/>
      <c r="J820" s="1290"/>
      <c r="K820" s="1290"/>
      <c r="L820" s="1290"/>
      <c r="M820" s="1290"/>
      <c r="N820" s="141"/>
      <c r="R820" s="282"/>
      <c r="S820" s="1366">
        <f t="shared" si="283"/>
        <v>0</v>
      </c>
      <c r="T820" s="1366">
        <f t="shared" si="284"/>
        <v>0</v>
      </c>
      <c r="U820" s="1366">
        <f t="shared" si="285"/>
        <v>0</v>
      </c>
      <c r="V820" s="1366">
        <f t="shared" si="286"/>
        <v>0</v>
      </c>
      <c r="W820" s="1366">
        <f t="shared" si="287"/>
        <v>0</v>
      </c>
      <c r="X820" s="1366">
        <f t="shared" si="287"/>
        <v>0</v>
      </c>
      <c r="Y820" s="1365"/>
      <c r="Z820" s="282"/>
      <c r="AA820" s="282"/>
    </row>
    <row r="821" spans="1:27" s="428" customFormat="1" outlineLevel="2" x14ac:dyDescent="0.25">
      <c r="A821" s="276">
        <f t="shared" si="292"/>
        <v>369</v>
      </c>
      <c r="B821" s="758" t="str">
        <f t="shared" ref="B821:B826" si="295">$B369</f>
        <v>Grade Level Teacher</v>
      </c>
      <c r="C821" s="560"/>
      <c r="D821" s="429"/>
      <c r="G821" s="1290">
        <f t="shared" ref="G821:M826" si="296">G369*$C$90</f>
        <v>0</v>
      </c>
      <c r="H821" s="1290">
        <f t="shared" si="296"/>
        <v>0</v>
      </c>
      <c r="I821" s="1290">
        <f t="shared" si="296"/>
        <v>6421.6766250000001</v>
      </c>
      <c r="J821" s="1290">
        <f t="shared" si="296"/>
        <v>6614.3269237499999</v>
      </c>
      <c r="K821" s="1290">
        <f t="shared" si="296"/>
        <v>6812.7567314624994</v>
      </c>
      <c r="L821" s="1290">
        <f t="shared" si="296"/>
        <v>7017.1394334063734</v>
      </c>
      <c r="M821" s="1290">
        <f t="shared" si="296"/>
        <v>7227.6536164085655</v>
      </c>
      <c r="N821" s="168"/>
      <c r="R821" s="282"/>
      <c r="S821" s="1366">
        <f t="shared" si="283"/>
        <v>0</v>
      </c>
      <c r="T821" s="1366">
        <f t="shared" si="284"/>
        <v>0.14624999999999999</v>
      </c>
      <c r="U821" s="1366">
        <f t="shared" si="285"/>
        <v>0.14624999999999999</v>
      </c>
      <c r="V821" s="1366">
        <f t="shared" si="286"/>
        <v>0.14624999999999999</v>
      </c>
      <c r="W821" s="1366">
        <f t="shared" si="287"/>
        <v>0.14624999999999999</v>
      </c>
      <c r="X821" s="1366">
        <f t="shared" si="287"/>
        <v>0.14624999999999999</v>
      </c>
      <c r="Y821" s="1365"/>
      <c r="Z821" s="282"/>
      <c r="AA821" s="282"/>
    </row>
    <row r="822" spans="1:27" s="428" customFormat="1" outlineLevel="2" x14ac:dyDescent="0.25">
      <c r="A822" s="276">
        <f t="shared" si="292"/>
        <v>370</v>
      </c>
      <c r="B822" s="758" t="str">
        <f t="shared" si="295"/>
        <v>Grade Level Teacher</v>
      </c>
      <c r="C822" s="560"/>
      <c r="D822" s="429"/>
      <c r="G822" s="1290">
        <f t="shared" si="296"/>
        <v>0</v>
      </c>
      <c r="H822" s="1290">
        <f t="shared" si="296"/>
        <v>0</v>
      </c>
      <c r="I822" s="1290">
        <f t="shared" si="296"/>
        <v>0</v>
      </c>
      <c r="J822" s="1290">
        <f t="shared" si="296"/>
        <v>6718.2818625</v>
      </c>
      <c r="K822" s="1290">
        <f t="shared" si="296"/>
        <v>6919.8303183750004</v>
      </c>
      <c r="L822" s="1290">
        <f t="shared" si="296"/>
        <v>7127.4252279262491</v>
      </c>
      <c r="M822" s="1290">
        <f t="shared" si="296"/>
        <v>7341.2479847640361</v>
      </c>
      <c r="N822" s="168"/>
      <c r="R822" s="282"/>
      <c r="S822" s="1366">
        <f t="shared" si="283"/>
        <v>0</v>
      </c>
      <c r="T822" s="1366">
        <f t="shared" si="284"/>
        <v>0</v>
      </c>
      <c r="U822" s="1366">
        <f t="shared" si="285"/>
        <v>0.14624999999999999</v>
      </c>
      <c r="V822" s="1366">
        <f t="shared" si="286"/>
        <v>0.14624999999999999</v>
      </c>
      <c r="W822" s="1366">
        <f t="shared" si="287"/>
        <v>0.14624999999999999</v>
      </c>
      <c r="X822" s="1366">
        <f t="shared" si="287"/>
        <v>0.14624999999999999</v>
      </c>
      <c r="Y822" s="1365"/>
      <c r="Z822" s="282"/>
      <c r="AA822" s="282"/>
    </row>
    <row r="823" spans="1:27" s="428" customFormat="1" outlineLevel="2" x14ac:dyDescent="0.25">
      <c r="A823" s="276">
        <f t="shared" si="292"/>
        <v>371</v>
      </c>
      <c r="B823" s="758" t="str">
        <f t="shared" si="295"/>
        <v>Grade Level Teacher</v>
      </c>
      <c r="C823" s="560"/>
      <c r="D823" s="429"/>
      <c r="G823" s="1290">
        <f t="shared" si="296"/>
        <v>0</v>
      </c>
      <c r="H823" s="1290">
        <f t="shared" si="296"/>
        <v>0</v>
      </c>
      <c r="I823" s="1290">
        <f t="shared" si="296"/>
        <v>0</v>
      </c>
      <c r="J823" s="1290">
        <f t="shared" si="296"/>
        <v>0</v>
      </c>
      <c r="K823" s="1290">
        <f t="shared" si="296"/>
        <v>7031.6982449999996</v>
      </c>
      <c r="L823" s="1290">
        <f t="shared" si="296"/>
        <v>7242.6491923499989</v>
      </c>
      <c r="M823" s="1290">
        <f t="shared" si="296"/>
        <v>7459.9286681204985</v>
      </c>
      <c r="N823" s="168"/>
      <c r="R823" s="282"/>
      <c r="S823" s="1366">
        <f t="shared" si="283"/>
        <v>0</v>
      </c>
      <c r="T823" s="1366">
        <f t="shared" si="284"/>
        <v>0</v>
      </c>
      <c r="U823" s="1366">
        <f t="shared" si="285"/>
        <v>0</v>
      </c>
      <c r="V823" s="1366">
        <f t="shared" si="286"/>
        <v>0.14624999999999999</v>
      </c>
      <c r="W823" s="1366">
        <f t="shared" si="287"/>
        <v>0.14624999999999999</v>
      </c>
      <c r="X823" s="1366">
        <f t="shared" si="287"/>
        <v>0.14624999999999999</v>
      </c>
      <c r="Y823" s="1365"/>
      <c r="Z823" s="282"/>
      <c r="AA823" s="282"/>
    </row>
    <row r="824" spans="1:27" s="428" customFormat="1" outlineLevel="2" x14ac:dyDescent="0.25">
      <c r="A824" s="276">
        <f t="shared" si="292"/>
        <v>372</v>
      </c>
      <c r="B824" s="758" t="str">
        <f t="shared" si="295"/>
        <v>Grade Level Teacher</v>
      </c>
      <c r="C824" s="560"/>
      <c r="D824" s="429"/>
      <c r="G824" s="1290">
        <f t="shared" si="296"/>
        <v>0</v>
      </c>
      <c r="H824" s="1290">
        <f t="shared" si="296"/>
        <v>0</v>
      </c>
      <c r="I824" s="1290">
        <f t="shared" si="296"/>
        <v>0</v>
      </c>
      <c r="J824" s="1290">
        <f t="shared" si="296"/>
        <v>0</v>
      </c>
      <c r="K824" s="1290">
        <f t="shared" si="296"/>
        <v>0</v>
      </c>
      <c r="L824" s="1290">
        <f t="shared" si="296"/>
        <v>7357.8731567737495</v>
      </c>
      <c r="M824" s="1290">
        <f t="shared" si="296"/>
        <v>7578.6093514769618</v>
      </c>
      <c r="N824" s="168"/>
      <c r="R824" s="282"/>
      <c r="S824" s="1366">
        <f t="shared" si="283"/>
        <v>0</v>
      </c>
      <c r="T824" s="1366">
        <f t="shared" si="284"/>
        <v>0</v>
      </c>
      <c r="U824" s="1366">
        <f t="shared" si="285"/>
        <v>0</v>
      </c>
      <c r="V824" s="1366">
        <f t="shared" si="286"/>
        <v>0</v>
      </c>
      <c r="W824" s="1366">
        <f t="shared" si="287"/>
        <v>0.14624999999999999</v>
      </c>
      <c r="X824" s="1366">
        <f t="shared" si="287"/>
        <v>0.14624999999999999</v>
      </c>
      <c r="Y824" s="1365"/>
      <c r="Z824" s="282"/>
      <c r="AA824" s="282"/>
    </row>
    <row r="825" spans="1:27" s="428" customFormat="1" outlineLevel="2" x14ac:dyDescent="0.25">
      <c r="A825" s="276">
        <f t="shared" si="292"/>
        <v>373</v>
      </c>
      <c r="B825" s="758" t="str">
        <f t="shared" si="295"/>
        <v>Grade Level Teacher</v>
      </c>
      <c r="C825" s="560"/>
      <c r="D825" s="429"/>
      <c r="G825" s="1290">
        <f t="shared" si="296"/>
        <v>0</v>
      </c>
      <c r="H825" s="1290">
        <f t="shared" si="296"/>
        <v>0</v>
      </c>
      <c r="I825" s="1290">
        <f t="shared" si="296"/>
        <v>0</v>
      </c>
      <c r="J825" s="1290">
        <f t="shared" si="296"/>
        <v>0</v>
      </c>
      <c r="K825" s="1290">
        <f t="shared" si="296"/>
        <v>0</v>
      </c>
      <c r="L825" s="1290">
        <f t="shared" si="296"/>
        <v>0</v>
      </c>
      <c r="M825" s="1290">
        <f t="shared" si="296"/>
        <v>7688.8128431651039</v>
      </c>
      <c r="N825" s="168"/>
      <c r="R825" s="282"/>
      <c r="S825" s="1366">
        <f t="shared" si="283"/>
        <v>0</v>
      </c>
      <c r="T825" s="1366">
        <f t="shared" si="284"/>
        <v>0</v>
      </c>
      <c r="U825" s="1366">
        <f t="shared" si="285"/>
        <v>0</v>
      </c>
      <c r="V825" s="1366">
        <f t="shared" si="286"/>
        <v>0</v>
      </c>
      <c r="W825" s="1366">
        <f t="shared" si="287"/>
        <v>0</v>
      </c>
      <c r="X825" s="1366">
        <f t="shared" si="287"/>
        <v>0.14624999999999999</v>
      </c>
      <c r="Y825" s="1365"/>
      <c r="Z825" s="282"/>
      <c r="AA825" s="282"/>
    </row>
    <row r="826" spans="1:27" s="428" customFormat="1" outlineLevel="2" x14ac:dyDescent="0.25">
      <c r="A826" s="276">
        <f t="shared" si="292"/>
        <v>374</v>
      </c>
      <c r="B826" s="758" t="str">
        <f t="shared" si="295"/>
        <v>Grade Level Teacher</v>
      </c>
      <c r="C826" s="560"/>
      <c r="D826" s="429"/>
      <c r="G826" s="1290">
        <f t="shared" si="296"/>
        <v>0</v>
      </c>
      <c r="H826" s="1290">
        <f t="shared" si="296"/>
        <v>0</v>
      </c>
      <c r="I826" s="1290">
        <f t="shared" si="296"/>
        <v>0</v>
      </c>
      <c r="J826" s="1290">
        <f t="shared" si="296"/>
        <v>0</v>
      </c>
      <c r="K826" s="1290">
        <f t="shared" si="296"/>
        <v>0</v>
      </c>
      <c r="L826" s="1290">
        <f t="shared" si="296"/>
        <v>0</v>
      </c>
      <c r="M826" s="1290">
        <f t="shared" si="296"/>
        <v>0</v>
      </c>
      <c r="N826" s="168"/>
      <c r="R826" s="282"/>
      <c r="S826" s="1366">
        <f t="shared" si="283"/>
        <v>0</v>
      </c>
      <c r="T826" s="1366">
        <f t="shared" si="284"/>
        <v>0</v>
      </c>
      <c r="U826" s="1366">
        <f t="shared" si="285"/>
        <v>0</v>
      </c>
      <c r="V826" s="1366">
        <f t="shared" si="286"/>
        <v>0</v>
      </c>
      <c r="W826" s="1366">
        <f t="shared" si="287"/>
        <v>0</v>
      </c>
      <c r="X826" s="1366">
        <f t="shared" si="287"/>
        <v>0</v>
      </c>
      <c r="Y826" s="1365"/>
      <c r="Z826" s="282"/>
      <c r="AA826" s="282"/>
    </row>
    <row r="827" spans="1:27" s="431" customFormat="1" outlineLevel="2" x14ac:dyDescent="0.25">
      <c r="A827" s="276">
        <f t="shared" si="292"/>
        <v>375</v>
      </c>
      <c r="B827" s="758"/>
      <c r="C827" s="561"/>
      <c r="D827" s="428"/>
      <c r="G827" s="1290"/>
      <c r="H827" s="1290"/>
      <c r="I827" s="1290"/>
      <c r="J827" s="1290"/>
      <c r="K827" s="1290"/>
      <c r="L827" s="1290"/>
      <c r="M827" s="1290"/>
      <c r="N827" s="141"/>
      <c r="R827" s="282"/>
      <c r="S827" s="1366">
        <f t="shared" si="283"/>
        <v>0</v>
      </c>
      <c r="T827" s="1366">
        <f t="shared" si="284"/>
        <v>0</v>
      </c>
      <c r="U827" s="1366">
        <f t="shared" si="285"/>
        <v>0</v>
      </c>
      <c r="V827" s="1366">
        <f t="shared" si="286"/>
        <v>0</v>
      </c>
      <c r="W827" s="1366">
        <f t="shared" si="287"/>
        <v>0</v>
      </c>
      <c r="X827" s="1366">
        <f t="shared" si="287"/>
        <v>0</v>
      </c>
      <c r="Y827" s="1365"/>
      <c r="Z827" s="282"/>
      <c r="AA827" s="282"/>
    </row>
    <row r="828" spans="1:27" s="428" customFormat="1" outlineLevel="2" x14ac:dyDescent="0.25">
      <c r="A828" s="276">
        <f t="shared" si="292"/>
        <v>376</v>
      </c>
      <c r="B828" s="758" t="str">
        <f>$B376</f>
        <v>8th Grade Teacher</v>
      </c>
      <c r="C828" s="560"/>
      <c r="D828" s="429"/>
      <c r="G828" s="1290">
        <f t="shared" ref="G828:M832" si="297">G376*$C$90</f>
        <v>0</v>
      </c>
      <c r="H828" s="1290">
        <f t="shared" si="297"/>
        <v>0</v>
      </c>
      <c r="I828" s="1290">
        <f t="shared" si="297"/>
        <v>0</v>
      </c>
      <c r="J828" s="1290">
        <f t="shared" si="297"/>
        <v>0</v>
      </c>
      <c r="K828" s="1290">
        <f t="shared" si="297"/>
        <v>0</v>
      </c>
      <c r="L828" s="1290">
        <f t="shared" si="297"/>
        <v>0</v>
      </c>
      <c r="M828" s="1290">
        <f t="shared" si="297"/>
        <v>0</v>
      </c>
      <c r="N828" s="168"/>
      <c r="R828" s="282"/>
      <c r="S828" s="1366">
        <f t="shared" si="283"/>
        <v>0</v>
      </c>
      <c r="T828" s="1366">
        <f t="shared" si="284"/>
        <v>0</v>
      </c>
      <c r="U828" s="1366">
        <f t="shared" si="285"/>
        <v>0</v>
      </c>
      <c r="V828" s="1366">
        <f t="shared" si="286"/>
        <v>0</v>
      </c>
      <c r="W828" s="1366">
        <f t="shared" si="287"/>
        <v>0</v>
      </c>
      <c r="X828" s="1366">
        <f t="shared" si="287"/>
        <v>0</v>
      </c>
      <c r="Y828" s="1365"/>
      <c r="Z828" s="282"/>
      <c r="AA828" s="282"/>
    </row>
    <row r="829" spans="1:27" s="428" customFormat="1" outlineLevel="2" x14ac:dyDescent="0.25">
      <c r="A829" s="276">
        <f t="shared" si="292"/>
        <v>377</v>
      </c>
      <c r="B829" s="758" t="str">
        <f>$B377</f>
        <v>8th Grade Teacher</v>
      </c>
      <c r="C829" s="560"/>
      <c r="D829" s="429"/>
      <c r="G829" s="1290">
        <f t="shared" si="297"/>
        <v>0</v>
      </c>
      <c r="H829" s="1290">
        <f t="shared" si="297"/>
        <v>0</v>
      </c>
      <c r="I829" s="1290">
        <f t="shared" si="297"/>
        <v>0</v>
      </c>
      <c r="J829" s="1290">
        <f t="shared" si="297"/>
        <v>0</v>
      </c>
      <c r="K829" s="1290">
        <f t="shared" si="297"/>
        <v>0</v>
      </c>
      <c r="L829" s="1290">
        <f t="shared" si="297"/>
        <v>0</v>
      </c>
      <c r="M829" s="1290">
        <f t="shared" si="297"/>
        <v>0</v>
      </c>
      <c r="N829" s="168"/>
      <c r="R829" s="282"/>
      <c r="S829" s="1366">
        <f t="shared" si="283"/>
        <v>0</v>
      </c>
      <c r="T829" s="1366">
        <f t="shared" si="284"/>
        <v>0</v>
      </c>
      <c r="U829" s="1366">
        <f t="shared" si="285"/>
        <v>0</v>
      </c>
      <c r="V829" s="1366">
        <f t="shared" si="286"/>
        <v>0</v>
      </c>
      <c r="W829" s="1366">
        <f t="shared" si="287"/>
        <v>0</v>
      </c>
      <c r="X829" s="1366">
        <f t="shared" si="287"/>
        <v>0</v>
      </c>
      <c r="Y829" s="1365"/>
      <c r="Z829" s="282"/>
      <c r="AA829" s="282"/>
    </row>
    <row r="830" spans="1:27" s="428" customFormat="1" outlineLevel="2" x14ac:dyDescent="0.25">
      <c r="A830" s="276">
        <f t="shared" si="292"/>
        <v>378</v>
      </c>
      <c r="B830" s="758" t="str">
        <f>$B378</f>
        <v>8th Grade Teacher</v>
      </c>
      <c r="C830" s="560"/>
      <c r="D830" s="429"/>
      <c r="G830" s="1290">
        <f t="shared" si="297"/>
        <v>0</v>
      </c>
      <c r="H830" s="1290">
        <f t="shared" si="297"/>
        <v>0</v>
      </c>
      <c r="I830" s="1290">
        <f t="shared" si="297"/>
        <v>0</v>
      </c>
      <c r="J830" s="1290">
        <f t="shared" si="297"/>
        <v>0</v>
      </c>
      <c r="K830" s="1290">
        <f t="shared" si="297"/>
        <v>0</v>
      </c>
      <c r="L830" s="1290">
        <f t="shared" si="297"/>
        <v>0</v>
      </c>
      <c r="M830" s="1290">
        <f t="shared" si="297"/>
        <v>0</v>
      </c>
      <c r="N830" s="168"/>
      <c r="R830" s="282"/>
      <c r="S830" s="1366">
        <f t="shared" si="283"/>
        <v>0</v>
      </c>
      <c r="T830" s="1366">
        <f t="shared" si="284"/>
        <v>0</v>
      </c>
      <c r="U830" s="1366">
        <f t="shared" si="285"/>
        <v>0</v>
      </c>
      <c r="V830" s="1366">
        <f t="shared" si="286"/>
        <v>0</v>
      </c>
      <c r="W830" s="1366">
        <f t="shared" si="287"/>
        <v>0</v>
      </c>
      <c r="X830" s="1366">
        <f t="shared" si="287"/>
        <v>0</v>
      </c>
      <c r="Y830" s="1365"/>
      <c r="Z830" s="282"/>
      <c r="AA830" s="282"/>
    </row>
    <row r="831" spans="1:27" s="428" customFormat="1" outlineLevel="2" x14ac:dyDescent="0.25">
      <c r="A831" s="276">
        <f t="shared" si="292"/>
        <v>379</v>
      </c>
      <c r="B831" s="758" t="str">
        <f>$B379</f>
        <v>8th Grade Teacher</v>
      </c>
      <c r="C831" s="560"/>
      <c r="D831" s="429"/>
      <c r="G831" s="1290">
        <f t="shared" si="297"/>
        <v>0</v>
      </c>
      <c r="H831" s="1290">
        <f t="shared" si="297"/>
        <v>0</v>
      </c>
      <c r="I831" s="1290">
        <f t="shared" si="297"/>
        <v>0</v>
      </c>
      <c r="J831" s="1290">
        <f t="shared" si="297"/>
        <v>0</v>
      </c>
      <c r="K831" s="1290">
        <f t="shared" si="297"/>
        <v>0</v>
      </c>
      <c r="L831" s="1290">
        <f t="shared" si="297"/>
        <v>0</v>
      </c>
      <c r="M831" s="1290">
        <f t="shared" si="297"/>
        <v>0</v>
      </c>
      <c r="N831" s="168"/>
      <c r="R831" s="282"/>
      <c r="S831" s="1366">
        <f t="shared" si="283"/>
        <v>0</v>
      </c>
      <c r="T831" s="1366">
        <f t="shared" si="284"/>
        <v>0</v>
      </c>
      <c r="U831" s="1366">
        <f t="shared" si="285"/>
        <v>0</v>
      </c>
      <c r="V831" s="1366">
        <f t="shared" si="286"/>
        <v>0</v>
      </c>
      <c r="W831" s="1366">
        <f t="shared" si="287"/>
        <v>0</v>
      </c>
      <c r="X831" s="1366">
        <f t="shared" si="287"/>
        <v>0</v>
      </c>
      <c r="Y831" s="1365"/>
      <c r="Z831" s="282"/>
      <c r="AA831" s="282"/>
    </row>
    <row r="832" spans="1:27" s="428" customFormat="1" outlineLevel="2" x14ac:dyDescent="0.25">
      <c r="A832" s="276">
        <f t="shared" si="292"/>
        <v>380</v>
      </c>
      <c r="B832" s="758">
        <f>$B380</f>
        <v>0</v>
      </c>
      <c r="C832" s="560"/>
      <c r="D832" s="429"/>
      <c r="G832" s="1290">
        <f t="shared" si="297"/>
        <v>0</v>
      </c>
      <c r="H832" s="1290">
        <f t="shared" si="297"/>
        <v>0</v>
      </c>
      <c r="I832" s="1290">
        <f t="shared" si="297"/>
        <v>0</v>
      </c>
      <c r="J832" s="1290">
        <f t="shared" si="297"/>
        <v>0</v>
      </c>
      <c r="K832" s="1290">
        <f t="shared" si="297"/>
        <v>0</v>
      </c>
      <c r="L832" s="1290">
        <f t="shared" si="297"/>
        <v>0</v>
      </c>
      <c r="M832" s="1290">
        <f t="shared" si="297"/>
        <v>0</v>
      </c>
      <c r="N832" s="168"/>
      <c r="R832" s="282"/>
      <c r="S832" s="1366">
        <f t="shared" si="283"/>
        <v>0</v>
      </c>
      <c r="T832" s="1366">
        <f t="shared" si="284"/>
        <v>0</v>
      </c>
      <c r="U832" s="1366">
        <f t="shared" si="285"/>
        <v>0</v>
      </c>
      <c r="V832" s="1366">
        <f t="shared" si="286"/>
        <v>0</v>
      </c>
      <c r="W832" s="1366">
        <f t="shared" si="287"/>
        <v>0</v>
      </c>
      <c r="X832" s="1366">
        <f t="shared" si="287"/>
        <v>0</v>
      </c>
      <c r="Y832" s="1365"/>
      <c r="Z832" s="282"/>
      <c r="AA832" s="282"/>
    </row>
    <row r="833" spans="1:27" s="428" customFormat="1" outlineLevel="2" x14ac:dyDescent="0.25">
      <c r="A833" s="276">
        <f t="shared" si="292"/>
        <v>381</v>
      </c>
      <c r="B833" s="758"/>
      <c r="C833" s="560"/>
      <c r="D833" s="429"/>
      <c r="G833" s="1290"/>
      <c r="H833" s="1290"/>
      <c r="I833" s="1290"/>
      <c r="J833" s="1290"/>
      <c r="K833" s="1290"/>
      <c r="L833" s="1290"/>
      <c r="M833" s="1290"/>
      <c r="N833" s="168"/>
      <c r="R833" s="282"/>
      <c r="S833" s="1366">
        <f t="shared" si="283"/>
        <v>0</v>
      </c>
      <c r="T833" s="1366">
        <f t="shared" si="284"/>
        <v>0</v>
      </c>
      <c r="U833" s="1366">
        <f t="shared" si="285"/>
        <v>0</v>
      </c>
      <c r="V833" s="1366">
        <f t="shared" si="286"/>
        <v>0</v>
      </c>
      <c r="W833" s="1366">
        <f t="shared" si="287"/>
        <v>0</v>
      </c>
      <c r="X833" s="1366">
        <f t="shared" si="287"/>
        <v>0</v>
      </c>
      <c r="Y833" s="1365"/>
      <c r="Z833" s="282"/>
      <c r="AA833" s="282"/>
    </row>
    <row r="834" spans="1:27" s="428" customFormat="1" outlineLevel="2" x14ac:dyDescent="0.25">
      <c r="A834" s="276">
        <f t="shared" si="292"/>
        <v>382</v>
      </c>
      <c r="B834" s="758" t="str">
        <f>$B382</f>
        <v>PE teacher</v>
      </c>
      <c r="C834" s="560"/>
      <c r="D834" s="429"/>
      <c r="G834" s="1290">
        <f t="shared" ref="G834:M838" si="298">G382*$C$90</f>
        <v>0</v>
      </c>
      <c r="H834" s="1290">
        <f t="shared" si="298"/>
        <v>0</v>
      </c>
      <c r="I834" s="1290">
        <f t="shared" si="298"/>
        <v>0</v>
      </c>
      <c r="J834" s="1290">
        <f t="shared" si="298"/>
        <v>0</v>
      </c>
      <c r="K834" s="1290">
        <f t="shared" si="298"/>
        <v>0</v>
      </c>
      <c r="L834" s="1290">
        <f t="shared" si="298"/>
        <v>0</v>
      </c>
      <c r="M834" s="1290">
        <f t="shared" si="298"/>
        <v>0</v>
      </c>
      <c r="N834" s="168"/>
      <c r="R834" s="282"/>
      <c r="S834" s="1366">
        <f t="shared" si="283"/>
        <v>0</v>
      </c>
      <c r="T834" s="1366">
        <f t="shared" si="284"/>
        <v>0</v>
      </c>
      <c r="U834" s="1366">
        <f t="shared" si="285"/>
        <v>0</v>
      </c>
      <c r="V834" s="1366">
        <f t="shared" si="286"/>
        <v>0</v>
      </c>
      <c r="W834" s="1366">
        <f t="shared" si="287"/>
        <v>0</v>
      </c>
      <c r="X834" s="1366">
        <f t="shared" si="287"/>
        <v>0</v>
      </c>
      <c r="Y834" s="1365"/>
      <c r="Z834" s="282"/>
      <c r="AA834" s="282"/>
    </row>
    <row r="835" spans="1:27" s="428" customFormat="1" outlineLevel="2" x14ac:dyDescent="0.25">
      <c r="A835" s="276">
        <f t="shared" si="292"/>
        <v>383</v>
      </c>
      <c r="B835" s="758" t="str">
        <f>$B383</f>
        <v>PE teacher</v>
      </c>
      <c r="C835" s="560"/>
      <c r="D835" s="429"/>
      <c r="G835" s="1290">
        <f t="shared" si="298"/>
        <v>0</v>
      </c>
      <c r="H835" s="1290">
        <f t="shared" si="298"/>
        <v>0</v>
      </c>
      <c r="I835" s="1290">
        <f t="shared" si="298"/>
        <v>0</v>
      </c>
      <c r="J835" s="1290">
        <f t="shared" si="298"/>
        <v>0</v>
      </c>
      <c r="K835" s="1290">
        <f t="shared" si="298"/>
        <v>0</v>
      </c>
      <c r="L835" s="1290">
        <f t="shared" si="298"/>
        <v>0</v>
      </c>
      <c r="M835" s="1290">
        <f t="shared" si="298"/>
        <v>0</v>
      </c>
      <c r="N835" s="168"/>
      <c r="R835" s="282"/>
      <c r="S835" s="1366">
        <f t="shared" si="283"/>
        <v>0</v>
      </c>
      <c r="T835" s="1366">
        <f t="shared" si="284"/>
        <v>0</v>
      </c>
      <c r="U835" s="1366">
        <f t="shared" si="285"/>
        <v>0</v>
      </c>
      <c r="V835" s="1366">
        <f t="shared" si="286"/>
        <v>0</v>
      </c>
      <c r="W835" s="1366">
        <f t="shared" si="287"/>
        <v>0</v>
      </c>
      <c r="X835" s="1366">
        <f t="shared" si="287"/>
        <v>0</v>
      </c>
      <c r="Y835" s="1365"/>
      <c r="Z835" s="282"/>
      <c r="AA835" s="282"/>
    </row>
    <row r="836" spans="1:27" s="428" customFormat="1" outlineLevel="2" x14ac:dyDescent="0.25">
      <c r="A836" s="276">
        <f t="shared" si="292"/>
        <v>384</v>
      </c>
      <c r="B836" s="758" t="str">
        <f>$B384</f>
        <v>Grade Level Teacher</v>
      </c>
      <c r="C836" s="560"/>
      <c r="D836" s="429"/>
      <c r="G836" s="1290">
        <f t="shared" si="298"/>
        <v>0</v>
      </c>
      <c r="H836" s="1290">
        <f t="shared" si="298"/>
        <v>0</v>
      </c>
      <c r="I836" s="1290">
        <f t="shared" si="298"/>
        <v>0</v>
      </c>
      <c r="J836" s="1290">
        <f t="shared" si="298"/>
        <v>0</v>
      </c>
      <c r="K836" s="1290">
        <f t="shared" si="298"/>
        <v>0</v>
      </c>
      <c r="L836" s="1290">
        <f t="shared" si="298"/>
        <v>0</v>
      </c>
      <c r="M836" s="1290">
        <f t="shared" si="298"/>
        <v>0</v>
      </c>
      <c r="N836" s="168"/>
      <c r="R836" s="282"/>
      <c r="S836" s="1366">
        <f t="shared" si="283"/>
        <v>0</v>
      </c>
      <c r="T836" s="1366">
        <f t="shared" si="284"/>
        <v>0</v>
      </c>
      <c r="U836" s="1366">
        <f t="shared" si="285"/>
        <v>0</v>
      </c>
      <c r="V836" s="1366">
        <f t="shared" si="286"/>
        <v>0</v>
      </c>
      <c r="W836" s="1366">
        <f t="shared" si="287"/>
        <v>0</v>
      </c>
      <c r="X836" s="1366">
        <f t="shared" si="287"/>
        <v>0</v>
      </c>
      <c r="Y836" s="1365"/>
      <c r="Z836" s="282"/>
      <c r="AA836" s="282"/>
    </row>
    <row r="837" spans="1:27" s="428" customFormat="1" outlineLevel="2" x14ac:dyDescent="0.25">
      <c r="A837" s="276">
        <f t="shared" si="292"/>
        <v>385</v>
      </c>
      <c r="B837" s="758" t="str">
        <f>$B385</f>
        <v>Grade Level Teacher</v>
      </c>
      <c r="C837" s="560"/>
      <c r="D837" s="429"/>
      <c r="G837" s="1290">
        <f t="shared" si="298"/>
        <v>0</v>
      </c>
      <c r="H837" s="1290">
        <f t="shared" si="298"/>
        <v>0</v>
      </c>
      <c r="I837" s="1290">
        <f t="shared" si="298"/>
        <v>0</v>
      </c>
      <c r="J837" s="1290">
        <f t="shared" si="298"/>
        <v>0</v>
      </c>
      <c r="K837" s="1290">
        <f t="shared" si="298"/>
        <v>0</v>
      </c>
      <c r="L837" s="1290">
        <f t="shared" si="298"/>
        <v>0</v>
      </c>
      <c r="M837" s="1290">
        <f t="shared" si="298"/>
        <v>0</v>
      </c>
      <c r="N837" s="168"/>
      <c r="R837" s="282"/>
      <c r="S837" s="1366">
        <f t="shared" si="283"/>
        <v>0</v>
      </c>
      <c r="T837" s="1366">
        <f t="shared" si="284"/>
        <v>0</v>
      </c>
      <c r="U837" s="1366">
        <f t="shared" si="285"/>
        <v>0</v>
      </c>
      <c r="V837" s="1366">
        <f t="shared" si="286"/>
        <v>0</v>
      </c>
      <c r="W837" s="1366">
        <f t="shared" si="287"/>
        <v>0</v>
      </c>
      <c r="X837" s="1366">
        <f t="shared" si="287"/>
        <v>0</v>
      </c>
      <c r="Y837" s="1365"/>
      <c r="Z837" s="282"/>
      <c r="AA837" s="282"/>
    </row>
    <row r="838" spans="1:27" s="428" customFormat="1" outlineLevel="2" x14ac:dyDescent="0.25">
      <c r="A838" s="276">
        <f t="shared" si="292"/>
        <v>386</v>
      </c>
      <c r="B838" s="758" t="str">
        <f>$B386</f>
        <v>Grade Level Teacher</v>
      </c>
      <c r="C838" s="560"/>
      <c r="D838" s="429"/>
      <c r="G838" s="1290">
        <f t="shared" si="298"/>
        <v>0</v>
      </c>
      <c r="H838" s="1290">
        <f t="shared" si="298"/>
        <v>0</v>
      </c>
      <c r="I838" s="1290">
        <f t="shared" si="298"/>
        <v>0</v>
      </c>
      <c r="J838" s="1290">
        <f t="shared" si="298"/>
        <v>0</v>
      </c>
      <c r="K838" s="1290">
        <f t="shared" si="298"/>
        <v>0</v>
      </c>
      <c r="L838" s="1290">
        <f t="shared" si="298"/>
        <v>0</v>
      </c>
      <c r="M838" s="1290">
        <f t="shared" si="298"/>
        <v>0</v>
      </c>
      <c r="N838" s="168"/>
      <c r="R838" s="282"/>
      <c r="S838" s="1366">
        <f t="shared" si="283"/>
        <v>0</v>
      </c>
      <c r="T838" s="1366">
        <f t="shared" si="284"/>
        <v>0</v>
      </c>
      <c r="U838" s="1366">
        <f t="shared" si="285"/>
        <v>0</v>
      </c>
      <c r="V838" s="1366">
        <f t="shared" si="286"/>
        <v>0</v>
      </c>
      <c r="W838" s="1366">
        <f t="shared" si="287"/>
        <v>0</v>
      </c>
      <c r="X838" s="1366">
        <f t="shared" si="287"/>
        <v>0</v>
      </c>
      <c r="Y838" s="1365"/>
      <c r="Z838" s="282"/>
      <c r="AA838" s="282"/>
    </row>
    <row r="839" spans="1:27" s="428" customFormat="1" outlineLevel="2" x14ac:dyDescent="0.25">
      <c r="A839" s="276">
        <f t="shared" ref="A839:A870" si="299">ROW(A387)</f>
        <v>387</v>
      </c>
      <c r="B839" s="758"/>
      <c r="C839" s="560"/>
      <c r="D839" s="429"/>
      <c r="G839" s="1290"/>
      <c r="H839" s="1290"/>
      <c r="I839" s="1290"/>
      <c r="J839" s="1290"/>
      <c r="K839" s="1290"/>
      <c r="L839" s="1290"/>
      <c r="M839" s="1290"/>
      <c r="N839" s="168"/>
      <c r="R839" s="282"/>
      <c r="S839" s="1366">
        <f t="shared" si="283"/>
        <v>0</v>
      </c>
      <c r="T839" s="1366">
        <f t="shared" si="284"/>
        <v>0</v>
      </c>
      <c r="U839" s="1366">
        <f t="shared" si="285"/>
        <v>0</v>
      </c>
      <c r="V839" s="1366">
        <f t="shared" si="286"/>
        <v>0</v>
      </c>
      <c r="W839" s="1366">
        <f t="shared" si="287"/>
        <v>0</v>
      </c>
      <c r="X839" s="1366">
        <f t="shared" si="287"/>
        <v>0</v>
      </c>
      <c r="Y839" s="1365"/>
      <c r="Z839" s="282"/>
      <c r="AA839" s="282"/>
    </row>
    <row r="840" spans="1:27" s="428" customFormat="1" outlineLevel="2" x14ac:dyDescent="0.25">
      <c r="A840" s="276">
        <f t="shared" si="299"/>
        <v>388</v>
      </c>
      <c r="B840" s="758" t="str">
        <f>$B388</f>
        <v>STEAM Teacher</v>
      </c>
      <c r="C840" s="560"/>
      <c r="D840" s="429"/>
      <c r="G840" s="1290">
        <f t="shared" ref="G840:M844" si="300">G388*$C$90</f>
        <v>0</v>
      </c>
      <c r="H840" s="1290">
        <f t="shared" si="300"/>
        <v>0</v>
      </c>
      <c r="I840" s="1290">
        <f t="shared" si="300"/>
        <v>0</v>
      </c>
      <c r="J840" s="1290">
        <f t="shared" si="300"/>
        <v>0</v>
      </c>
      <c r="K840" s="1290">
        <f t="shared" si="300"/>
        <v>0</v>
      </c>
      <c r="L840" s="1290">
        <f t="shared" si="300"/>
        <v>0</v>
      </c>
      <c r="M840" s="1290">
        <f t="shared" si="300"/>
        <v>0</v>
      </c>
      <c r="N840" s="168"/>
      <c r="R840" s="282"/>
      <c r="S840" s="1366">
        <f t="shared" si="283"/>
        <v>0</v>
      </c>
      <c r="T840" s="1366">
        <f t="shared" si="284"/>
        <v>0</v>
      </c>
      <c r="U840" s="1366">
        <f t="shared" si="285"/>
        <v>0</v>
      </c>
      <c r="V840" s="1366">
        <f t="shared" si="286"/>
        <v>0</v>
      </c>
      <c r="W840" s="1366">
        <f t="shared" si="287"/>
        <v>0</v>
      </c>
      <c r="X840" s="1366">
        <f t="shared" si="287"/>
        <v>0</v>
      </c>
      <c r="Y840" s="1365"/>
      <c r="Z840" s="282"/>
      <c r="AA840" s="282"/>
    </row>
    <row r="841" spans="1:27" s="428" customFormat="1" outlineLevel="2" x14ac:dyDescent="0.25">
      <c r="A841" s="276">
        <f t="shared" si="299"/>
        <v>389</v>
      </c>
      <c r="B841" s="758" t="str">
        <f>$B389</f>
        <v>STEAM Teacher</v>
      </c>
      <c r="C841" s="560"/>
      <c r="D841" s="429"/>
      <c r="G841" s="1290">
        <f t="shared" si="300"/>
        <v>0</v>
      </c>
      <c r="H841" s="1290">
        <f t="shared" si="300"/>
        <v>0</v>
      </c>
      <c r="I841" s="1290">
        <f t="shared" si="300"/>
        <v>0</v>
      </c>
      <c r="J841" s="1290">
        <f t="shared" si="300"/>
        <v>0</v>
      </c>
      <c r="K841" s="1290">
        <f t="shared" si="300"/>
        <v>0</v>
      </c>
      <c r="L841" s="1290">
        <f t="shared" si="300"/>
        <v>0</v>
      </c>
      <c r="M841" s="1290">
        <f t="shared" si="300"/>
        <v>0</v>
      </c>
      <c r="N841" s="168"/>
      <c r="R841" s="282"/>
      <c r="S841" s="1366">
        <f t="shared" si="283"/>
        <v>0</v>
      </c>
      <c r="T841" s="1366">
        <f t="shared" si="284"/>
        <v>0</v>
      </c>
      <c r="U841" s="1366">
        <f t="shared" si="285"/>
        <v>0</v>
      </c>
      <c r="V841" s="1366">
        <f t="shared" si="286"/>
        <v>0</v>
      </c>
      <c r="W841" s="1366">
        <f t="shared" si="287"/>
        <v>0</v>
      </c>
      <c r="X841" s="1366">
        <f t="shared" si="287"/>
        <v>0</v>
      </c>
      <c r="Y841" s="1365"/>
      <c r="Z841" s="282"/>
      <c r="AA841" s="282"/>
    </row>
    <row r="842" spans="1:27" s="428" customFormat="1" outlineLevel="2" x14ac:dyDescent="0.25">
      <c r="A842" s="276">
        <f t="shared" si="299"/>
        <v>390</v>
      </c>
      <c r="B842" s="758" t="str">
        <f>$B390</f>
        <v>Grade Level Teacher</v>
      </c>
      <c r="C842" s="560"/>
      <c r="D842" s="429"/>
      <c r="G842" s="1290">
        <f t="shared" si="300"/>
        <v>0</v>
      </c>
      <c r="H842" s="1290">
        <f t="shared" si="300"/>
        <v>0</v>
      </c>
      <c r="I842" s="1290">
        <f t="shared" si="300"/>
        <v>0</v>
      </c>
      <c r="J842" s="1290">
        <f t="shared" si="300"/>
        <v>0</v>
      </c>
      <c r="K842" s="1290">
        <f t="shared" si="300"/>
        <v>0</v>
      </c>
      <c r="L842" s="1290">
        <f t="shared" si="300"/>
        <v>0</v>
      </c>
      <c r="M842" s="1290">
        <f t="shared" si="300"/>
        <v>0</v>
      </c>
      <c r="N842" s="168"/>
      <c r="R842" s="282"/>
      <c r="S842" s="1366">
        <f t="shared" si="283"/>
        <v>0</v>
      </c>
      <c r="T842" s="1366">
        <f t="shared" si="284"/>
        <v>0</v>
      </c>
      <c r="U842" s="1366">
        <f t="shared" si="285"/>
        <v>0</v>
      </c>
      <c r="V842" s="1366">
        <f t="shared" si="286"/>
        <v>0</v>
      </c>
      <c r="W842" s="1366">
        <f t="shared" si="287"/>
        <v>0</v>
      </c>
      <c r="X842" s="1366">
        <f t="shared" si="287"/>
        <v>0</v>
      </c>
      <c r="Y842" s="1365"/>
      <c r="Z842" s="282"/>
      <c r="AA842" s="282"/>
    </row>
    <row r="843" spans="1:27" s="428" customFormat="1" outlineLevel="2" x14ac:dyDescent="0.25">
      <c r="A843" s="276">
        <f t="shared" si="299"/>
        <v>391</v>
      </c>
      <c r="B843" s="758" t="str">
        <f>$B391</f>
        <v>Grade Level Teacher</v>
      </c>
      <c r="C843" s="560"/>
      <c r="D843" s="429"/>
      <c r="G843" s="1290">
        <f t="shared" si="300"/>
        <v>0</v>
      </c>
      <c r="H843" s="1290">
        <f t="shared" si="300"/>
        <v>0</v>
      </c>
      <c r="I843" s="1290">
        <f t="shared" si="300"/>
        <v>0</v>
      </c>
      <c r="J843" s="1290">
        <f t="shared" si="300"/>
        <v>0</v>
      </c>
      <c r="K843" s="1290">
        <f t="shared" si="300"/>
        <v>0</v>
      </c>
      <c r="L843" s="1290">
        <f t="shared" si="300"/>
        <v>0</v>
      </c>
      <c r="M843" s="1290">
        <f t="shared" si="300"/>
        <v>0</v>
      </c>
      <c r="N843" s="168"/>
      <c r="R843" s="282"/>
      <c r="S843" s="1366">
        <f t="shared" si="283"/>
        <v>0</v>
      </c>
      <c r="T843" s="1366">
        <f t="shared" si="284"/>
        <v>0</v>
      </c>
      <c r="U843" s="1366">
        <f t="shared" si="285"/>
        <v>0</v>
      </c>
      <c r="V843" s="1366">
        <f t="shared" si="286"/>
        <v>0</v>
      </c>
      <c r="W843" s="1366">
        <f t="shared" si="287"/>
        <v>0</v>
      </c>
      <c r="X843" s="1366">
        <f t="shared" si="287"/>
        <v>0</v>
      </c>
      <c r="Y843" s="1365"/>
      <c r="Z843" s="282"/>
      <c r="AA843" s="282"/>
    </row>
    <row r="844" spans="1:27" s="428" customFormat="1" outlineLevel="2" x14ac:dyDescent="0.25">
      <c r="A844" s="276">
        <f t="shared" si="299"/>
        <v>392</v>
      </c>
      <c r="B844" s="758" t="str">
        <f>$B392</f>
        <v>Grade Level Teacher</v>
      </c>
      <c r="C844" s="560"/>
      <c r="D844" s="429"/>
      <c r="G844" s="1290">
        <f t="shared" si="300"/>
        <v>0</v>
      </c>
      <c r="H844" s="1290">
        <f t="shared" si="300"/>
        <v>0</v>
      </c>
      <c r="I844" s="1290">
        <f t="shared" si="300"/>
        <v>0</v>
      </c>
      <c r="J844" s="1290">
        <f t="shared" si="300"/>
        <v>0</v>
      </c>
      <c r="K844" s="1290">
        <f t="shared" si="300"/>
        <v>0</v>
      </c>
      <c r="L844" s="1290">
        <f t="shared" si="300"/>
        <v>0</v>
      </c>
      <c r="M844" s="1290">
        <f t="shared" si="300"/>
        <v>0</v>
      </c>
      <c r="N844" s="168"/>
      <c r="R844" s="282"/>
      <c r="S844" s="1366">
        <f t="shared" si="283"/>
        <v>0</v>
      </c>
      <c r="T844" s="1366">
        <f t="shared" si="284"/>
        <v>0</v>
      </c>
      <c r="U844" s="1366">
        <f t="shared" si="285"/>
        <v>0</v>
      </c>
      <c r="V844" s="1366">
        <f t="shared" si="286"/>
        <v>0</v>
      </c>
      <c r="W844" s="1366">
        <f t="shared" si="287"/>
        <v>0</v>
      </c>
      <c r="X844" s="1366">
        <f t="shared" si="287"/>
        <v>0</v>
      </c>
      <c r="Y844" s="1365"/>
      <c r="Z844" s="282"/>
      <c r="AA844" s="282"/>
    </row>
    <row r="845" spans="1:27" s="431" customFormat="1" outlineLevel="2" x14ac:dyDescent="0.25">
      <c r="A845" s="276">
        <f t="shared" si="299"/>
        <v>393</v>
      </c>
      <c r="B845" s="758"/>
      <c r="C845" s="561"/>
      <c r="D845" s="428"/>
      <c r="G845" s="1290"/>
      <c r="H845" s="1290"/>
      <c r="I845" s="1290"/>
      <c r="J845" s="1290"/>
      <c r="K845" s="1290"/>
      <c r="L845" s="1290"/>
      <c r="M845" s="1290"/>
      <c r="N845" s="141"/>
      <c r="R845" s="282"/>
      <c r="S845" s="1366">
        <f t="shared" si="283"/>
        <v>0</v>
      </c>
      <c r="T845" s="1366">
        <f t="shared" si="284"/>
        <v>0</v>
      </c>
      <c r="U845" s="1366">
        <f t="shared" si="285"/>
        <v>0</v>
      </c>
      <c r="V845" s="1366">
        <f t="shared" si="286"/>
        <v>0</v>
      </c>
      <c r="W845" s="1366">
        <f t="shared" si="287"/>
        <v>0</v>
      </c>
      <c r="X845" s="1366">
        <f t="shared" si="287"/>
        <v>0</v>
      </c>
      <c r="Y845" s="1365"/>
      <c r="Z845" s="282"/>
      <c r="AA845" s="282"/>
    </row>
    <row r="846" spans="1:27" s="428" customFormat="1" outlineLevel="2" x14ac:dyDescent="0.25">
      <c r="A846" s="276">
        <f t="shared" si="299"/>
        <v>394</v>
      </c>
      <c r="B846" s="758" t="str">
        <f>$B394</f>
        <v>Spanish Teacher</v>
      </c>
      <c r="C846" s="560"/>
      <c r="D846" s="429"/>
      <c r="G846" s="1290">
        <f t="shared" ref="G846:M850" si="301">G394*$C$90</f>
        <v>0</v>
      </c>
      <c r="H846" s="1290">
        <f t="shared" si="301"/>
        <v>0</v>
      </c>
      <c r="I846" s="1290">
        <f t="shared" si="301"/>
        <v>0</v>
      </c>
      <c r="J846" s="1290">
        <f t="shared" si="301"/>
        <v>0</v>
      </c>
      <c r="K846" s="1290">
        <f t="shared" si="301"/>
        <v>0</v>
      </c>
      <c r="L846" s="1290">
        <f t="shared" si="301"/>
        <v>0</v>
      </c>
      <c r="M846" s="1290">
        <f t="shared" si="301"/>
        <v>0</v>
      </c>
      <c r="N846" s="168"/>
      <c r="R846" s="282"/>
      <c r="S846" s="1366">
        <f t="shared" si="283"/>
        <v>0</v>
      </c>
      <c r="T846" s="1366">
        <f t="shared" si="284"/>
        <v>0</v>
      </c>
      <c r="U846" s="1366">
        <f t="shared" si="285"/>
        <v>0</v>
      </c>
      <c r="V846" s="1366">
        <f t="shared" si="286"/>
        <v>0</v>
      </c>
      <c r="W846" s="1366">
        <f t="shared" si="287"/>
        <v>0</v>
      </c>
      <c r="X846" s="1366">
        <f t="shared" si="287"/>
        <v>0</v>
      </c>
      <c r="Y846" s="1365"/>
      <c r="Z846" s="282"/>
      <c r="AA846" s="282"/>
    </row>
    <row r="847" spans="1:27" s="428" customFormat="1" outlineLevel="2" x14ac:dyDescent="0.25">
      <c r="A847" s="276">
        <f t="shared" si="299"/>
        <v>395</v>
      </c>
      <c r="B847" s="758" t="str">
        <f>$B395</f>
        <v>Art Teacher</v>
      </c>
      <c r="C847" s="560"/>
      <c r="D847" s="429"/>
      <c r="G847" s="1290">
        <f t="shared" si="301"/>
        <v>0</v>
      </c>
      <c r="H847" s="1290">
        <f t="shared" si="301"/>
        <v>0</v>
      </c>
      <c r="I847" s="1290">
        <f t="shared" si="301"/>
        <v>0</v>
      </c>
      <c r="J847" s="1290">
        <f t="shared" si="301"/>
        <v>0</v>
      </c>
      <c r="K847" s="1290">
        <f t="shared" si="301"/>
        <v>0</v>
      </c>
      <c r="L847" s="1290">
        <f t="shared" si="301"/>
        <v>0</v>
      </c>
      <c r="M847" s="1290">
        <f t="shared" si="301"/>
        <v>0</v>
      </c>
      <c r="N847" s="168"/>
      <c r="R847" s="282"/>
      <c r="S847" s="1366">
        <f t="shared" ref="S847:S869" si="302">IFERROR(H847/H395,0)</f>
        <v>0</v>
      </c>
      <c r="T847" s="1366">
        <f t="shared" ref="T847:T869" si="303">IFERROR(I847/I395,0)</f>
        <v>0</v>
      </c>
      <c r="U847" s="1366">
        <f t="shared" ref="U847:U869" si="304">IFERROR(J847/J395,0)</f>
        <v>0</v>
      </c>
      <c r="V847" s="1366">
        <f t="shared" ref="V847:V869" si="305">IFERROR(K847/K395,0)</f>
        <v>0</v>
      </c>
      <c r="W847" s="1366">
        <f t="shared" ref="W847:X869" si="306">IFERROR(L847/L395,0)</f>
        <v>0</v>
      </c>
      <c r="X847" s="1366">
        <f t="shared" si="306"/>
        <v>0</v>
      </c>
      <c r="Y847" s="1365"/>
      <c r="Z847" s="282"/>
      <c r="AA847" s="282"/>
    </row>
    <row r="848" spans="1:27" s="428" customFormat="1" outlineLevel="2" x14ac:dyDescent="0.25">
      <c r="A848" s="276">
        <f t="shared" si="299"/>
        <v>396</v>
      </c>
      <c r="B848" s="758" t="str">
        <f>$B396</f>
        <v>Grade Level Teacher</v>
      </c>
      <c r="C848" s="560"/>
      <c r="D848" s="429"/>
      <c r="G848" s="1290">
        <f t="shared" si="301"/>
        <v>0</v>
      </c>
      <c r="H848" s="1290">
        <f t="shared" si="301"/>
        <v>0</v>
      </c>
      <c r="I848" s="1290">
        <f t="shared" si="301"/>
        <v>0</v>
      </c>
      <c r="J848" s="1290">
        <f t="shared" si="301"/>
        <v>0</v>
      </c>
      <c r="K848" s="1290">
        <f t="shared" si="301"/>
        <v>0</v>
      </c>
      <c r="L848" s="1290">
        <f t="shared" si="301"/>
        <v>0</v>
      </c>
      <c r="M848" s="1290">
        <f t="shared" si="301"/>
        <v>0</v>
      </c>
      <c r="N848" s="168"/>
      <c r="R848" s="282"/>
      <c r="S848" s="1366">
        <f t="shared" si="302"/>
        <v>0</v>
      </c>
      <c r="T848" s="1366">
        <f t="shared" si="303"/>
        <v>0</v>
      </c>
      <c r="U848" s="1366">
        <f t="shared" si="304"/>
        <v>0</v>
      </c>
      <c r="V848" s="1366">
        <f t="shared" si="305"/>
        <v>0</v>
      </c>
      <c r="W848" s="1366">
        <f t="shared" si="306"/>
        <v>0</v>
      </c>
      <c r="X848" s="1366">
        <f t="shared" si="306"/>
        <v>0</v>
      </c>
      <c r="Y848" s="1365"/>
      <c r="Z848" s="282"/>
      <c r="AA848" s="282"/>
    </row>
    <row r="849" spans="1:27" s="428" customFormat="1" outlineLevel="2" x14ac:dyDescent="0.25">
      <c r="A849" s="276">
        <f t="shared" si="299"/>
        <v>397</v>
      </c>
      <c r="B849" s="758" t="str">
        <f>$B397</f>
        <v>Grade Level Teacher</v>
      </c>
      <c r="C849" s="560"/>
      <c r="D849" s="429"/>
      <c r="G849" s="1290">
        <f t="shared" si="301"/>
        <v>0</v>
      </c>
      <c r="H849" s="1290">
        <f t="shared" si="301"/>
        <v>0</v>
      </c>
      <c r="I849" s="1290">
        <f t="shared" si="301"/>
        <v>0</v>
      </c>
      <c r="J849" s="1290">
        <f t="shared" si="301"/>
        <v>0</v>
      </c>
      <c r="K849" s="1290">
        <f t="shared" si="301"/>
        <v>0</v>
      </c>
      <c r="L849" s="1290">
        <f t="shared" si="301"/>
        <v>0</v>
      </c>
      <c r="M849" s="1290">
        <f t="shared" si="301"/>
        <v>0</v>
      </c>
      <c r="N849" s="168"/>
      <c r="R849" s="282"/>
      <c r="S849" s="1366">
        <f t="shared" si="302"/>
        <v>0</v>
      </c>
      <c r="T849" s="1366">
        <f t="shared" si="303"/>
        <v>0</v>
      </c>
      <c r="U849" s="1366">
        <f t="shared" si="304"/>
        <v>0</v>
      </c>
      <c r="V849" s="1366">
        <f t="shared" si="305"/>
        <v>0</v>
      </c>
      <c r="W849" s="1366">
        <f t="shared" si="306"/>
        <v>0</v>
      </c>
      <c r="X849" s="1366">
        <f t="shared" si="306"/>
        <v>0</v>
      </c>
      <c r="Y849" s="1365"/>
      <c r="Z849" s="282"/>
      <c r="AA849" s="282"/>
    </row>
    <row r="850" spans="1:27" s="428" customFormat="1" outlineLevel="2" x14ac:dyDescent="0.25">
      <c r="A850" s="276">
        <f t="shared" si="299"/>
        <v>398</v>
      </c>
      <c r="B850" s="758" t="str">
        <f>$B398</f>
        <v>Grade Level Teacher</v>
      </c>
      <c r="C850" s="560"/>
      <c r="D850" s="429"/>
      <c r="G850" s="1290">
        <f t="shared" si="301"/>
        <v>0</v>
      </c>
      <c r="H850" s="1290">
        <f t="shared" si="301"/>
        <v>0</v>
      </c>
      <c r="I850" s="1290">
        <f t="shared" si="301"/>
        <v>0</v>
      </c>
      <c r="J850" s="1290">
        <f t="shared" si="301"/>
        <v>0</v>
      </c>
      <c r="K850" s="1290">
        <f t="shared" si="301"/>
        <v>0</v>
      </c>
      <c r="L850" s="1290">
        <f t="shared" si="301"/>
        <v>0</v>
      </c>
      <c r="M850" s="1290">
        <f t="shared" si="301"/>
        <v>0</v>
      </c>
      <c r="N850" s="168"/>
      <c r="R850" s="282"/>
      <c r="S850" s="1366">
        <f t="shared" si="302"/>
        <v>0</v>
      </c>
      <c r="T850" s="1366">
        <f t="shared" si="303"/>
        <v>0</v>
      </c>
      <c r="U850" s="1366">
        <f t="shared" si="304"/>
        <v>0</v>
      </c>
      <c r="V850" s="1366">
        <f t="shared" si="305"/>
        <v>0</v>
      </c>
      <c r="W850" s="1366">
        <f t="shared" si="306"/>
        <v>0</v>
      </c>
      <c r="X850" s="1366">
        <f t="shared" si="306"/>
        <v>0</v>
      </c>
      <c r="Y850" s="1365"/>
      <c r="Z850" s="282"/>
      <c r="AA850" s="282"/>
    </row>
    <row r="851" spans="1:27" s="431" customFormat="1" outlineLevel="2" x14ac:dyDescent="0.25">
      <c r="A851" s="276">
        <f t="shared" si="299"/>
        <v>399</v>
      </c>
      <c r="B851" s="758"/>
      <c r="C851" s="561"/>
      <c r="D851" s="428"/>
      <c r="G851" s="1290"/>
      <c r="H851" s="1290"/>
      <c r="I851" s="1290"/>
      <c r="J851" s="1290"/>
      <c r="K851" s="1290"/>
      <c r="L851" s="1290"/>
      <c r="M851" s="1290"/>
      <c r="N851" s="141"/>
      <c r="R851" s="282"/>
      <c r="S851" s="1366">
        <f t="shared" si="302"/>
        <v>0</v>
      </c>
      <c r="T851" s="1366">
        <f t="shared" si="303"/>
        <v>0</v>
      </c>
      <c r="U851" s="1366">
        <f t="shared" si="304"/>
        <v>0</v>
      </c>
      <c r="V851" s="1366">
        <f t="shared" si="305"/>
        <v>0</v>
      </c>
      <c r="W851" s="1366">
        <f t="shared" si="306"/>
        <v>0</v>
      </c>
      <c r="X851" s="1366">
        <f t="shared" si="306"/>
        <v>0</v>
      </c>
      <c r="Y851" s="1365"/>
      <c r="Z851" s="282"/>
      <c r="AA851" s="282"/>
    </row>
    <row r="852" spans="1:27" s="428" customFormat="1" outlineLevel="2" x14ac:dyDescent="0.25">
      <c r="A852" s="276">
        <f t="shared" si="299"/>
        <v>400</v>
      </c>
      <c r="B852" s="758" t="str">
        <f>$B400</f>
        <v>Grade Level Teacher</v>
      </c>
      <c r="C852" s="560"/>
      <c r="D852" s="429"/>
      <c r="G852" s="1290">
        <f t="shared" ref="G852:M856" si="307">G400*$C$90</f>
        <v>0</v>
      </c>
      <c r="H852" s="1290">
        <f t="shared" si="307"/>
        <v>0</v>
      </c>
      <c r="I852" s="1290">
        <f t="shared" si="307"/>
        <v>0</v>
      </c>
      <c r="J852" s="1290">
        <f t="shared" si="307"/>
        <v>0</v>
      </c>
      <c r="K852" s="1290">
        <f t="shared" si="307"/>
        <v>0</v>
      </c>
      <c r="L852" s="1290">
        <f t="shared" si="307"/>
        <v>0</v>
      </c>
      <c r="M852" s="1290">
        <f t="shared" si="307"/>
        <v>0</v>
      </c>
      <c r="N852" s="168"/>
      <c r="R852" s="282"/>
      <c r="S852" s="1366">
        <f t="shared" si="302"/>
        <v>0</v>
      </c>
      <c r="T852" s="1366">
        <f t="shared" si="303"/>
        <v>0</v>
      </c>
      <c r="U852" s="1366">
        <f t="shared" si="304"/>
        <v>0</v>
      </c>
      <c r="V852" s="1366">
        <f t="shared" si="305"/>
        <v>0</v>
      </c>
      <c r="W852" s="1366">
        <f t="shared" si="306"/>
        <v>0</v>
      </c>
      <c r="X852" s="1366">
        <f t="shared" si="306"/>
        <v>0</v>
      </c>
      <c r="Y852" s="1365"/>
      <c r="Z852" s="282"/>
      <c r="AA852" s="282"/>
    </row>
    <row r="853" spans="1:27" s="428" customFormat="1" outlineLevel="2" x14ac:dyDescent="0.25">
      <c r="A853" s="276">
        <f t="shared" si="299"/>
        <v>401</v>
      </c>
      <c r="B853" s="758" t="str">
        <f>$B401</f>
        <v>Grade Level Teacher</v>
      </c>
      <c r="C853" s="560"/>
      <c r="D853" s="429"/>
      <c r="G853" s="1290">
        <f t="shared" si="307"/>
        <v>0</v>
      </c>
      <c r="H853" s="1290">
        <f t="shared" si="307"/>
        <v>0</v>
      </c>
      <c r="I853" s="1290">
        <f t="shared" si="307"/>
        <v>0</v>
      </c>
      <c r="J853" s="1290">
        <f t="shared" si="307"/>
        <v>0</v>
      </c>
      <c r="K853" s="1290">
        <f t="shared" si="307"/>
        <v>0</v>
      </c>
      <c r="L853" s="1290">
        <f t="shared" si="307"/>
        <v>0</v>
      </c>
      <c r="M853" s="1290">
        <f t="shared" si="307"/>
        <v>0</v>
      </c>
      <c r="N853" s="168"/>
      <c r="R853" s="282"/>
      <c r="S853" s="1366">
        <f t="shared" si="302"/>
        <v>0</v>
      </c>
      <c r="T853" s="1366">
        <f t="shared" si="303"/>
        <v>0</v>
      </c>
      <c r="U853" s="1366">
        <f t="shared" si="304"/>
        <v>0</v>
      </c>
      <c r="V853" s="1366">
        <f t="shared" si="305"/>
        <v>0</v>
      </c>
      <c r="W853" s="1366">
        <f t="shared" si="306"/>
        <v>0</v>
      </c>
      <c r="X853" s="1366">
        <f t="shared" si="306"/>
        <v>0</v>
      </c>
      <c r="Y853" s="1365"/>
      <c r="Z853" s="282"/>
      <c r="AA853" s="282"/>
    </row>
    <row r="854" spans="1:27" s="428" customFormat="1" outlineLevel="2" x14ac:dyDescent="0.25">
      <c r="A854" s="276">
        <f t="shared" si="299"/>
        <v>402</v>
      </c>
      <c r="B854" s="758" t="str">
        <f>$B402</f>
        <v>Grade Level Teacher</v>
      </c>
      <c r="C854" s="560"/>
      <c r="D854" s="429"/>
      <c r="G854" s="1290">
        <f t="shared" si="307"/>
        <v>0</v>
      </c>
      <c r="H854" s="1290">
        <f t="shared" si="307"/>
        <v>0</v>
      </c>
      <c r="I854" s="1290">
        <f t="shared" si="307"/>
        <v>0</v>
      </c>
      <c r="J854" s="1290">
        <f t="shared" si="307"/>
        <v>0</v>
      </c>
      <c r="K854" s="1290">
        <f t="shared" si="307"/>
        <v>0</v>
      </c>
      <c r="L854" s="1290">
        <f t="shared" si="307"/>
        <v>0</v>
      </c>
      <c r="M854" s="1290">
        <f t="shared" si="307"/>
        <v>0</v>
      </c>
      <c r="N854" s="168"/>
      <c r="R854" s="282"/>
      <c r="S854" s="1366">
        <f t="shared" si="302"/>
        <v>0</v>
      </c>
      <c r="T854" s="1366">
        <f t="shared" si="303"/>
        <v>0</v>
      </c>
      <c r="U854" s="1366">
        <f t="shared" si="304"/>
        <v>0</v>
      </c>
      <c r="V854" s="1366">
        <f t="shared" si="305"/>
        <v>0</v>
      </c>
      <c r="W854" s="1366">
        <f t="shared" si="306"/>
        <v>0</v>
      </c>
      <c r="X854" s="1366">
        <f t="shared" si="306"/>
        <v>0</v>
      </c>
      <c r="Y854" s="1365"/>
      <c r="Z854" s="282"/>
      <c r="AA854" s="282"/>
    </row>
    <row r="855" spans="1:27" s="428" customFormat="1" outlineLevel="2" x14ac:dyDescent="0.25">
      <c r="A855" s="276">
        <f t="shared" si="299"/>
        <v>403</v>
      </c>
      <c r="B855" s="758" t="str">
        <f>$B403</f>
        <v>Grade Level Teacher</v>
      </c>
      <c r="C855" s="560"/>
      <c r="D855" s="429"/>
      <c r="G855" s="1290">
        <f t="shared" si="307"/>
        <v>0</v>
      </c>
      <c r="H855" s="1290">
        <f t="shared" si="307"/>
        <v>0</v>
      </c>
      <c r="I855" s="1290">
        <f t="shared" si="307"/>
        <v>0</v>
      </c>
      <c r="J855" s="1290">
        <f t="shared" si="307"/>
        <v>0</v>
      </c>
      <c r="K855" s="1290">
        <f t="shared" si="307"/>
        <v>0</v>
      </c>
      <c r="L855" s="1290">
        <f t="shared" si="307"/>
        <v>0</v>
      </c>
      <c r="M855" s="1290">
        <f t="shared" si="307"/>
        <v>0</v>
      </c>
      <c r="N855" s="168"/>
      <c r="R855" s="282"/>
      <c r="S855" s="1366">
        <f t="shared" si="302"/>
        <v>0</v>
      </c>
      <c r="T855" s="1366">
        <f t="shared" si="303"/>
        <v>0</v>
      </c>
      <c r="U855" s="1366">
        <f t="shared" si="304"/>
        <v>0</v>
      </c>
      <c r="V855" s="1366">
        <f t="shared" si="305"/>
        <v>0</v>
      </c>
      <c r="W855" s="1366">
        <f t="shared" si="306"/>
        <v>0</v>
      </c>
      <c r="X855" s="1366">
        <f t="shared" si="306"/>
        <v>0</v>
      </c>
      <c r="Y855" s="1365"/>
      <c r="Z855" s="282"/>
      <c r="AA855" s="282"/>
    </row>
    <row r="856" spans="1:27" s="428" customFormat="1" outlineLevel="2" x14ac:dyDescent="0.25">
      <c r="A856" s="276">
        <f t="shared" si="299"/>
        <v>404</v>
      </c>
      <c r="B856" s="758" t="str">
        <f>$B404</f>
        <v>Grade Level Teacher</v>
      </c>
      <c r="C856" s="560"/>
      <c r="D856" s="429"/>
      <c r="G856" s="1290">
        <f t="shared" si="307"/>
        <v>0</v>
      </c>
      <c r="H856" s="1290">
        <f t="shared" si="307"/>
        <v>0</v>
      </c>
      <c r="I856" s="1290">
        <f t="shared" si="307"/>
        <v>0</v>
      </c>
      <c r="J856" s="1290">
        <f t="shared" si="307"/>
        <v>0</v>
      </c>
      <c r="K856" s="1290">
        <f t="shared" si="307"/>
        <v>0</v>
      </c>
      <c r="L856" s="1290">
        <f t="shared" si="307"/>
        <v>0</v>
      </c>
      <c r="M856" s="1290">
        <f t="shared" si="307"/>
        <v>0</v>
      </c>
      <c r="N856" s="168"/>
      <c r="R856" s="282"/>
      <c r="S856" s="1366">
        <f t="shared" si="302"/>
        <v>0</v>
      </c>
      <c r="T856" s="1366">
        <f t="shared" si="303"/>
        <v>0</v>
      </c>
      <c r="U856" s="1366">
        <f t="shared" si="304"/>
        <v>0</v>
      </c>
      <c r="V856" s="1366">
        <f t="shared" si="305"/>
        <v>0</v>
      </c>
      <c r="W856" s="1366">
        <f t="shared" si="306"/>
        <v>0</v>
      </c>
      <c r="X856" s="1366">
        <f t="shared" si="306"/>
        <v>0</v>
      </c>
      <c r="Y856" s="1365"/>
      <c r="Z856" s="282"/>
      <c r="AA856" s="282"/>
    </row>
    <row r="857" spans="1:27" s="428" customFormat="1" outlineLevel="2" x14ac:dyDescent="0.25">
      <c r="A857" s="276">
        <f t="shared" si="299"/>
        <v>405</v>
      </c>
      <c r="B857" s="758"/>
      <c r="C857" s="560"/>
      <c r="D857" s="429"/>
      <c r="G857" s="1290"/>
      <c r="H857" s="1290"/>
      <c r="I857" s="1290"/>
      <c r="J857" s="1290"/>
      <c r="K857" s="1290"/>
      <c r="L857" s="1290"/>
      <c r="M857" s="1290"/>
      <c r="N857" s="168"/>
      <c r="R857" s="282"/>
      <c r="S857" s="1366">
        <f t="shared" si="302"/>
        <v>0</v>
      </c>
      <c r="T857" s="1366">
        <f t="shared" si="303"/>
        <v>0</v>
      </c>
      <c r="U857" s="1366">
        <f t="shared" si="304"/>
        <v>0</v>
      </c>
      <c r="V857" s="1366">
        <f t="shared" si="305"/>
        <v>0</v>
      </c>
      <c r="W857" s="1366">
        <f t="shared" si="306"/>
        <v>0</v>
      </c>
      <c r="X857" s="1366">
        <f t="shared" si="306"/>
        <v>0</v>
      </c>
      <c r="Y857" s="1365"/>
      <c r="Z857" s="282"/>
      <c r="AA857" s="282"/>
    </row>
    <row r="858" spans="1:27" s="428" customFormat="1" outlineLevel="2" x14ac:dyDescent="0.25">
      <c r="A858" s="276">
        <f t="shared" si="299"/>
        <v>406</v>
      </c>
      <c r="B858" s="758" t="str">
        <f>$B406</f>
        <v>Grade Level Teacher</v>
      </c>
      <c r="C858" s="560"/>
      <c r="D858" s="429"/>
      <c r="G858" s="1290">
        <f t="shared" ref="G858:M862" si="308">G406*$C$90</f>
        <v>0</v>
      </c>
      <c r="H858" s="1290">
        <f t="shared" si="308"/>
        <v>0</v>
      </c>
      <c r="I858" s="1290">
        <f t="shared" si="308"/>
        <v>0</v>
      </c>
      <c r="J858" s="1290">
        <f t="shared" si="308"/>
        <v>0</v>
      </c>
      <c r="K858" s="1290">
        <f t="shared" si="308"/>
        <v>0</v>
      </c>
      <c r="L858" s="1290">
        <f t="shared" si="308"/>
        <v>0</v>
      </c>
      <c r="M858" s="1290">
        <f t="shared" si="308"/>
        <v>0</v>
      </c>
      <c r="N858" s="168"/>
      <c r="R858" s="282"/>
      <c r="S858" s="1366">
        <f t="shared" si="302"/>
        <v>0</v>
      </c>
      <c r="T858" s="1366">
        <f t="shared" si="303"/>
        <v>0</v>
      </c>
      <c r="U858" s="1366">
        <f t="shared" si="304"/>
        <v>0</v>
      </c>
      <c r="V858" s="1366">
        <f t="shared" si="305"/>
        <v>0</v>
      </c>
      <c r="W858" s="1366">
        <f t="shared" si="306"/>
        <v>0</v>
      </c>
      <c r="X858" s="1366">
        <f t="shared" si="306"/>
        <v>0</v>
      </c>
      <c r="Y858" s="1365"/>
      <c r="Z858" s="282"/>
      <c r="AA858" s="282"/>
    </row>
    <row r="859" spans="1:27" s="428" customFormat="1" outlineLevel="2" x14ac:dyDescent="0.25">
      <c r="A859" s="276">
        <f t="shared" si="299"/>
        <v>407</v>
      </c>
      <c r="B859" s="758" t="str">
        <f>$B407</f>
        <v>Grade Level Teacher</v>
      </c>
      <c r="C859" s="560"/>
      <c r="D859" s="429"/>
      <c r="G859" s="1290">
        <f t="shared" si="308"/>
        <v>0</v>
      </c>
      <c r="H859" s="1290">
        <f t="shared" si="308"/>
        <v>0</v>
      </c>
      <c r="I859" s="1290">
        <f t="shared" si="308"/>
        <v>0</v>
      </c>
      <c r="J859" s="1290">
        <f t="shared" si="308"/>
        <v>0</v>
      </c>
      <c r="K859" s="1290">
        <f t="shared" si="308"/>
        <v>0</v>
      </c>
      <c r="L859" s="1290">
        <f t="shared" si="308"/>
        <v>0</v>
      </c>
      <c r="M859" s="1290">
        <f t="shared" si="308"/>
        <v>0</v>
      </c>
      <c r="N859" s="168"/>
      <c r="R859" s="282"/>
      <c r="S859" s="1366">
        <f t="shared" si="302"/>
        <v>0</v>
      </c>
      <c r="T859" s="1366">
        <f t="shared" si="303"/>
        <v>0</v>
      </c>
      <c r="U859" s="1366">
        <f t="shared" si="304"/>
        <v>0</v>
      </c>
      <c r="V859" s="1366">
        <f t="shared" si="305"/>
        <v>0</v>
      </c>
      <c r="W859" s="1366">
        <f t="shared" si="306"/>
        <v>0</v>
      </c>
      <c r="X859" s="1366">
        <f t="shared" si="306"/>
        <v>0</v>
      </c>
      <c r="Y859" s="1365"/>
      <c r="Z859" s="282"/>
      <c r="AA859" s="282"/>
    </row>
    <row r="860" spans="1:27" s="428" customFormat="1" outlineLevel="2" x14ac:dyDescent="0.25">
      <c r="A860" s="276">
        <f t="shared" si="299"/>
        <v>408</v>
      </c>
      <c r="B860" s="758" t="str">
        <f>$B408</f>
        <v>Grade Level Teacher</v>
      </c>
      <c r="C860" s="560"/>
      <c r="D860" s="429"/>
      <c r="G860" s="1290">
        <f t="shared" si="308"/>
        <v>0</v>
      </c>
      <c r="H860" s="1290">
        <f t="shared" si="308"/>
        <v>0</v>
      </c>
      <c r="I860" s="1290">
        <f t="shared" si="308"/>
        <v>0</v>
      </c>
      <c r="J860" s="1290">
        <f t="shared" si="308"/>
        <v>0</v>
      </c>
      <c r="K860" s="1290">
        <f t="shared" si="308"/>
        <v>0</v>
      </c>
      <c r="L860" s="1290">
        <f t="shared" si="308"/>
        <v>0</v>
      </c>
      <c r="M860" s="1290">
        <f t="shared" si="308"/>
        <v>0</v>
      </c>
      <c r="N860" s="168"/>
      <c r="R860" s="282"/>
      <c r="S860" s="1366">
        <f t="shared" si="302"/>
        <v>0</v>
      </c>
      <c r="T860" s="1366">
        <f t="shared" si="303"/>
        <v>0</v>
      </c>
      <c r="U860" s="1366">
        <f t="shared" si="304"/>
        <v>0</v>
      </c>
      <c r="V860" s="1366">
        <f t="shared" si="305"/>
        <v>0</v>
      </c>
      <c r="W860" s="1366">
        <f t="shared" si="306"/>
        <v>0</v>
      </c>
      <c r="X860" s="1366">
        <f t="shared" si="306"/>
        <v>0</v>
      </c>
      <c r="Y860" s="1365"/>
      <c r="Z860" s="282"/>
      <c r="AA860" s="282"/>
    </row>
    <row r="861" spans="1:27" s="428" customFormat="1" outlineLevel="2" x14ac:dyDescent="0.25">
      <c r="A861" s="276">
        <f t="shared" si="299"/>
        <v>409</v>
      </c>
      <c r="B861" s="758" t="str">
        <f>$B409</f>
        <v>Grade Level Teacher</v>
      </c>
      <c r="C861" s="560"/>
      <c r="D861" s="429"/>
      <c r="G861" s="1290">
        <f t="shared" si="308"/>
        <v>0</v>
      </c>
      <c r="H861" s="1290">
        <f t="shared" si="308"/>
        <v>0</v>
      </c>
      <c r="I861" s="1290">
        <f t="shared" si="308"/>
        <v>0</v>
      </c>
      <c r="J861" s="1290">
        <f t="shared" si="308"/>
        <v>0</v>
      </c>
      <c r="K861" s="1290">
        <f t="shared" si="308"/>
        <v>0</v>
      </c>
      <c r="L861" s="1290">
        <f t="shared" si="308"/>
        <v>0</v>
      </c>
      <c r="M861" s="1290">
        <f t="shared" si="308"/>
        <v>0</v>
      </c>
      <c r="N861" s="168"/>
      <c r="R861" s="282"/>
      <c r="S861" s="1366">
        <f t="shared" si="302"/>
        <v>0</v>
      </c>
      <c r="T861" s="1366">
        <f t="shared" si="303"/>
        <v>0</v>
      </c>
      <c r="U861" s="1366">
        <f t="shared" si="304"/>
        <v>0</v>
      </c>
      <c r="V861" s="1366">
        <f t="shared" si="305"/>
        <v>0</v>
      </c>
      <c r="W861" s="1366">
        <f t="shared" si="306"/>
        <v>0</v>
      </c>
      <c r="X861" s="1366">
        <f t="shared" si="306"/>
        <v>0</v>
      </c>
      <c r="Y861" s="1365"/>
      <c r="Z861" s="282"/>
      <c r="AA861" s="282"/>
    </row>
    <row r="862" spans="1:27" s="428" customFormat="1" outlineLevel="2" x14ac:dyDescent="0.25">
      <c r="A862" s="276">
        <f t="shared" si="299"/>
        <v>410</v>
      </c>
      <c r="B862" s="758" t="str">
        <f>$B410</f>
        <v>Grade Level Teacher</v>
      </c>
      <c r="C862" s="560"/>
      <c r="D862" s="429"/>
      <c r="G862" s="1290">
        <f t="shared" si="308"/>
        <v>0</v>
      </c>
      <c r="H862" s="1290">
        <f t="shared" si="308"/>
        <v>0</v>
      </c>
      <c r="I862" s="1290">
        <f t="shared" si="308"/>
        <v>0</v>
      </c>
      <c r="J862" s="1290">
        <f t="shared" si="308"/>
        <v>0</v>
      </c>
      <c r="K862" s="1290">
        <f t="shared" si="308"/>
        <v>0</v>
      </c>
      <c r="L862" s="1290">
        <f t="shared" si="308"/>
        <v>0</v>
      </c>
      <c r="M862" s="1290">
        <f t="shared" si="308"/>
        <v>0</v>
      </c>
      <c r="N862" s="168"/>
      <c r="R862" s="282"/>
      <c r="S862" s="1366">
        <f t="shared" si="302"/>
        <v>0</v>
      </c>
      <c r="T862" s="1366">
        <f t="shared" si="303"/>
        <v>0</v>
      </c>
      <c r="U862" s="1366">
        <f t="shared" si="304"/>
        <v>0</v>
      </c>
      <c r="V862" s="1366">
        <f t="shared" si="305"/>
        <v>0</v>
      </c>
      <c r="W862" s="1366">
        <f t="shared" si="306"/>
        <v>0</v>
      </c>
      <c r="X862" s="1366">
        <f t="shared" si="306"/>
        <v>0</v>
      </c>
      <c r="Y862" s="1365"/>
      <c r="Z862" s="282"/>
      <c r="AA862" s="282"/>
    </row>
    <row r="863" spans="1:27" s="428" customFormat="1" outlineLevel="2" x14ac:dyDescent="0.25">
      <c r="A863" s="276">
        <f t="shared" si="299"/>
        <v>411</v>
      </c>
      <c r="B863" s="758"/>
      <c r="C863" s="560"/>
      <c r="D863" s="429"/>
      <c r="G863" s="1290"/>
      <c r="H863" s="1290"/>
      <c r="I863" s="1290"/>
      <c r="J863" s="1290"/>
      <c r="K863" s="1290"/>
      <c r="L863" s="1290"/>
      <c r="M863" s="1290"/>
      <c r="N863" s="168"/>
      <c r="R863" s="282"/>
      <c r="S863" s="1366">
        <f t="shared" si="302"/>
        <v>0</v>
      </c>
      <c r="T863" s="1366">
        <f t="shared" si="303"/>
        <v>0</v>
      </c>
      <c r="U863" s="1366">
        <f t="shared" si="304"/>
        <v>0</v>
      </c>
      <c r="V863" s="1366">
        <f t="shared" si="305"/>
        <v>0</v>
      </c>
      <c r="W863" s="1366">
        <f t="shared" si="306"/>
        <v>0</v>
      </c>
      <c r="X863" s="1366">
        <f t="shared" si="306"/>
        <v>0</v>
      </c>
      <c r="Y863" s="1365"/>
      <c r="Z863" s="282"/>
      <c r="AA863" s="282"/>
    </row>
    <row r="864" spans="1:27" s="428" customFormat="1" outlineLevel="2" x14ac:dyDescent="0.25">
      <c r="A864" s="276">
        <f t="shared" si="299"/>
        <v>412</v>
      </c>
      <c r="B864" s="758" t="str">
        <f>$B412</f>
        <v>Grade Level Teacher</v>
      </c>
      <c r="C864" s="560"/>
      <c r="D864" s="429"/>
      <c r="G864" s="1290">
        <f t="shared" ref="G864:M865" si="309">G412*$C$90</f>
        <v>0</v>
      </c>
      <c r="H864" s="1290">
        <f t="shared" si="309"/>
        <v>0</v>
      </c>
      <c r="I864" s="1290">
        <f t="shared" si="309"/>
        <v>0</v>
      </c>
      <c r="J864" s="1290">
        <f t="shared" si="309"/>
        <v>0</v>
      </c>
      <c r="K864" s="1290">
        <f t="shared" si="309"/>
        <v>0</v>
      </c>
      <c r="L864" s="1290">
        <f t="shared" si="309"/>
        <v>0</v>
      </c>
      <c r="M864" s="1290">
        <f t="shared" si="309"/>
        <v>0</v>
      </c>
      <c r="N864" s="168"/>
      <c r="R864" s="282"/>
      <c r="S864" s="1366">
        <f t="shared" si="302"/>
        <v>0</v>
      </c>
      <c r="T864" s="1366">
        <f t="shared" si="303"/>
        <v>0</v>
      </c>
      <c r="U864" s="1366">
        <f t="shared" si="304"/>
        <v>0</v>
      </c>
      <c r="V864" s="1366">
        <f t="shared" si="305"/>
        <v>0</v>
      </c>
      <c r="W864" s="1366">
        <f t="shared" si="306"/>
        <v>0</v>
      </c>
      <c r="X864" s="1366">
        <f t="shared" si="306"/>
        <v>0</v>
      </c>
      <c r="Y864" s="1365"/>
      <c r="Z864" s="282"/>
      <c r="AA864" s="282"/>
    </row>
    <row r="865" spans="1:27" s="428" customFormat="1" outlineLevel="2" x14ac:dyDescent="0.25">
      <c r="A865" s="276">
        <f t="shared" si="299"/>
        <v>413</v>
      </c>
      <c r="B865" s="758" t="str">
        <f>$B413</f>
        <v>Grade Level Teacher</v>
      </c>
      <c r="C865" s="560"/>
      <c r="D865" s="429"/>
      <c r="G865" s="1290">
        <f t="shared" si="309"/>
        <v>0</v>
      </c>
      <c r="H865" s="1290">
        <f t="shared" si="309"/>
        <v>0</v>
      </c>
      <c r="I865" s="1290">
        <f t="shared" si="309"/>
        <v>0</v>
      </c>
      <c r="J865" s="1290">
        <f t="shared" si="309"/>
        <v>0</v>
      </c>
      <c r="K865" s="1290">
        <f t="shared" si="309"/>
        <v>0</v>
      </c>
      <c r="L865" s="1290">
        <f t="shared" si="309"/>
        <v>0</v>
      </c>
      <c r="M865" s="1290">
        <f t="shared" si="309"/>
        <v>0</v>
      </c>
      <c r="N865" s="168"/>
      <c r="R865" s="282"/>
      <c r="S865" s="1366">
        <f t="shared" si="302"/>
        <v>0</v>
      </c>
      <c r="T865" s="1366">
        <f t="shared" si="303"/>
        <v>0</v>
      </c>
      <c r="U865" s="1366">
        <f t="shared" si="304"/>
        <v>0</v>
      </c>
      <c r="V865" s="1366">
        <f t="shared" si="305"/>
        <v>0</v>
      </c>
      <c r="W865" s="1366">
        <f t="shared" si="306"/>
        <v>0</v>
      </c>
      <c r="X865" s="1366">
        <f t="shared" si="306"/>
        <v>0</v>
      </c>
      <c r="Y865" s="1365"/>
      <c r="Z865" s="282"/>
      <c r="AA865" s="282"/>
    </row>
    <row r="866" spans="1:27" s="428" customFormat="1" outlineLevel="2" x14ac:dyDescent="0.25">
      <c r="A866" s="276">
        <f t="shared" si="299"/>
        <v>414</v>
      </c>
      <c r="B866" s="758" t="str">
        <f>$B414</f>
        <v>Grade Level Teacher</v>
      </c>
      <c r="C866" s="560"/>
      <c r="D866" s="429"/>
      <c r="G866" s="1290">
        <f>G414*$C$90</f>
        <v>0</v>
      </c>
      <c r="H866" s="1290" t="s">
        <v>947</v>
      </c>
      <c r="I866" s="1290">
        <f t="shared" ref="I866:M868" si="310">I414*$C$90</f>
        <v>0</v>
      </c>
      <c r="J866" s="1290">
        <f t="shared" si="310"/>
        <v>0</v>
      </c>
      <c r="K866" s="1290">
        <f t="shared" si="310"/>
        <v>0</v>
      </c>
      <c r="L866" s="1290">
        <f t="shared" si="310"/>
        <v>0</v>
      </c>
      <c r="M866" s="1290">
        <f t="shared" si="310"/>
        <v>0</v>
      </c>
      <c r="N866" s="168"/>
      <c r="R866" s="282"/>
      <c r="S866" s="1366">
        <f t="shared" si="302"/>
        <v>0</v>
      </c>
      <c r="T866" s="1366">
        <f t="shared" si="303"/>
        <v>0</v>
      </c>
      <c r="U866" s="1366">
        <f t="shared" si="304"/>
        <v>0</v>
      </c>
      <c r="V866" s="1366">
        <f t="shared" si="305"/>
        <v>0</v>
      </c>
      <c r="W866" s="1366">
        <f t="shared" si="306"/>
        <v>0</v>
      </c>
      <c r="X866" s="1366">
        <f t="shared" si="306"/>
        <v>0</v>
      </c>
      <c r="Y866" s="1365"/>
      <c r="Z866" s="282"/>
      <c r="AA866" s="282"/>
    </row>
    <row r="867" spans="1:27" s="428" customFormat="1" outlineLevel="2" x14ac:dyDescent="0.25">
      <c r="A867" s="276">
        <f t="shared" si="299"/>
        <v>415</v>
      </c>
      <c r="B867" s="758" t="str">
        <f>$B415</f>
        <v>Grade Level Teacher</v>
      </c>
      <c r="C867" s="560"/>
      <c r="D867" s="429"/>
      <c r="G867" s="1290">
        <f>G415*$C$90</f>
        <v>0</v>
      </c>
      <c r="H867" s="1290">
        <f>H415*$C$90</f>
        <v>0</v>
      </c>
      <c r="I867" s="1290">
        <f t="shared" si="310"/>
        <v>0</v>
      </c>
      <c r="J867" s="1290">
        <f t="shared" si="310"/>
        <v>0</v>
      </c>
      <c r="K867" s="1290">
        <f t="shared" si="310"/>
        <v>0</v>
      </c>
      <c r="L867" s="1290">
        <f t="shared" si="310"/>
        <v>0</v>
      </c>
      <c r="M867" s="1290">
        <f t="shared" si="310"/>
        <v>0</v>
      </c>
      <c r="N867" s="168"/>
      <c r="R867" s="282"/>
      <c r="S867" s="1366">
        <f t="shared" si="302"/>
        <v>0</v>
      </c>
      <c r="T867" s="1366">
        <f t="shared" si="303"/>
        <v>0</v>
      </c>
      <c r="U867" s="1366">
        <f t="shared" si="304"/>
        <v>0</v>
      </c>
      <c r="V867" s="1366">
        <f t="shared" si="305"/>
        <v>0</v>
      </c>
      <c r="W867" s="1366">
        <f t="shared" si="306"/>
        <v>0</v>
      </c>
      <c r="X867" s="1366">
        <f t="shared" si="306"/>
        <v>0</v>
      </c>
      <c r="Y867" s="1365"/>
      <c r="Z867" s="282"/>
      <c r="AA867" s="282"/>
    </row>
    <row r="868" spans="1:27" s="428" customFormat="1" outlineLevel="2" x14ac:dyDescent="0.25">
      <c r="A868" s="276">
        <f t="shared" si="299"/>
        <v>416</v>
      </c>
      <c r="B868" s="758" t="str">
        <f>$B416</f>
        <v>Grade Level Teacher</v>
      </c>
      <c r="C868" s="560"/>
      <c r="D868" s="429"/>
      <c r="G868" s="1290">
        <f>G416*$C$90</f>
        <v>0</v>
      </c>
      <c r="H868" s="1290">
        <f>H416*$C$90</f>
        <v>0</v>
      </c>
      <c r="I868" s="1290">
        <f t="shared" si="310"/>
        <v>0</v>
      </c>
      <c r="J868" s="1290">
        <f t="shared" si="310"/>
        <v>0</v>
      </c>
      <c r="K868" s="1290">
        <f t="shared" si="310"/>
        <v>0</v>
      </c>
      <c r="L868" s="1290">
        <f t="shared" si="310"/>
        <v>0</v>
      </c>
      <c r="M868" s="1290">
        <f t="shared" si="310"/>
        <v>0</v>
      </c>
      <c r="N868" s="168"/>
      <c r="R868" s="282"/>
      <c r="S868" s="1366">
        <f t="shared" si="302"/>
        <v>0</v>
      </c>
      <c r="T868" s="1366">
        <f t="shared" si="303"/>
        <v>0</v>
      </c>
      <c r="U868" s="1366">
        <f t="shared" si="304"/>
        <v>0</v>
      </c>
      <c r="V868" s="1366">
        <f t="shared" si="305"/>
        <v>0</v>
      </c>
      <c r="W868" s="1366">
        <f t="shared" si="306"/>
        <v>0</v>
      </c>
      <c r="X868" s="1366">
        <f t="shared" si="306"/>
        <v>0</v>
      </c>
      <c r="Y868" s="1365"/>
      <c r="Z868" s="282"/>
      <c r="AA868" s="282"/>
    </row>
    <row r="869" spans="1:27" s="431" customFormat="1" outlineLevel="2" x14ac:dyDescent="0.25">
      <c r="A869" s="276">
        <f t="shared" si="299"/>
        <v>417</v>
      </c>
      <c r="B869" s="428"/>
      <c r="C869" s="561"/>
      <c r="D869" s="428"/>
      <c r="G869" s="1290"/>
      <c r="H869" s="1290"/>
      <c r="I869" s="1290"/>
      <c r="J869" s="1290"/>
      <c r="K869" s="1290"/>
      <c r="L869" s="1290"/>
      <c r="M869" s="1290"/>
      <c r="N869" s="141"/>
      <c r="R869" s="282"/>
      <c r="S869" s="1366">
        <f t="shared" si="302"/>
        <v>0</v>
      </c>
      <c r="T869" s="1366">
        <f t="shared" si="303"/>
        <v>0</v>
      </c>
      <c r="U869" s="1366">
        <f t="shared" si="304"/>
        <v>0</v>
      </c>
      <c r="V869" s="1366">
        <f t="shared" si="305"/>
        <v>0</v>
      </c>
      <c r="W869" s="1366">
        <f t="shared" si="306"/>
        <v>0</v>
      </c>
      <c r="X869" s="1366">
        <f t="shared" si="306"/>
        <v>0</v>
      </c>
      <c r="Y869" s="1365"/>
      <c r="Z869" s="282"/>
      <c r="AA869" s="282"/>
    </row>
    <row r="870" spans="1:27" s="431" customFormat="1" outlineLevel="1" x14ac:dyDescent="0.25">
      <c r="A870" s="276">
        <f t="shared" si="299"/>
        <v>418</v>
      </c>
      <c r="B870" s="701" t="s">
        <v>169</v>
      </c>
      <c r="C870" s="733"/>
      <c r="D870" s="701"/>
      <c r="E870" s="750"/>
      <c r="F870" s="750"/>
      <c r="G870" s="1291">
        <f t="shared" ref="G870:M870" si="311">SUM(G775:G868)</f>
        <v>0</v>
      </c>
      <c r="H870" s="1291">
        <f t="shared" si="311"/>
        <v>79852.5</v>
      </c>
      <c r="I870" s="1291">
        <f t="shared" si="311"/>
        <v>159308.19449999993</v>
      </c>
      <c r="J870" s="1291">
        <f t="shared" si="311"/>
        <v>204397.13150999998</v>
      </c>
      <c r="K870" s="1291">
        <f t="shared" si="311"/>
        <v>252719.23492529997</v>
      </c>
      <c r="L870" s="1291">
        <f t="shared" si="311"/>
        <v>282374.43144338019</v>
      </c>
      <c r="M870" s="1291">
        <f t="shared" si="311"/>
        <v>313912.10291617707</v>
      </c>
      <c r="N870" s="141"/>
      <c r="R870" s="282"/>
      <c r="S870" s="1350">
        <f>H870/H418</f>
        <v>0.14624999999999999</v>
      </c>
      <c r="T870" s="1350">
        <f t="shared" ref="T870:X870" si="312">I870/I418</f>
        <v>0.14624999999999988</v>
      </c>
      <c r="U870" s="1350">
        <f t="shared" si="312"/>
        <v>0.14625000000000002</v>
      </c>
      <c r="V870" s="1350">
        <f t="shared" si="312"/>
        <v>0.1462500000000001</v>
      </c>
      <c r="W870" s="1350">
        <f t="shared" si="312"/>
        <v>0.14624999999999991</v>
      </c>
      <c r="X870" s="1350">
        <f t="shared" si="312"/>
        <v>0.14625000000000002</v>
      </c>
      <c r="Y870" s="282"/>
      <c r="Z870" s="282"/>
      <c r="AA870" s="282"/>
    </row>
    <row r="871" spans="1:27" s="428" customFormat="1" outlineLevel="1" x14ac:dyDescent="0.25">
      <c r="A871" s="276">
        <f t="shared" ref="A871:A902" si="313">ROW(A419)</f>
        <v>419</v>
      </c>
      <c r="C871" s="560"/>
      <c r="D871" s="429"/>
      <c r="G871" s="168"/>
      <c r="H871" s="1054"/>
      <c r="I871" s="1054"/>
      <c r="J871" s="1054"/>
      <c r="K871" s="1054"/>
      <c r="L871" s="1054"/>
      <c r="M871" s="1054"/>
      <c r="N871" s="168"/>
      <c r="R871" s="282"/>
      <c r="S871" s="427">
        <f>+H870/0.14625</f>
        <v>546000</v>
      </c>
      <c r="T871" s="427">
        <f>+I870/0.14625</f>
        <v>1089286.7999999996</v>
      </c>
      <c r="U871" s="427">
        <f t="shared" ref="U871:X871" si="314">+J870/0.14625</f>
        <v>1397587.2239999999</v>
      </c>
      <c r="V871" s="427">
        <f t="shared" si="314"/>
        <v>1727994.7687199998</v>
      </c>
      <c r="W871" s="427">
        <f t="shared" si="314"/>
        <v>1930765.3432025998</v>
      </c>
      <c r="X871" s="427">
        <f t="shared" si="314"/>
        <v>2146407.5413071937</v>
      </c>
      <c r="Y871" s="282"/>
      <c r="Z871" s="282"/>
      <c r="AA871" s="282"/>
    </row>
    <row r="872" spans="1:27" s="428" customFormat="1" outlineLevel="1" x14ac:dyDescent="0.25">
      <c r="A872" s="276">
        <f t="shared" si="313"/>
        <v>420</v>
      </c>
      <c r="C872" s="560"/>
      <c r="D872" s="429"/>
      <c r="G872" s="168"/>
      <c r="H872" s="1054"/>
      <c r="I872" s="1054"/>
      <c r="J872" s="1054"/>
      <c r="K872" s="1054"/>
      <c r="L872" s="1054"/>
      <c r="M872" s="1054"/>
      <c r="N872" s="168"/>
      <c r="R872" s="282"/>
      <c r="S872" s="427">
        <f>+H418-S871</f>
        <v>0</v>
      </c>
      <c r="T872" s="427">
        <f>+I418-T871</f>
        <v>0</v>
      </c>
      <c r="U872" s="427">
        <f>+J418-U871</f>
        <v>0</v>
      </c>
      <c r="V872" s="427">
        <f t="shared" ref="V872:X872" si="315">+K418-V871</f>
        <v>0</v>
      </c>
      <c r="W872" s="427">
        <f t="shared" si="315"/>
        <v>0</v>
      </c>
      <c r="X872" s="427">
        <f t="shared" si="315"/>
        <v>0</v>
      </c>
      <c r="Y872" s="282"/>
      <c r="Z872" s="282"/>
      <c r="AA872" s="282"/>
    </row>
    <row r="873" spans="1:27" s="428" customFormat="1" outlineLevel="1" x14ac:dyDescent="0.25">
      <c r="A873" s="276">
        <f t="shared" si="313"/>
        <v>421</v>
      </c>
      <c r="B873" s="748" t="s">
        <v>738</v>
      </c>
      <c r="C873" s="749"/>
      <c r="D873" s="748"/>
      <c r="E873" s="703"/>
      <c r="F873" s="703"/>
      <c r="G873" s="1292">
        <f>G870+G772+G736</f>
        <v>0</v>
      </c>
      <c r="H873" s="1292">
        <f>H870+H772+H736+H748</f>
        <v>129946.05</v>
      </c>
      <c r="I873" s="1292">
        <f t="shared" ref="I873:M873" si="316">I870+I772+I736+I748</f>
        <v>237306.78562499993</v>
      </c>
      <c r="J873" s="1292">
        <f t="shared" si="316"/>
        <v>317867.82607124996</v>
      </c>
      <c r="K873" s="1292">
        <f t="shared" si="316"/>
        <v>409412.63974893739</v>
      </c>
      <c r="L873" s="1292">
        <f t="shared" si="316"/>
        <v>459700.82057826209</v>
      </c>
      <c r="M873" s="1292">
        <f t="shared" si="316"/>
        <v>503759.65804734227</v>
      </c>
      <c r="N873" s="168"/>
      <c r="R873" s="282"/>
      <c r="S873" s="1350">
        <f>+H873/H421</f>
        <v>0.14624999999999999</v>
      </c>
      <c r="T873" s="1350">
        <f t="shared" ref="T873:X873" si="317">+I873/I421</f>
        <v>0.14624999999999994</v>
      </c>
      <c r="U873" s="1350">
        <f t="shared" si="317"/>
        <v>0.14625000000000002</v>
      </c>
      <c r="V873" s="1350">
        <f t="shared" si="317"/>
        <v>0.14625000000000002</v>
      </c>
      <c r="W873" s="1350">
        <f t="shared" si="317"/>
        <v>0.14624999999999991</v>
      </c>
      <c r="X873" s="1350">
        <f t="shared" si="317"/>
        <v>0.14625000000000002</v>
      </c>
      <c r="Y873" s="282"/>
      <c r="Z873" s="282"/>
      <c r="AA873" s="282"/>
    </row>
    <row r="874" spans="1:27" s="428" customFormat="1" outlineLevel="1" x14ac:dyDescent="0.25">
      <c r="A874" s="276">
        <f t="shared" si="313"/>
        <v>422</v>
      </c>
      <c r="C874" s="560"/>
      <c r="D874" s="429"/>
      <c r="G874" s="168"/>
      <c r="H874" s="1054"/>
      <c r="I874" s="1054"/>
      <c r="J874" s="1054"/>
      <c r="K874" s="1054"/>
      <c r="L874" s="1054"/>
      <c r="M874" s="1054"/>
      <c r="N874" s="168"/>
      <c r="R874" s="282"/>
      <c r="S874" s="533">
        <f>0.14625*H421</f>
        <v>129946.04999999999</v>
      </c>
      <c r="T874" s="533">
        <f t="shared" ref="T874:X874" si="318">0.14625*I421</f>
        <v>237306.78562500002</v>
      </c>
      <c r="U874" s="533">
        <f t="shared" si="318"/>
        <v>317867.8260712499</v>
      </c>
      <c r="V874" s="533">
        <f t="shared" si="318"/>
        <v>409412.63974893728</v>
      </c>
      <c r="W874" s="533">
        <f t="shared" si="318"/>
        <v>459700.82057826238</v>
      </c>
      <c r="X874" s="533">
        <f t="shared" si="318"/>
        <v>503759.65804734215</v>
      </c>
      <c r="Y874" s="533"/>
      <c r="Z874" s="282"/>
      <c r="AA874" s="282"/>
    </row>
    <row r="875" spans="1:27" s="428" customFormat="1" outlineLevel="2" x14ac:dyDescent="0.25">
      <c r="A875" s="276">
        <f t="shared" si="313"/>
        <v>423</v>
      </c>
      <c r="B875" s="1357" t="s">
        <v>739</v>
      </c>
      <c r="C875" s="1380"/>
      <c r="D875" s="1381"/>
      <c r="E875" s="1359"/>
      <c r="F875" s="1359"/>
      <c r="G875" s="1382"/>
      <c r="H875" s="1382"/>
      <c r="I875" s="1382"/>
      <c r="J875" s="1382"/>
      <c r="K875" s="1382"/>
      <c r="L875" s="1382"/>
      <c r="M875" s="1382"/>
      <c r="N875" s="168"/>
      <c r="R875" s="282"/>
      <c r="S875" s="533">
        <f t="shared" ref="S875:X875" si="319">+H873-S874</f>
        <v>0</v>
      </c>
      <c r="T875" s="533">
        <f t="shared" si="319"/>
        <v>0</v>
      </c>
      <c r="U875" s="533">
        <f t="shared" si="319"/>
        <v>0</v>
      </c>
      <c r="V875" s="533">
        <f t="shared" si="319"/>
        <v>0</v>
      </c>
      <c r="W875" s="533">
        <f t="shared" si="319"/>
        <v>0</v>
      </c>
      <c r="X875" s="533">
        <f t="shared" si="319"/>
        <v>0</v>
      </c>
      <c r="Y875" s="533"/>
      <c r="Z875" s="282"/>
      <c r="AA875" s="282"/>
    </row>
    <row r="876" spans="1:27" s="428" customFormat="1" outlineLevel="2" x14ac:dyDescent="0.25">
      <c r="A876" s="276">
        <f t="shared" si="313"/>
        <v>424</v>
      </c>
      <c r="C876" s="560"/>
      <c r="D876" s="429"/>
      <c r="G876" s="1054"/>
      <c r="H876" s="1054"/>
      <c r="I876" s="1054"/>
      <c r="J876" s="1054"/>
      <c r="K876" s="1054"/>
      <c r="L876" s="1054"/>
      <c r="M876" s="1054"/>
      <c r="N876" s="168"/>
      <c r="R876" s="282"/>
      <c r="S876" s="533">
        <f>+S875/$S$873</f>
        <v>0</v>
      </c>
      <c r="T876" s="533">
        <f>+T875/$S$873</f>
        <v>0</v>
      </c>
      <c r="U876" s="533">
        <f t="shared" ref="U876:X876" si="320">+U875/$S$873</f>
        <v>0</v>
      </c>
      <c r="V876" s="533">
        <f t="shared" si="320"/>
        <v>0</v>
      </c>
      <c r="W876" s="533">
        <f t="shared" si="320"/>
        <v>0</v>
      </c>
      <c r="X876" s="533">
        <f t="shared" si="320"/>
        <v>0</v>
      </c>
      <c r="Y876" s="533"/>
      <c r="Z876" s="282"/>
      <c r="AA876" s="282"/>
    </row>
    <row r="877" spans="1:27" s="431" customFormat="1" outlineLevel="2" x14ac:dyDescent="0.25">
      <c r="A877" s="276">
        <f t="shared" si="313"/>
        <v>425</v>
      </c>
      <c r="B877" s="754" t="str">
        <f>$B$113</f>
        <v>Administrators</v>
      </c>
      <c r="C877" s="760"/>
      <c r="D877" s="757"/>
      <c r="E877" s="761"/>
      <c r="F877" s="761"/>
      <c r="G877" s="1295"/>
      <c r="H877" s="1295"/>
      <c r="I877" s="1295"/>
      <c r="J877" s="1295"/>
      <c r="K877" s="1295"/>
      <c r="L877" s="1295"/>
      <c r="M877" s="1295"/>
      <c r="N877" s="141"/>
      <c r="R877" s="282"/>
      <c r="S877" s="282"/>
      <c r="T877" s="282"/>
      <c r="U877" s="282"/>
      <c r="V877" s="282"/>
      <c r="W877" s="282"/>
      <c r="X877" s="282"/>
      <c r="Y877" s="282"/>
      <c r="Z877" s="282"/>
      <c r="AA877" s="282"/>
    </row>
    <row r="878" spans="1:27" s="431" customFormat="1" outlineLevel="2" x14ac:dyDescent="0.25">
      <c r="A878" s="276">
        <f t="shared" si="313"/>
        <v>426</v>
      </c>
      <c r="B878" s="428" t="str">
        <f>$B$114</f>
        <v>Principal</v>
      </c>
      <c r="C878" s="561"/>
      <c r="D878" s="428"/>
      <c r="G878" s="1290">
        <f t="shared" ref="G878:M882" si="321">G273*$C$92</f>
        <v>0</v>
      </c>
      <c r="H878" s="1290">
        <f t="shared" si="321"/>
        <v>6000</v>
      </c>
      <c r="I878" s="1290">
        <f t="shared" si="321"/>
        <v>6180</v>
      </c>
      <c r="J878" s="1290">
        <f t="shared" si="321"/>
        <v>6365.4</v>
      </c>
      <c r="K878" s="1290">
        <f t="shared" si="321"/>
        <v>6556.3619999999992</v>
      </c>
      <c r="L878" s="1290">
        <f t="shared" si="321"/>
        <v>6753.0528599999998</v>
      </c>
      <c r="M878" s="1290">
        <f t="shared" si="321"/>
        <v>6955.6444457999987</v>
      </c>
      <c r="N878" s="141"/>
      <c r="R878" s="282"/>
      <c r="S878" s="282"/>
      <c r="T878" s="282"/>
      <c r="U878" s="282"/>
      <c r="V878" s="282"/>
      <c r="W878" s="282"/>
      <c r="X878" s="282"/>
      <c r="Y878" s="282"/>
      <c r="Z878" s="282"/>
      <c r="AA878" s="282"/>
    </row>
    <row r="879" spans="1:27" s="431" customFormat="1" outlineLevel="2" x14ac:dyDescent="0.25">
      <c r="A879" s="276">
        <f t="shared" si="313"/>
        <v>427</v>
      </c>
      <c r="B879" s="428" t="str">
        <f>$B$115</f>
        <v>Assistant Principal</v>
      </c>
      <c r="C879" s="561"/>
      <c r="D879" s="428"/>
      <c r="G879" s="1290">
        <f t="shared" si="321"/>
        <v>0</v>
      </c>
      <c r="H879" s="1290">
        <f t="shared" si="321"/>
        <v>0</v>
      </c>
      <c r="I879" s="1290">
        <f t="shared" si="321"/>
        <v>4326</v>
      </c>
      <c r="J879" s="1290">
        <f t="shared" si="321"/>
        <v>4455.78</v>
      </c>
      <c r="K879" s="1290">
        <f t="shared" si="321"/>
        <v>4589.4533999999994</v>
      </c>
      <c r="L879" s="1290">
        <f t="shared" si="321"/>
        <v>4727.1370019999995</v>
      </c>
      <c r="M879" s="1290">
        <f t="shared" si="321"/>
        <v>4868.9511120599991</v>
      </c>
      <c r="N879" s="141"/>
      <c r="R879" s="282"/>
      <c r="S879" s="282"/>
      <c r="T879" s="282"/>
      <c r="U879" s="282"/>
      <c r="V879" s="282"/>
      <c r="W879" s="282"/>
      <c r="X879" s="282"/>
      <c r="Y879" s="282"/>
      <c r="Z879" s="282"/>
      <c r="AA879" s="282"/>
    </row>
    <row r="880" spans="1:27" s="431" customFormat="1" outlineLevel="2" x14ac:dyDescent="0.25">
      <c r="A880" s="276">
        <f t="shared" si="313"/>
        <v>428</v>
      </c>
      <c r="B880" s="428" t="str">
        <f>$B$116</f>
        <v>Assistant Principal</v>
      </c>
      <c r="C880" s="561"/>
      <c r="D880" s="428"/>
      <c r="G880" s="1290">
        <f t="shared" si="321"/>
        <v>0</v>
      </c>
      <c r="H880" s="1290">
        <f t="shared" si="321"/>
        <v>0</v>
      </c>
      <c r="I880" s="1290">
        <f t="shared" si="321"/>
        <v>0</v>
      </c>
      <c r="J880" s="1290">
        <f t="shared" si="321"/>
        <v>0</v>
      </c>
      <c r="K880" s="1290">
        <f t="shared" si="321"/>
        <v>4589.4533999999994</v>
      </c>
      <c r="L880" s="1290">
        <f t="shared" si="321"/>
        <v>4727.1370019999995</v>
      </c>
      <c r="M880" s="1290">
        <f t="shared" si="321"/>
        <v>4868.9511120599991</v>
      </c>
      <c r="N880" s="141"/>
      <c r="R880" s="282"/>
      <c r="S880" s="282"/>
      <c r="T880" s="282"/>
      <c r="U880" s="282"/>
      <c r="V880" s="282"/>
      <c r="W880" s="282"/>
      <c r="X880" s="282"/>
      <c r="Y880" s="282"/>
      <c r="Z880" s="282"/>
      <c r="AA880" s="282"/>
    </row>
    <row r="881" spans="1:27" s="431" customFormat="1" outlineLevel="2" x14ac:dyDescent="0.25">
      <c r="A881" s="276">
        <f t="shared" si="313"/>
        <v>429</v>
      </c>
      <c r="B881" s="428" t="str">
        <f>$B$117</f>
        <v>Admin 4</v>
      </c>
      <c r="C881" s="561"/>
      <c r="D881" s="428"/>
      <c r="G881" s="1290">
        <f t="shared" si="321"/>
        <v>0</v>
      </c>
      <c r="H881" s="1290">
        <f t="shared" si="321"/>
        <v>0</v>
      </c>
      <c r="I881" s="1290">
        <f t="shared" si="321"/>
        <v>0</v>
      </c>
      <c r="J881" s="1290">
        <f t="shared" si="321"/>
        <v>0</v>
      </c>
      <c r="K881" s="1290">
        <f t="shared" si="321"/>
        <v>0</v>
      </c>
      <c r="L881" s="1290">
        <f t="shared" si="321"/>
        <v>0</v>
      </c>
      <c r="M881" s="1290">
        <f t="shared" si="321"/>
        <v>0</v>
      </c>
      <c r="N881" s="141"/>
      <c r="R881" s="282"/>
      <c r="S881" s="282"/>
      <c r="T881" s="282"/>
      <c r="U881" s="282"/>
      <c r="V881" s="282"/>
      <c r="W881" s="282"/>
      <c r="X881" s="282"/>
      <c r="Y881" s="282"/>
      <c r="Z881" s="282"/>
      <c r="AA881" s="282"/>
    </row>
    <row r="882" spans="1:27" s="431" customFormat="1" outlineLevel="2" x14ac:dyDescent="0.25">
      <c r="A882" s="276">
        <f t="shared" si="313"/>
        <v>430</v>
      </c>
      <c r="B882" s="428" t="str">
        <f>$B$118</f>
        <v>Admin 5</v>
      </c>
      <c r="C882" s="561"/>
      <c r="D882" s="428"/>
      <c r="G882" s="1290">
        <f t="shared" si="321"/>
        <v>0</v>
      </c>
      <c r="H882" s="1290">
        <f t="shared" si="321"/>
        <v>0</v>
      </c>
      <c r="I882" s="1290">
        <f t="shared" si="321"/>
        <v>0</v>
      </c>
      <c r="J882" s="1290">
        <f t="shared" si="321"/>
        <v>0</v>
      </c>
      <c r="K882" s="1290">
        <f t="shared" si="321"/>
        <v>0</v>
      </c>
      <c r="L882" s="1290">
        <f t="shared" si="321"/>
        <v>0</v>
      </c>
      <c r="M882" s="1290">
        <f t="shared" si="321"/>
        <v>0</v>
      </c>
      <c r="N882" s="141"/>
      <c r="R882" s="282"/>
      <c r="S882" s="282"/>
      <c r="T882" s="282"/>
      <c r="U882" s="282"/>
      <c r="V882" s="282"/>
      <c r="W882" s="282"/>
      <c r="X882" s="282"/>
      <c r="Y882" s="282"/>
      <c r="Z882" s="282"/>
      <c r="AA882" s="282"/>
    </row>
    <row r="883" spans="1:27" s="431" customFormat="1" outlineLevel="2" x14ac:dyDescent="0.25">
      <c r="A883" s="276">
        <f t="shared" si="313"/>
        <v>431</v>
      </c>
      <c r="B883" s="428"/>
      <c r="C883" s="561"/>
      <c r="D883" s="428"/>
      <c r="G883" s="1290"/>
      <c r="H883" s="1290"/>
      <c r="I883" s="1290"/>
      <c r="J883" s="1290"/>
      <c r="K883" s="1290"/>
      <c r="L883" s="1290"/>
      <c r="M883" s="1290"/>
      <c r="N883" s="141"/>
      <c r="R883" s="282"/>
      <c r="S883" s="282"/>
      <c r="T883" s="282"/>
      <c r="U883" s="282"/>
      <c r="V883" s="282"/>
      <c r="W883" s="282"/>
      <c r="X883" s="282"/>
      <c r="Y883" s="282"/>
      <c r="Z883" s="282"/>
      <c r="AA883" s="282"/>
    </row>
    <row r="884" spans="1:27" s="431" customFormat="1" outlineLevel="2" x14ac:dyDescent="0.25">
      <c r="A884" s="276">
        <f t="shared" si="313"/>
        <v>432</v>
      </c>
      <c r="B884" s="754" t="str">
        <f t="shared" ref="B884:B886" si="322">$B279</f>
        <v>Office Staff</v>
      </c>
      <c r="C884" s="760"/>
      <c r="D884" s="757"/>
      <c r="E884" s="761"/>
      <c r="F884" s="761"/>
      <c r="G884" s="1295"/>
      <c r="H884" s="1295"/>
      <c r="I884" s="1295"/>
      <c r="J884" s="1295"/>
      <c r="K884" s="1295"/>
      <c r="L884" s="1295"/>
      <c r="M884" s="1295"/>
      <c r="N884" s="141"/>
      <c r="R884" s="282"/>
      <c r="S884" s="282"/>
      <c r="T884" s="282"/>
      <c r="U884" s="282"/>
      <c r="V884" s="282"/>
      <c r="W884" s="282"/>
      <c r="X884" s="282"/>
      <c r="Y884" s="282"/>
      <c r="Z884" s="282"/>
      <c r="AA884" s="282"/>
    </row>
    <row r="885" spans="1:27" s="431" customFormat="1" outlineLevel="2" x14ac:dyDescent="0.25">
      <c r="A885" s="276">
        <f t="shared" si="313"/>
        <v>433</v>
      </c>
      <c r="B885" s="428" t="str">
        <f t="shared" si="322"/>
        <v>Office Manager</v>
      </c>
      <c r="C885" s="561"/>
      <c r="D885" s="428"/>
      <c r="G885" s="1290">
        <f t="shared" ref="G885:M887" si="323">G280*$C$92</f>
        <v>0</v>
      </c>
      <c r="H885" s="1290">
        <f t="shared" si="323"/>
        <v>2700</v>
      </c>
      <c r="I885" s="1290">
        <f t="shared" si="323"/>
        <v>2781</v>
      </c>
      <c r="J885" s="1290">
        <f t="shared" si="323"/>
        <v>2864.43</v>
      </c>
      <c r="K885" s="1290">
        <f t="shared" si="323"/>
        <v>2950.3629000000001</v>
      </c>
      <c r="L885" s="1290">
        <f t="shared" si="323"/>
        <v>3038.8737869999995</v>
      </c>
      <c r="M885" s="1290">
        <f t="shared" si="323"/>
        <v>3130.0400006099994</v>
      </c>
      <c r="N885" s="141"/>
      <c r="R885" s="282"/>
      <c r="S885" s="282"/>
      <c r="T885" s="282"/>
      <c r="U885" s="282"/>
      <c r="V885" s="282"/>
      <c r="W885" s="282"/>
      <c r="X885" s="282"/>
      <c r="Y885" s="282"/>
      <c r="Z885" s="282"/>
      <c r="AA885" s="282"/>
    </row>
    <row r="886" spans="1:27" s="431" customFormat="1" outlineLevel="2" x14ac:dyDescent="0.25">
      <c r="A886" s="276">
        <f t="shared" si="313"/>
        <v>434</v>
      </c>
      <c r="B886" s="428" t="str">
        <f t="shared" si="322"/>
        <v>Registrar</v>
      </c>
      <c r="C886" s="561"/>
      <c r="D886" s="428"/>
      <c r="G886" s="1290">
        <f t="shared" si="323"/>
        <v>0</v>
      </c>
      <c r="H886" s="1290">
        <f t="shared" si="323"/>
        <v>0</v>
      </c>
      <c r="I886" s="1290">
        <f t="shared" si="323"/>
        <v>0</v>
      </c>
      <c r="J886" s="1290">
        <f t="shared" si="323"/>
        <v>2546.16</v>
      </c>
      <c r="K886" s="1290">
        <f t="shared" si="323"/>
        <v>2622.5448000000001</v>
      </c>
      <c r="L886" s="1290">
        <f t="shared" si="323"/>
        <v>2701.2211439999996</v>
      </c>
      <c r="M886" s="1290">
        <f t="shared" si="323"/>
        <v>2782.2577783199995</v>
      </c>
      <c r="N886" s="141"/>
      <c r="R886" s="282"/>
      <c r="S886" s="282"/>
      <c r="T886" s="282"/>
      <c r="U886" s="282"/>
      <c r="V886" s="282"/>
      <c r="W886" s="282"/>
      <c r="X886" s="282"/>
      <c r="Y886" s="282"/>
      <c r="Z886" s="282"/>
      <c r="AA886" s="282"/>
    </row>
    <row r="887" spans="1:27" s="431" customFormat="1" outlineLevel="2" x14ac:dyDescent="0.25">
      <c r="A887" s="276">
        <f t="shared" si="313"/>
        <v>435</v>
      </c>
      <c r="B887" s="428">
        <f>$B282</f>
        <v>0</v>
      </c>
      <c r="C887" s="561"/>
      <c r="D887" s="428"/>
      <c r="G887" s="1290">
        <f t="shared" si="323"/>
        <v>0</v>
      </c>
      <c r="H887" s="1290">
        <f t="shared" si="323"/>
        <v>0</v>
      </c>
      <c r="I887" s="1290">
        <f t="shared" si="323"/>
        <v>0</v>
      </c>
      <c r="J887" s="1290">
        <f t="shared" si="323"/>
        <v>0</v>
      </c>
      <c r="K887" s="1290">
        <f t="shared" si="323"/>
        <v>0</v>
      </c>
      <c r="L887" s="1290">
        <f t="shared" si="323"/>
        <v>0</v>
      </c>
      <c r="M887" s="1290">
        <f t="shared" si="323"/>
        <v>0</v>
      </c>
      <c r="N887" s="141"/>
      <c r="R887" s="282"/>
      <c r="S887" s="282"/>
      <c r="T887" s="282"/>
      <c r="U887" s="282"/>
      <c r="V887" s="282"/>
      <c r="W887" s="282"/>
      <c r="X887" s="282"/>
      <c r="Y887" s="282"/>
      <c r="Z887" s="282"/>
      <c r="AA887" s="282"/>
    </row>
    <row r="888" spans="1:27" s="431" customFormat="1" outlineLevel="2" x14ac:dyDescent="0.25">
      <c r="A888" s="276">
        <f t="shared" si="313"/>
        <v>436</v>
      </c>
      <c r="B888" s="428"/>
      <c r="C888" s="561"/>
      <c r="D888" s="428"/>
      <c r="G888" s="1290"/>
      <c r="H888" s="1290"/>
      <c r="I888" s="1290"/>
      <c r="J888" s="1290"/>
      <c r="K888" s="1290"/>
      <c r="L888" s="1290"/>
      <c r="M888" s="1290"/>
      <c r="N888" s="141"/>
      <c r="R888" s="282"/>
      <c r="S888" s="282"/>
      <c r="T888" s="282"/>
      <c r="U888" s="282"/>
      <c r="V888" s="282"/>
      <c r="W888" s="282"/>
      <c r="X888" s="282"/>
      <c r="Y888" s="282"/>
      <c r="Z888" s="282"/>
      <c r="AA888" s="282"/>
    </row>
    <row r="889" spans="1:27" s="431" customFormat="1" outlineLevel="2" x14ac:dyDescent="0.25">
      <c r="A889" s="276">
        <f t="shared" si="313"/>
        <v>437</v>
      </c>
      <c r="B889" s="377"/>
      <c r="C889" s="561"/>
      <c r="D889" s="428"/>
      <c r="G889" s="1290"/>
      <c r="H889" s="1290"/>
      <c r="I889" s="1290"/>
      <c r="J889" s="1290"/>
      <c r="K889" s="1290"/>
      <c r="L889" s="1290"/>
      <c r="M889" s="1290"/>
      <c r="N889" s="141"/>
      <c r="R889" s="282"/>
      <c r="S889" s="282"/>
      <c r="T889" s="282"/>
      <c r="U889" s="282"/>
      <c r="V889" s="282"/>
      <c r="W889" s="282"/>
      <c r="X889" s="282"/>
      <c r="Y889" s="282"/>
      <c r="Z889" s="282"/>
      <c r="AA889" s="282"/>
    </row>
    <row r="890" spans="1:27" s="431" customFormat="1" outlineLevel="2" x14ac:dyDescent="0.25">
      <c r="A890" s="276">
        <f t="shared" si="313"/>
        <v>438</v>
      </c>
      <c r="B890" s="701" t="str">
        <f>$B$285</f>
        <v>Total Administrators and Office Staff</v>
      </c>
      <c r="C890" s="733"/>
      <c r="D890" s="701"/>
      <c r="E890" s="750"/>
      <c r="F890" s="750"/>
      <c r="G890" s="1291">
        <f t="shared" ref="G890:M890" si="324">SUM(G878:G888)</f>
        <v>0</v>
      </c>
      <c r="H890" s="1291">
        <f t="shared" si="324"/>
        <v>8700</v>
      </c>
      <c r="I890" s="1291">
        <f t="shared" si="324"/>
        <v>13287</v>
      </c>
      <c r="J890" s="1291">
        <f t="shared" si="324"/>
        <v>16231.77</v>
      </c>
      <c r="K890" s="1291">
        <f t="shared" si="324"/>
        <v>21308.176499999998</v>
      </c>
      <c r="L890" s="1291">
        <f t="shared" si="324"/>
        <v>21947.421794999998</v>
      </c>
      <c r="M890" s="1291">
        <f t="shared" si="324"/>
        <v>22605.844448849995</v>
      </c>
      <c r="N890" s="141"/>
      <c r="R890" s="282"/>
      <c r="S890" s="282"/>
      <c r="T890" s="282"/>
      <c r="U890" s="282"/>
      <c r="V890" s="282"/>
      <c r="W890" s="282"/>
      <c r="X890" s="282"/>
      <c r="Y890" s="282"/>
      <c r="Z890" s="282"/>
      <c r="AA890" s="282"/>
    </row>
    <row r="891" spans="1:27" s="431" customFormat="1" outlineLevel="2" x14ac:dyDescent="0.25">
      <c r="A891" s="276">
        <f t="shared" si="313"/>
        <v>439</v>
      </c>
      <c r="B891" s="377"/>
      <c r="C891" s="561"/>
      <c r="D891" s="428"/>
      <c r="G891" s="1290"/>
      <c r="H891" s="1290"/>
      <c r="I891" s="1290"/>
      <c r="J891" s="1290"/>
      <c r="K891" s="1290"/>
      <c r="L891" s="1290"/>
      <c r="M891" s="1290"/>
      <c r="N891" s="141"/>
      <c r="R891" s="282"/>
      <c r="S891" s="282"/>
      <c r="T891" s="282"/>
      <c r="U891" s="282"/>
      <c r="V891" s="282"/>
      <c r="W891" s="282"/>
      <c r="X891" s="282"/>
      <c r="Y891" s="282"/>
      <c r="Z891" s="282"/>
      <c r="AA891" s="282"/>
    </row>
    <row r="892" spans="1:27" s="431" customFormat="1" outlineLevel="2" x14ac:dyDescent="0.25">
      <c r="A892" s="276">
        <f t="shared" si="313"/>
        <v>440</v>
      </c>
      <c r="B892" s="754" t="str">
        <f t="shared" ref="B892:B898" si="325">$B287</f>
        <v>Special Education (SPED) Teachers</v>
      </c>
      <c r="C892" s="760"/>
      <c r="D892" s="757"/>
      <c r="E892" s="761"/>
      <c r="F892" s="761"/>
      <c r="G892" s="1295"/>
      <c r="H892" s="1295"/>
      <c r="I892" s="1295"/>
      <c r="J892" s="1295"/>
      <c r="K892" s="1295"/>
      <c r="L892" s="1295"/>
      <c r="M892" s="1295"/>
      <c r="N892" s="141"/>
      <c r="R892" s="282"/>
      <c r="S892" s="282"/>
      <c r="T892" s="282"/>
      <c r="U892" s="282"/>
      <c r="V892" s="282"/>
      <c r="W892" s="282"/>
      <c r="X892" s="282"/>
      <c r="Y892" s="282"/>
      <c r="Z892" s="282"/>
      <c r="AA892" s="282"/>
    </row>
    <row r="893" spans="1:27" s="431" customFormat="1" outlineLevel="2" x14ac:dyDescent="0.25">
      <c r="A893" s="276">
        <f t="shared" si="313"/>
        <v>441</v>
      </c>
      <c r="B893" s="758" t="str">
        <f t="shared" si="325"/>
        <v>Special Education (SPED) Teacher</v>
      </c>
      <c r="C893" s="561"/>
      <c r="D893" s="428"/>
      <c r="G893" s="1290">
        <f t="shared" ref="G893:M902" si="326">G288*$C$92</f>
        <v>0</v>
      </c>
      <c r="H893" s="1290">
        <f t="shared" si="326"/>
        <v>2520</v>
      </c>
      <c r="I893" s="1290">
        <f t="shared" si="326"/>
        <v>2595.6</v>
      </c>
      <c r="J893" s="1290">
        <f t="shared" si="326"/>
        <v>2673.4679999999998</v>
      </c>
      <c r="K893" s="1290">
        <f t="shared" si="326"/>
        <v>2753.6720399999999</v>
      </c>
      <c r="L893" s="1290">
        <f t="shared" si="326"/>
        <v>2836.2822011999997</v>
      </c>
      <c r="M893" s="1290">
        <f t="shared" si="326"/>
        <v>2921.3706672359995</v>
      </c>
      <c r="N893" s="141"/>
      <c r="R893" s="282"/>
      <c r="S893" s="282"/>
      <c r="T893" s="282"/>
      <c r="U893" s="282"/>
      <c r="V893" s="282"/>
      <c r="W893" s="282"/>
      <c r="X893" s="282"/>
      <c r="Y893" s="282"/>
      <c r="Z893" s="282"/>
      <c r="AA893" s="282"/>
    </row>
    <row r="894" spans="1:27" s="431" customFormat="1" outlineLevel="2" x14ac:dyDescent="0.25">
      <c r="A894" s="276">
        <f t="shared" si="313"/>
        <v>442</v>
      </c>
      <c r="B894" s="758" t="str">
        <f t="shared" si="325"/>
        <v>Special Education (SPED) Teacher</v>
      </c>
      <c r="C894" s="561"/>
      <c r="D894" s="428"/>
      <c r="G894" s="1290">
        <f t="shared" si="326"/>
        <v>0</v>
      </c>
      <c r="H894" s="1290">
        <f t="shared" si="326"/>
        <v>2520</v>
      </c>
      <c r="I894" s="1290">
        <f t="shared" si="326"/>
        <v>2595.6</v>
      </c>
      <c r="J894" s="1290">
        <f t="shared" si="326"/>
        <v>2673.4679999999998</v>
      </c>
      <c r="K894" s="1290">
        <f t="shared" si="326"/>
        <v>2753.6720399999999</v>
      </c>
      <c r="L894" s="1290">
        <f t="shared" si="326"/>
        <v>2836.2822011999997</v>
      </c>
      <c r="M894" s="1290">
        <f t="shared" si="326"/>
        <v>2921.3706672359995</v>
      </c>
      <c r="N894" s="141"/>
      <c r="R894" s="282"/>
      <c r="S894" s="282"/>
      <c r="T894" s="282"/>
      <c r="U894" s="282"/>
      <c r="V894" s="282"/>
      <c r="W894" s="282"/>
      <c r="X894" s="282"/>
      <c r="Y894" s="282"/>
      <c r="Z894" s="282"/>
      <c r="AA894" s="282"/>
    </row>
    <row r="895" spans="1:27" s="431" customFormat="1" outlineLevel="2" x14ac:dyDescent="0.25">
      <c r="A895" s="276">
        <f t="shared" si="313"/>
        <v>443</v>
      </c>
      <c r="B895" s="758" t="str">
        <f t="shared" si="325"/>
        <v>Special Education (SPED) Teacher</v>
      </c>
      <c r="C895" s="561"/>
      <c r="D895" s="428"/>
      <c r="G895" s="1290">
        <f t="shared" si="326"/>
        <v>0</v>
      </c>
      <c r="H895" s="1290">
        <f t="shared" si="326"/>
        <v>0</v>
      </c>
      <c r="I895" s="1290">
        <f t="shared" si="326"/>
        <v>2634.5340000000001</v>
      </c>
      <c r="J895" s="1290">
        <f t="shared" si="326"/>
        <v>2713.5700200000001</v>
      </c>
      <c r="K895" s="1290">
        <f t="shared" si="326"/>
        <v>2794.9771206</v>
      </c>
      <c r="L895" s="1290">
        <f t="shared" si="326"/>
        <v>2878.8264342179996</v>
      </c>
      <c r="M895" s="1290">
        <f t="shared" si="326"/>
        <v>2965.1912272445397</v>
      </c>
      <c r="N895" s="141"/>
      <c r="R895" s="282"/>
      <c r="S895" s="282"/>
      <c r="T895" s="282"/>
      <c r="U895" s="282"/>
      <c r="V895" s="282"/>
      <c r="W895" s="282"/>
      <c r="X895" s="282"/>
      <c r="Y895" s="282"/>
      <c r="Z895" s="282"/>
      <c r="AA895" s="282"/>
    </row>
    <row r="896" spans="1:27" s="431" customFormat="1" outlineLevel="2" x14ac:dyDescent="0.25">
      <c r="A896" s="276">
        <f t="shared" si="313"/>
        <v>444</v>
      </c>
      <c r="B896" s="758" t="str">
        <f t="shared" si="325"/>
        <v>Special Education (SPED) Teacher</v>
      </c>
      <c r="C896" s="561"/>
      <c r="D896" s="428"/>
      <c r="G896" s="1290">
        <f t="shared" si="326"/>
        <v>0</v>
      </c>
      <c r="H896" s="1290">
        <f t="shared" si="326"/>
        <v>0</v>
      </c>
      <c r="I896" s="1290">
        <f t="shared" si="326"/>
        <v>0</v>
      </c>
      <c r="J896" s="1290">
        <f t="shared" si="326"/>
        <v>2756.2181999999998</v>
      </c>
      <c r="K896" s="1290">
        <f t="shared" si="326"/>
        <v>2838.9047460000002</v>
      </c>
      <c r="L896" s="1290">
        <f t="shared" si="326"/>
        <v>2924.0718883799996</v>
      </c>
      <c r="M896" s="1290">
        <f t="shared" si="326"/>
        <v>3011.7940450313995</v>
      </c>
      <c r="N896" s="141"/>
      <c r="R896" s="282"/>
      <c r="S896" s="282"/>
      <c r="T896" s="282"/>
      <c r="U896" s="282"/>
      <c r="V896" s="282"/>
      <c r="W896" s="282"/>
      <c r="X896" s="282"/>
      <c r="Y896" s="282"/>
      <c r="Z896" s="282"/>
      <c r="AA896" s="282"/>
    </row>
    <row r="897" spans="1:27" s="431" customFormat="1" outlineLevel="2" x14ac:dyDescent="0.25">
      <c r="A897" s="276">
        <f t="shared" si="313"/>
        <v>445</v>
      </c>
      <c r="B897" s="758" t="str">
        <f t="shared" si="325"/>
        <v>Special Education (SPED) Teacher</v>
      </c>
      <c r="C897" s="561"/>
      <c r="D897" s="428"/>
      <c r="G897" s="1290">
        <f t="shared" si="326"/>
        <v>0</v>
      </c>
      <c r="H897" s="1290">
        <f t="shared" si="326"/>
        <v>0</v>
      </c>
      <c r="I897" s="1290">
        <f t="shared" si="326"/>
        <v>0</v>
      </c>
      <c r="J897" s="1290">
        <f t="shared" si="326"/>
        <v>0</v>
      </c>
      <c r="K897" s="1290">
        <f t="shared" si="326"/>
        <v>2884.7992799999997</v>
      </c>
      <c r="L897" s="1290">
        <f t="shared" si="326"/>
        <v>2971.3432583999993</v>
      </c>
      <c r="M897" s="1290">
        <f t="shared" si="326"/>
        <v>3060.4835561519994</v>
      </c>
      <c r="N897" s="141"/>
      <c r="R897" s="282"/>
      <c r="S897" s="282"/>
      <c r="T897" s="282"/>
      <c r="U897" s="282"/>
      <c r="V897" s="282"/>
      <c r="W897" s="282"/>
      <c r="X897" s="282"/>
      <c r="Y897" s="282"/>
      <c r="Z897" s="282"/>
      <c r="AA897" s="282"/>
    </row>
    <row r="898" spans="1:27" s="431" customFormat="1" outlineLevel="2" x14ac:dyDescent="0.25">
      <c r="A898" s="276">
        <f t="shared" si="313"/>
        <v>446</v>
      </c>
      <c r="B898" s="758" t="str">
        <f t="shared" si="325"/>
        <v>Special Education (SPED) Teacher</v>
      </c>
      <c r="C898" s="561"/>
      <c r="D898" s="428"/>
      <c r="G898" s="1290">
        <f t="shared" si="326"/>
        <v>0</v>
      </c>
      <c r="H898" s="1290">
        <f t="shared" si="326"/>
        <v>0</v>
      </c>
      <c r="I898" s="1290">
        <f t="shared" si="326"/>
        <v>0</v>
      </c>
      <c r="J898" s="1290">
        <f t="shared" si="326"/>
        <v>0</v>
      </c>
      <c r="K898" s="1290">
        <f t="shared" si="326"/>
        <v>0</v>
      </c>
      <c r="L898" s="1290">
        <f t="shared" si="326"/>
        <v>1509.30731421</v>
      </c>
      <c r="M898" s="1290">
        <f t="shared" si="326"/>
        <v>1554.5865336362999</v>
      </c>
      <c r="N898" s="141"/>
      <c r="R898" s="282"/>
      <c r="S898" s="282"/>
      <c r="T898" s="282"/>
      <c r="U898" s="282"/>
      <c r="V898" s="282"/>
      <c r="W898" s="282"/>
      <c r="X898" s="282"/>
      <c r="Y898" s="282"/>
      <c r="Z898" s="282"/>
      <c r="AA898" s="282"/>
    </row>
    <row r="899" spans="1:27" s="431" customFormat="1" outlineLevel="2" x14ac:dyDescent="0.25">
      <c r="A899" s="276">
        <f t="shared" si="313"/>
        <v>447</v>
      </c>
      <c r="B899" s="758" t="str">
        <f>$B294</f>
        <v>Special Education (SPED) Teacher</v>
      </c>
      <c r="C899" s="561"/>
      <c r="D899" s="428"/>
      <c r="G899" s="1290">
        <f t="shared" si="326"/>
        <v>0</v>
      </c>
      <c r="H899" s="1290">
        <f t="shared" si="326"/>
        <v>0</v>
      </c>
      <c r="I899" s="1290">
        <f t="shared" si="326"/>
        <v>0</v>
      </c>
      <c r="J899" s="1290">
        <f t="shared" si="326"/>
        <v>0</v>
      </c>
      <c r="K899" s="1290">
        <f t="shared" si="326"/>
        <v>0</v>
      </c>
      <c r="L899" s="1290">
        <f t="shared" si="326"/>
        <v>0</v>
      </c>
      <c r="M899" s="1290">
        <f t="shared" si="326"/>
        <v>1577.1923780851496</v>
      </c>
      <c r="N899" s="141"/>
      <c r="R899" s="282"/>
      <c r="S899" s="282"/>
      <c r="T899" s="282"/>
      <c r="U899" s="282"/>
      <c r="V899" s="282"/>
      <c r="W899" s="282"/>
      <c r="X899" s="282"/>
      <c r="Y899" s="282"/>
      <c r="Z899" s="282"/>
      <c r="AA899" s="282"/>
    </row>
    <row r="900" spans="1:27" s="431" customFormat="1" outlineLevel="2" x14ac:dyDescent="0.25">
      <c r="A900" s="276">
        <f t="shared" si="313"/>
        <v>448</v>
      </c>
      <c r="B900" s="758" t="str">
        <f t="shared" ref="B900:B901" si="327">$B295</f>
        <v>Teacher Assistant/Aide</v>
      </c>
      <c r="C900" s="561"/>
      <c r="D900" s="428"/>
      <c r="G900" s="1290">
        <f t="shared" si="326"/>
        <v>0</v>
      </c>
      <c r="H900" s="1290">
        <f t="shared" si="326"/>
        <v>0</v>
      </c>
      <c r="I900" s="1290">
        <f t="shared" si="326"/>
        <v>0</v>
      </c>
      <c r="J900" s="1290">
        <f t="shared" si="326"/>
        <v>0</v>
      </c>
      <c r="K900" s="1290">
        <f t="shared" si="326"/>
        <v>0</v>
      </c>
      <c r="L900" s="1290">
        <f t="shared" si="326"/>
        <v>1312.7934759839998</v>
      </c>
      <c r="M900" s="1290">
        <f t="shared" si="326"/>
        <v>1352.1772802635198</v>
      </c>
      <c r="N900" s="141"/>
      <c r="R900" s="282"/>
      <c r="S900" s="282"/>
      <c r="T900" s="282"/>
      <c r="U900" s="282"/>
      <c r="V900" s="282"/>
      <c r="W900" s="282"/>
      <c r="X900" s="282"/>
      <c r="Y900" s="282"/>
      <c r="Z900" s="282"/>
      <c r="AA900" s="282"/>
    </row>
    <row r="901" spans="1:27" s="431" customFormat="1" outlineLevel="2" x14ac:dyDescent="0.25">
      <c r="A901" s="276">
        <f t="shared" si="313"/>
        <v>449</v>
      </c>
      <c r="B901" s="1368" t="str">
        <f t="shared" si="327"/>
        <v>Teacher Assistant/Aide</v>
      </c>
      <c r="C901" s="760"/>
      <c r="D901" s="757"/>
      <c r="E901" s="761"/>
      <c r="F901" s="761"/>
      <c r="G901" s="1295">
        <f t="shared" si="326"/>
        <v>0</v>
      </c>
      <c r="H901" s="1295">
        <f t="shared" si="326"/>
        <v>0</v>
      </c>
      <c r="I901" s="1295">
        <f t="shared" si="326"/>
        <v>0</v>
      </c>
      <c r="J901" s="1295">
        <f t="shared" si="326"/>
        <v>0</v>
      </c>
      <c r="K901" s="1295">
        <f t="shared" si="326"/>
        <v>0</v>
      </c>
      <c r="L901" s="1295">
        <f t="shared" si="326"/>
        <v>0</v>
      </c>
      <c r="M901" s="1295">
        <f t="shared" si="326"/>
        <v>1377.2176002683998</v>
      </c>
      <c r="N901" s="141"/>
      <c r="R901" s="282"/>
      <c r="S901" s="282"/>
      <c r="T901" s="282"/>
      <c r="U901" s="282"/>
      <c r="V901" s="282"/>
      <c r="W901" s="282"/>
      <c r="X901" s="282"/>
      <c r="Y901" s="282"/>
      <c r="Z901" s="282"/>
      <c r="AA901" s="282"/>
    </row>
    <row r="902" spans="1:27" s="431" customFormat="1" outlineLevel="2" x14ac:dyDescent="0.25">
      <c r="A902" s="276">
        <f t="shared" si="313"/>
        <v>450</v>
      </c>
      <c r="B902" s="428" t="str">
        <f>$B297</f>
        <v xml:space="preserve">Total Special EducationTeachers </v>
      </c>
      <c r="C902" s="561"/>
      <c r="D902" s="428"/>
      <c r="G902" s="1290">
        <f t="shared" si="326"/>
        <v>0</v>
      </c>
      <c r="H902" s="1290">
        <f t="shared" si="326"/>
        <v>5040</v>
      </c>
      <c r="I902" s="1290">
        <f t="shared" si="326"/>
        <v>7825.7339999999995</v>
      </c>
      <c r="J902" s="1290">
        <f t="shared" si="326"/>
        <v>10816.72422</v>
      </c>
      <c r="K902" s="1290">
        <f t="shared" si="326"/>
        <v>14026.025226600001</v>
      </c>
      <c r="L902" s="1290">
        <f t="shared" si="326"/>
        <v>17268.906773592</v>
      </c>
      <c r="M902" s="1290">
        <f t="shared" si="326"/>
        <v>20741.383955153313</v>
      </c>
      <c r="N902" s="141"/>
      <c r="R902" s="282"/>
      <c r="S902" s="282"/>
      <c r="T902" s="282"/>
      <c r="U902" s="282"/>
      <c r="V902" s="282"/>
      <c r="W902" s="282"/>
      <c r="X902" s="282"/>
      <c r="Y902" s="282"/>
      <c r="Z902" s="282"/>
      <c r="AA902" s="282"/>
    </row>
    <row r="903" spans="1:27" s="431" customFormat="1" outlineLevel="2" x14ac:dyDescent="0.25">
      <c r="A903" s="276">
        <f t="shared" ref="A903:A914" si="328">ROW(A451)</f>
        <v>451</v>
      </c>
      <c r="B903" s="428"/>
      <c r="C903" s="561"/>
      <c r="D903" s="428"/>
      <c r="G903" s="1290"/>
      <c r="H903" s="1290"/>
      <c r="I903" s="1290"/>
      <c r="J903" s="1290"/>
      <c r="K903" s="1290"/>
      <c r="L903" s="1290"/>
      <c r="M903" s="1290"/>
      <c r="N903" s="141"/>
      <c r="R903" s="282"/>
      <c r="S903" s="282"/>
      <c r="T903" s="282"/>
      <c r="U903" s="282"/>
      <c r="V903" s="282"/>
      <c r="W903" s="282"/>
      <c r="X903" s="282"/>
      <c r="Y903" s="282"/>
      <c r="Z903" s="282"/>
      <c r="AA903" s="282"/>
    </row>
    <row r="904" spans="1:27" s="431" customFormat="1" outlineLevel="2" x14ac:dyDescent="0.25">
      <c r="A904" s="276">
        <f t="shared" si="328"/>
        <v>452</v>
      </c>
      <c r="B904" s="754" t="str">
        <f t="shared" ref="B904:B914" si="329">$B299</f>
        <v>English Language Learner (ELL) Teachers</v>
      </c>
      <c r="C904" s="760"/>
      <c r="D904" s="757"/>
      <c r="E904" s="761"/>
      <c r="F904" s="761"/>
      <c r="G904" s="1295"/>
      <c r="H904" s="1295"/>
      <c r="I904" s="1295"/>
      <c r="J904" s="1295"/>
      <c r="K904" s="1295"/>
      <c r="L904" s="1295"/>
      <c r="M904" s="1295"/>
      <c r="N904" s="141"/>
      <c r="R904" s="282"/>
      <c r="S904" s="282"/>
      <c r="T904" s="282"/>
      <c r="U904" s="282"/>
      <c r="V904" s="282"/>
      <c r="W904" s="282"/>
      <c r="X904" s="282"/>
      <c r="Y904" s="282"/>
      <c r="Z904" s="282"/>
      <c r="AA904" s="282"/>
    </row>
    <row r="905" spans="1:27" s="431" customFormat="1" outlineLevel="2" x14ac:dyDescent="0.25">
      <c r="A905" s="276">
        <f t="shared" si="328"/>
        <v>453</v>
      </c>
      <c r="B905" s="758" t="str">
        <f t="shared" si="329"/>
        <v>ELL Coordinator</v>
      </c>
      <c r="C905" s="561"/>
      <c r="D905" s="428"/>
      <c r="G905" s="1290">
        <f t="shared" ref="G905:M913" si="330">G300*$C$92</f>
        <v>0</v>
      </c>
      <c r="H905" s="1290">
        <f t="shared" si="330"/>
        <v>3420</v>
      </c>
      <c r="I905" s="1290">
        <f t="shared" si="330"/>
        <v>3522.6</v>
      </c>
      <c r="J905" s="1290">
        <f t="shared" si="330"/>
        <v>3628.2779999999998</v>
      </c>
      <c r="K905" s="1290">
        <f t="shared" si="330"/>
        <v>3737.1263399999998</v>
      </c>
      <c r="L905" s="1290">
        <f t="shared" si="330"/>
        <v>3849.2401301999994</v>
      </c>
      <c r="M905" s="1290">
        <f t="shared" si="330"/>
        <v>3964.7173341059993</v>
      </c>
      <c r="N905" s="141"/>
      <c r="R905" s="282"/>
      <c r="S905" s="282"/>
      <c r="T905" s="282"/>
      <c r="U905" s="282"/>
      <c r="V905" s="282"/>
      <c r="W905" s="282"/>
      <c r="X905" s="282"/>
      <c r="Y905" s="282"/>
      <c r="Z905" s="282"/>
      <c r="AA905" s="282"/>
    </row>
    <row r="906" spans="1:27" s="431" customFormat="1" outlineLevel="2" x14ac:dyDescent="0.25">
      <c r="A906" s="276">
        <f t="shared" si="328"/>
        <v>454</v>
      </c>
      <c r="B906" s="758" t="str">
        <f t="shared" si="329"/>
        <v>Teacher Assistant/Aide</v>
      </c>
      <c r="C906" s="561"/>
      <c r="D906" s="428"/>
      <c r="G906" s="1290">
        <f t="shared" si="330"/>
        <v>0</v>
      </c>
      <c r="H906" s="1290">
        <f t="shared" si="330"/>
        <v>1080</v>
      </c>
      <c r="I906" s="1290">
        <f t="shared" si="330"/>
        <v>1112.3999999999999</v>
      </c>
      <c r="J906" s="1290">
        <f t="shared" si="330"/>
        <v>1145.7719999999999</v>
      </c>
      <c r="K906" s="1290">
        <f t="shared" si="330"/>
        <v>1180.1451599999998</v>
      </c>
      <c r="L906" s="1290">
        <f t="shared" si="330"/>
        <v>1215.5495148</v>
      </c>
      <c r="M906" s="1290">
        <f t="shared" si="330"/>
        <v>1252.0160002439998</v>
      </c>
      <c r="N906" s="141"/>
      <c r="R906" s="282"/>
      <c r="S906" s="282"/>
      <c r="T906" s="282"/>
      <c r="U906" s="282"/>
      <c r="V906" s="282"/>
      <c r="W906" s="282"/>
      <c r="X906" s="282"/>
      <c r="Y906" s="282"/>
      <c r="Z906" s="282"/>
      <c r="AA906" s="282"/>
    </row>
    <row r="907" spans="1:27" s="431" customFormat="1" outlineLevel="2" x14ac:dyDescent="0.25">
      <c r="A907" s="276">
        <f t="shared" si="328"/>
        <v>455</v>
      </c>
      <c r="B907" s="758" t="str">
        <f t="shared" si="329"/>
        <v>Teacher Assistant/Aide</v>
      </c>
      <c r="C907" s="561"/>
      <c r="D907" s="428"/>
      <c r="G907" s="1290">
        <f t="shared" si="330"/>
        <v>0</v>
      </c>
      <c r="H907" s="1290">
        <f t="shared" si="330"/>
        <v>0</v>
      </c>
      <c r="I907" s="1290">
        <f t="shared" si="330"/>
        <v>1134.6479999999999</v>
      </c>
      <c r="J907" s="1290">
        <f t="shared" si="330"/>
        <v>1168.6874399999999</v>
      </c>
      <c r="K907" s="1290">
        <f t="shared" si="330"/>
        <v>1203.7480631999999</v>
      </c>
      <c r="L907" s="1290">
        <f t="shared" si="330"/>
        <v>1239.8605050959998</v>
      </c>
      <c r="M907" s="1290">
        <f t="shared" si="330"/>
        <v>1277.05632024888</v>
      </c>
      <c r="N907" s="141"/>
      <c r="R907" s="282"/>
      <c r="S907" s="282"/>
      <c r="T907" s="282"/>
      <c r="U907" s="282"/>
      <c r="V907" s="282"/>
      <c r="W907" s="282"/>
      <c r="X907" s="282"/>
      <c r="Y907" s="282"/>
      <c r="Z907" s="282"/>
      <c r="AA907" s="282"/>
    </row>
    <row r="908" spans="1:27" s="431" customFormat="1" outlineLevel="2" x14ac:dyDescent="0.25">
      <c r="A908" s="276">
        <f t="shared" si="328"/>
        <v>456</v>
      </c>
      <c r="B908" s="758" t="str">
        <f t="shared" si="329"/>
        <v>Teacher Assistant/Aide</v>
      </c>
      <c r="C908" s="561"/>
      <c r="D908" s="428"/>
      <c r="G908" s="1290">
        <f t="shared" si="330"/>
        <v>0</v>
      </c>
      <c r="H908" s="1290">
        <f t="shared" si="330"/>
        <v>0</v>
      </c>
      <c r="I908" s="1290">
        <f t="shared" si="330"/>
        <v>1134.6479999999999</v>
      </c>
      <c r="J908" s="1290">
        <f t="shared" si="330"/>
        <v>1168.6874399999999</v>
      </c>
      <c r="K908" s="1290">
        <f t="shared" si="330"/>
        <v>1203.7480631999999</v>
      </c>
      <c r="L908" s="1290">
        <f t="shared" si="330"/>
        <v>1239.8605050959998</v>
      </c>
      <c r="M908" s="1290">
        <f t="shared" si="330"/>
        <v>1277.05632024888</v>
      </c>
      <c r="N908" s="141"/>
      <c r="R908" s="282"/>
      <c r="S908" s="282"/>
      <c r="T908" s="282"/>
      <c r="U908" s="282"/>
      <c r="V908" s="282"/>
      <c r="W908" s="282"/>
      <c r="X908" s="282"/>
      <c r="Y908" s="282"/>
      <c r="Z908" s="282"/>
      <c r="AA908" s="282"/>
    </row>
    <row r="909" spans="1:27" s="431" customFormat="1" outlineLevel="2" x14ac:dyDescent="0.25">
      <c r="A909" s="276">
        <f t="shared" si="328"/>
        <v>457</v>
      </c>
      <c r="B909" s="758" t="str">
        <f t="shared" si="329"/>
        <v>Teacher Assistant/Aide</v>
      </c>
      <c r="C909" s="561"/>
      <c r="D909" s="428"/>
      <c r="G909" s="1290">
        <f t="shared" si="330"/>
        <v>0</v>
      </c>
      <c r="H909" s="1290">
        <f t="shared" si="330"/>
        <v>0</v>
      </c>
      <c r="I909" s="1290">
        <f t="shared" si="330"/>
        <v>0</v>
      </c>
      <c r="J909" s="1290">
        <f t="shared" si="330"/>
        <v>1191.6028799999999</v>
      </c>
      <c r="K909" s="1290">
        <f t="shared" si="330"/>
        <v>1227.3509664000001</v>
      </c>
      <c r="L909" s="1290">
        <f t="shared" si="330"/>
        <v>1264.1714953919998</v>
      </c>
      <c r="M909" s="1290">
        <f t="shared" si="330"/>
        <v>1302.0966402537597</v>
      </c>
      <c r="N909" s="141"/>
      <c r="R909" s="282"/>
      <c r="S909" s="282"/>
      <c r="T909" s="282"/>
      <c r="U909" s="282"/>
      <c r="V909" s="282"/>
      <c r="W909" s="282"/>
      <c r="X909" s="282"/>
      <c r="Y909" s="282"/>
      <c r="Z909" s="282"/>
      <c r="AA909" s="282"/>
    </row>
    <row r="910" spans="1:27" s="431" customFormat="1" outlineLevel="2" x14ac:dyDescent="0.25">
      <c r="A910" s="276">
        <f t="shared" si="328"/>
        <v>458</v>
      </c>
      <c r="B910" s="758" t="str">
        <f t="shared" si="329"/>
        <v>Teacher Assistant/Aide</v>
      </c>
      <c r="C910" s="561"/>
      <c r="D910" s="428"/>
      <c r="G910" s="1290">
        <f t="shared" si="330"/>
        <v>0</v>
      </c>
      <c r="H910" s="1290">
        <f t="shared" si="330"/>
        <v>0</v>
      </c>
      <c r="I910" s="1290">
        <f t="shared" si="330"/>
        <v>0</v>
      </c>
      <c r="J910" s="1290">
        <f t="shared" si="330"/>
        <v>1191.6028799999999</v>
      </c>
      <c r="K910" s="1290">
        <f t="shared" si="330"/>
        <v>1227.3509664000001</v>
      </c>
      <c r="L910" s="1290">
        <f t="shared" si="330"/>
        <v>1264.1714953919998</v>
      </c>
      <c r="M910" s="1290">
        <f t="shared" si="330"/>
        <v>1302.0966402537597</v>
      </c>
      <c r="N910" s="141"/>
      <c r="R910" s="282"/>
      <c r="S910" s="282"/>
      <c r="T910" s="282"/>
      <c r="U910" s="282"/>
      <c r="V910" s="282"/>
      <c r="W910" s="282"/>
      <c r="X910" s="282"/>
      <c r="Y910" s="282"/>
      <c r="Z910" s="282"/>
      <c r="AA910" s="282"/>
    </row>
    <row r="911" spans="1:27" s="431" customFormat="1" outlineLevel="2" x14ac:dyDescent="0.25">
      <c r="A911" s="276">
        <f t="shared" si="328"/>
        <v>459</v>
      </c>
      <c r="B911" s="758" t="str">
        <f t="shared" si="329"/>
        <v>Teacher Assistant/Aide</v>
      </c>
      <c r="C911" s="561"/>
      <c r="D911" s="428"/>
      <c r="G911" s="1290">
        <f t="shared" si="330"/>
        <v>0</v>
      </c>
      <c r="H911" s="1290">
        <f t="shared" si="330"/>
        <v>0</v>
      </c>
      <c r="I911" s="1290">
        <f t="shared" si="330"/>
        <v>0</v>
      </c>
      <c r="J911" s="1290">
        <f t="shared" si="330"/>
        <v>1191.6028799999999</v>
      </c>
      <c r="K911" s="1290">
        <f t="shared" si="330"/>
        <v>1227.3509664000001</v>
      </c>
      <c r="L911" s="1290">
        <f t="shared" si="330"/>
        <v>1264.1714953919998</v>
      </c>
      <c r="M911" s="1290">
        <f t="shared" si="330"/>
        <v>1302.0966402537597</v>
      </c>
      <c r="N911" s="141"/>
      <c r="R911" s="282"/>
      <c r="S911" s="282"/>
      <c r="T911" s="282"/>
      <c r="U911" s="282"/>
      <c r="V911" s="282"/>
      <c r="W911" s="282"/>
      <c r="X911" s="282"/>
      <c r="Y911" s="282"/>
      <c r="Z911" s="282"/>
      <c r="AA911" s="282"/>
    </row>
    <row r="912" spans="1:27" s="431" customFormat="1" outlineLevel="2" x14ac:dyDescent="0.25">
      <c r="A912" s="276">
        <f t="shared" si="328"/>
        <v>460</v>
      </c>
      <c r="B912" s="758" t="str">
        <f t="shared" si="329"/>
        <v>Teacher Assistant/Aide</v>
      </c>
      <c r="C912" s="561"/>
      <c r="D912" s="428"/>
      <c r="G912" s="1290">
        <f t="shared" si="330"/>
        <v>0</v>
      </c>
      <c r="H912" s="1290">
        <f t="shared" si="330"/>
        <v>0</v>
      </c>
      <c r="I912" s="1290">
        <f t="shared" si="330"/>
        <v>0</v>
      </c>
      <c r="J912" s="1290">
        <f t="shared" si="330"/>
        <v>0</v>
      </c>
      <c r="K912" s="1290">
        <f t="shared" si="330"/>
        <v>1250.9538696</v>
      </c>
      <c r="L912" s="1290">
        <f t="shared" si="330"/>
        <v>1288.4824856879998</v>
      </c>
      <c r="M912" s="1290">
        <f t="shared" si="330"/>
        <v>1327.1369602586399</v>
      </c>
      <c r="N912" s="141"/>
      <c r="R912" s="282"/>
      <c r="S912" s="282"/>
      <c r="T912" s="282"/>
      <c r="U912" s="282"/>
      <c r="V912" s="282"/>
      <c r="W912" s="282"/>
      <c r="X912" s="282"/>
      <c r="Y912" s="282"/>
      <c r="Z912" s="282"/>
      <c r="AA912" s="282"/>
    </row>
    <row r="913" spans="1:27" s="431" customFormat="1" outlineLevel="2" x14ac:dyDescent="0.25">
      <c r="A913" s="276">
        <f t="shared" si="328"/>
        <v>461</v>
      </c>
      <c r="B913" s="758" t="str">
        <f t="shared" si="329"/>
        <v>Teacher Assistant/Aide</v>
      </c>
      <c r="C913" s="561"/>
      <c r="D913" s="428"/>
      <c r="G913" s="1290">
        <f t="shared" si="330"/>
        <v>0</v>
      </c>
      <c r="H913" s="1290">
        <f t="shared" si="330"/>
        <v>0</v>
      </c>
      <c r="I913" s="1290">
        <f t="shared" si="330"/>
        <v>0</v>
      </c>
      <c r="J913" s="1290">
        <f t="shared" si="330"/>
        <v>0</v>
      </c>
      <c r="K913" s="1290">
        <f t="shared" si="330"/>
        <v>1250.9538696</v>
      </c>
      <c r="L913" s="1290">
        <f t="shared" si="330"/>
        <v>1288.4824856879998</v>
      </c>
      <c r="M913" s="1290">
        <f t="shared" si="330"/>
        <v>1327.1369602586399</v>
      </c>
      <c r="N913" s="141"/>
      <c r="R913" s="282"/>
      <c r="S913" s="282"/>
      <c r="T913" s="282"/>
      <c r="U913" s="282"/>
      <c r="V913" s="282"/>
      <c r="W913" s="282"/>
      <c r="X913" s="282"/>
      <c r="Y913" s="282"/>
      <c r="Z913" s="282"/>
      <c r="AA913" s="282"/>
    </row>
    <row r="914" spans="1:27" s="431" customFormat="1" outlineLevel="2" x14ac:dyDescent="0.25">
      <c r="A914" s="276">
        <f t="shared" si="328"/>
        <v>462</v>
      </c>
      <c r="B914" s="703" t="str">
        <f t="shared" si="329"/>
        <v>Total ELL Teachers</v>
      </c>
      <c r="C914" s="733"/>
      <c r="D914" s="701"/>
      <c r="E914" s="750"/>
      <c r="F914" s="750"/>
      <c r="G914" s="1291">
        <f>SUM(G893:G913)</f>
        <v>0</v>
      </c>
      <c r="H914" s="1291">
        <f t="shared" ref="H914:M914" si="331">SUM(H893:H913)</f>
        <v>14580</v>
      </c>
      <c r="I914" s="1291">
        <f t="shared" si="331"/>
        <v>22555.764000000003</v>
      </c>
      <c r="J914" s="1291">
        <f t="shared" si="331"/>
        <v>32319.681959999998</v>
      </c>
      <c r="K914" s="1291">
        <f t="shared" si="331"/>
        <v>41560.778718000001</v>
      </c>
      <c r="L914" s="1291">
        <f t="shared" si="331"/>
        <v>48451.803659928002</v>
      </c>
      <c r="M914" s="1291">
        <f t="shared" si="331"/>
        <v>55814.177726432936</v>
      </c>
      <c r="N914" s="141"/>
      <c r="R914" s="282"/>
      <c r="S914" s="282"/>
      <c r="T914" s="282"/>
      <c r="U914" s="282"/>
      <c r="V914" s="282"/>
      <c r="W914" s="282"/>
      <c r="X914" s="282"/>
      <c r="Y914" s="282"/>
      <c r="Z914" s="282"/>
      <c r="AA914" s="282"/>
    </row>
    <row r="915" spans="1:27" s="431" customFormat="1" outlineLevel="2" x14ac:dyDescent="0.25">
      <c r="A915" s="276">
        <f>ROW(A464)</f>
        <v>464</v>
      </c>
      <c r="B915" s="428"/>
      <c r="C915" s="561"/>
      <c r="D915" s="428"/>
      <c r="G915" s="1290"/>
      <c r="H915" s="1290"/>
      <c r="I915" s="1290"/>
      <c r="J915" s="1290"/>
      <c r="K915" s="1290"/>
      <c r="L915" s="1290"/>
      <c r="M915" s="1290"/>
      <c r="N915" s="141"/>
      <c r="R915" s="282"/>
      <c r="S915" s="282"/>
      <c r="T915" s="282"/>
      <c r="U915" s="282"/>
      <c r="V915" s="282"/>
      <c r="W915" s="282"/>
      <c r="X915" s="282"/>
      <c r="Y915" s="282"/>
      <c r="Z915" s="282"/>
      <c r="AA915" s="282"/>
    </row>
    <row r="916" spans="1:27" s="428" customFormat="1" outlineLevel="2" x14ac:dyDescent="0.25">
      <c r="A916" s="276">
        <f t="shared" ref="A916:A947" si="332">ROW(A467)</f>
        <v>467</v>
      </c>
      <c r="B916" s="754" t="str">
        <f>$B311</f>
        <v>Guidance Counselor &amp; Other</v>
      </c>
      <c r="C916" s="755"/>
      <c r="D916" s="756"/>
      <c r="E916" s="757"/>
      <c r="F916" s="757"/>
      <c r="G916" s="1295"/>
      <c r="H916" s="1295"/>
      <c r="I916" s="1295"/>
      <c r="J916" s="1295"/>
      <c r="K916" s="1295"/>
      <c r="L916" s="1295"/>
      <c r="M916" s="1295"/>
      <c r="N916" s="168"/>
      <c r="R916" s="282"/>
      <c r="S916" s="282"/>
      <c r="T916" s="282"/>
      <c r="U916" s="282"/>
      <c r="V916" s="282"/>
      <c r="W916" s="282"/>
      <c r="X916" s="282"/>
      <c r="Y916" s="282"/>
      <c r="Z916" s="282"/>
      <c r="AA916" s="282"/>
    </row>
    <row r="917" spans="1:27" s="428" customFormat="1" outlineLevel="2" x14ac:dyDescent="0.25">
      <c r="A917" s="276">
        <f t="shared" si="332"/>
        <v>468</v>
      </c>
      <c r="B917" s="758" t="str">
        <f>$B312</f>
        <v xml:space="preserve">Guidance Counselor </v>
      </c>
      <c r="C917" s="560"/>
      <c r="D917" s="429"/>
      <c r="G917" s="1290">
        <f t="shared" ref="G917:M918" si="333">G312*$C$92</f>
        <v>0</v>
      </c>
      <c r="H917" s="1290">
        <f t="shared" si="333"/>
        <v>0</v>
      </c>
      <c r="I917" s="1290">
        <f t="shared" si="333"/>
        <v>0</v>
      </c>
      <c r="J917" s="1290">
        <f t="shared" si="333"/>
        <v>3500.97</v>
      </c>
      <c r="K917" s="1290">
        <f t="shared" si="333"/>
        <v>3605.9991</v>
      </c>
      <c r="L917" s="1290">
        <f t="shared" si="333"/>
        <v>3714.1790729999993</v>
      </c>
      <c r="M917" s="1290">
        <f t="shared" si="333"/>
        <v>3825.6044451899993</v>
      </c>
      <c r="N917" s="168"/>
      <c r="R917" s="282"/>
      <c r="S917" s="282"/>
      <c r="T917" s="282"/>
      <c r="U917" s="282"/>
      <c r="V917" s="282"/>
      <c r="W917" s="282"/>
      <c r="X917" s="282"/>
      <c r="Y917" s="282"/>
      <c r="Z917" s="282"/>
      <c r="AA917" s="282"/>
    </row>
    <row r="918" spans="1:27" s="428" customFormat="1" outlineLevel="2" x14ac:dyDescent="0.25">
      <c r="A918" s="276">
        <f t="shared" si="332"/>
        <v>469</v>
      </c>
      <c r="B918" s="758" t="str">
        <f>$B313</f>
        <v>Guidance Counselor</v>
      </c>
      <c r="C918" s="560"/>
      <c r="D918" s="429"/>
      <c r="G918" s="1290">
        <f t="shared" si="333"/>
        <v>0</v>
      </c>
      <c r="H918" s="1290">
        <f t="shared" si="333"/>
        <v>0</v>
      </c>
      <c r="I918" s="1290">
        <f t="shared" si="333"/>
        <v>0</v>
      </c>
      <c r="J918" s="1290">
        <f t="shared" si="333"/>
        <v>0</v>
      </c>
      <c r="K918" s="1290">
        <f t="shared" si="333"/>
        <v>0</v>
      </c>
      <c r="L918" s="1290">
        <f t="shared" si="333"/>
        <v>3714.1790729999993</v>
      </c>
      <c r="M918" s="1290">
        <f t="shared" si="333"/>
        <v>3825.6044451899993</v>
      </c>
      <c r="N918" s="168"/>
      <c r="R918" s="282"/>
      <c r="S918" s="282"/>
      <c r="T918" s="282"/>
      <c r="U918" s="282"/>
      <c r="V918" s="282"/>
      <c r="W918" s="282"/>
      <c r="X918" s="282"/>
      <c r="Y918" s="282"/>
      <c r="Z918" s="282"/>
      <c r="AA918" s="282"/>
    </row>
    <row r="919" spans="1:27" s="428" customFormat="1" outlineLevel="2" x14ac:dyDescent="0.25">
      <c r="A919" s="276">
        <f t="shared" si="332"/>
        <v>470</v>
      </c>
      <c r="B919" s="758" t="str">
        <f t="shared" ref="B919:B925" si="334">$B314</f>
        <v>Curriculum Coach</v>
      </c>
      <c r="C919" s="560"/>
      <c r="D919" s="429"/>
      <c r="G919" s="1290">
        <f t="shared" ref="G919:M919" si="335">G314*$C$92</f>
        <v>0</v>
      </c>
      <c r="H919" s="1290">
        <f t="shared" si="335"/>
        <v>0</v>
      </c>
      <c r="I919" s="1290">
        <f t="shared" si="335"/>
        <v>0</v>
      </c>
      <c r="J919" s="1290">
        <f t="shared" si="335"/>
        <v>0</v>
      </c>
      <c r="K919" s="1290">
        <f t="shared" si="335"/>
        <v>3737.1263399999998</v>
      </c>
      <c r="L919" s="1290">
        <f t="shared" si="335"/>
        <v>3849.2401301999994</v>
      </c>
      <c r="M919" s="1290">
        <f t="shared" si="335"/>
        <v>3964.7173341059993</v>
      </c>
      <c r="N919" s="168"/>
      <c r="R919" s="282"/>
      <c r="S919" s="282"/>
      <c r="T919" s="282"/>
      <c r="U919" s="282"/>
      <c r="V919" s="282"/>
      <c r="W919" s="282"/>
      <c r="X919" s="282"/>
      <c r="Y919" s="282"/>
      <c r="Z919" s="282"/>
      <c r="AA919" s="282"/>
    </row>
    <row r="920" spans="1:27" s="428" customFormat="1" outlineLevel="2" x14ac:dyDescent="0.25">
      <c r="A920" s="276">
        <f t="shared" si="332"/>
        <v>471</v>
      </c>
      <c r="B920" s="758" t="str">
        <f t="shared" si="334"/>
        <v>School Nurse</v>
      </c>
      <c r="C920" s="560"/>
      <c r="D920" s="429"/>
      <c r="G920" s="1290">
        <f t="shared" ref="G920:M920" si="336">G315*$C$92</f>
        <v>0</v>
      </c>
      <c r="H920" s="1290">
        <f t="shared" si="336"/>
        <v>0</v>
      </c>
      <c r="I920" s="1290">
        <f t="shared" si="336"/>
        <v>0</v>
      </c>
      <c r="J920" s="1290">
        <f t="shared" si="336"/>
        <v>0</v>
      </c>
      <c r="K920" s="1290">
        <f t="shared" si="336"/>
        <v>2622.5448000000001</v>
      </c>
      <c r="L920" s="1290">
        <f t="shared" si="336"/>
        <v>2701.2211439999996</v>
      </c>
      <c r="M920" s="1290">
        <f t="shared" si="336"/>
        <v>2782.2577783199995</v>
      </c>
      <c r="N920" s="168"/>
      <c r="R920" s="282"/>
      <c r="S920" s="282"/>
      <c r="T920" s="282"/>
      <c r="U920" s="282"/>
      <c r="V920" s="282"/>
      <c r="W920" s="282"/>
      <c r="X920" s="282"/>
      <c r="Y920" s="282"/>
      <c r="Z920" s="282"/>
      <c r="AA920" s="282"/>
    </row>
    <row r="921" spans="1:27" s="428" customFormat="1" outlineLevel="2" x14ac:dyDescent="0.25">
      <c r="A921" s="276">
        <f t="shared" si="332"/>
        <v>472</v>
      </c>
      <c r="B921" s="758" t="str">
        <f t="shared" si="334"/>
        <v>NSLP/Cafeteria Manager</v>
      </c>
      <c r="C921" s="560"/>
      <c r="D921" s="429"/>
      <c r="G921" s="1290">
        <f t="shared" ref="G921:M921" si="337">G316*$C$92</f>
        <v>0</v>
      </c>
      <c r="H921" s="1290">
        <f t="shared" si="337"/>
        <v>1209.5999999999999</v>
      </c>
      <c r="I921" s="1290">
        <f t="shared" si="337"/>
        <v>1245.8879999999999</v>
      </c>
      <c r="J921" s="1290">
        <f t="shared" si="337"/>
        <v>1283.2646399999999</v>
      </c>
      <c r="K921" s="1290">
        <f t="shared" si="337"/>
        <v>1321.7625791999999</v>
      </c>
      <c r="L921" s="1290">
        <f t="shared" si="337"/>
        <v>1361.4154565759998</v>
      </c>
      <c r="M921" s="1290">
        <f t="shared" si="337"/>
        <v>1402.2579202732798</v>
      </c>
      <c r="N921" s="168"/>
      <c r="R921" s="282"/>
      <c r="S921" s="282"/>
      <c r="T921" s="282"/>
      <c r="U921" s="282"/>
      <c r="V921" s="282"/>
      <c r="W921" s="282"/>
      <c r="X921" s="282"/>
      <c r="Y921" s="282"/>
      <c r="Z921" s="282"/>
      <c r="AA921" s="282"/>
    </row>
    <row r="922" spans="1:27" s="428" customFormat="1" outlineLevel="2" x14ac:dyDescent="0.25">
      <c r="A922" s="276">
        <f t="shared" si="332"/>
        <v>473</v>
      </c>
      <c r="B922" s="758" t="str">
        <f t="shared" si="334"/>
        <v>Campus Monitor/Custodian</v>
      </c>
      <c r="C922" s="560"/>
      <c r="D922" s="429"/>
      <c r="G922" s="1290">
        <f t="shared" ref="G922:M922" si="338">G317*$C$92</f>
        <v>0</v>
      </c>
      <c r="H922" s="1290">
        <f t="shared" si="338"/>
        <v>0</v>
      </c>
      <c r="I922" s="1290">
        <f t="shared" si="338"/>
        <v>1601.856</v>
      </c>
      <c r="J922" s="1290">
        <f t="shared" si="338"/>
        <v>1649.9116799999999</v>
      </c>
      <c r="K922" s="1290">
        <f t="shared" si="338"/>
        <v>1699.4090303999999</v>
      </c>
      <c r="L922" s="1290">
        <f t="shared" si="338"/>
        <v>1750.3913013119998</v>
      </c>
      <c r="M922" s="1290">
        <f t="shared" si="338"/>
        <v>1802.9030403513596</v>
      </c>
      <c r="N922" s="168"/>
      <c r="R922" s="282"/>
      <c r="S922" s="282"/>
      <c r="T922" s="282"/>
      <c r="U922" s="282"/>
      <c r="V922" s="282"/>
      <c r="W922" s="282"/>
      <c r="X922" s="282"/>
      <c r="Y922" s="282"/>
      <c r="Z922" s="282"/>
      <c r="AA922" s="282"/>
    </row>
    <row r="923" spans="1:27" s="428" customFormat="1" outlineLevel="2" x14ac:dyDescent="0.25">
      <c r="A923" s="276">
        <f t="shared" si="332"/>
        <v>474</v>
      </c>
      <c r="B923" s="758" t="str">
        <f t="shared" si="334"/>
        <v xml:space="preserve">Receptionist </v>
      </c>
      <c r="C923" s="560"/>
      <c r="D923" s="429"/>
      <c r="G923" s="1290">
        <f t="shared" ref="G923:M923" si="339">G318*$C$92</f>
        <v>0</v>
      </c>
      <c r="H923" s="1290">
        <f t="shared" si="339"/>
        <v>1101.5999999999999</v>
      </c>
      <c r="I923" s="1290">
        <f t="shared" si="339"/>
        <v>1134.6479999999999</v>
      </c>
      <c r="J923" s="1290">
        <f t="shared" si="339"/>
        <v>1168.6874399999999</v>
      </c>
      <c r="K923" s="1290">
        <f t="shared" si="339"/>
        <v>1203.7480631999999</v>
      </c>
      <c r="L923" s="1290">
        <f t="shared" si="339"/>
        <v>1239.8605050959998</v>
      </c>
      <c r="M923" s="1290">
        <f t="shared" si="339"/>
        <v>1277.05632024888</v>
      </c>
      <c r="N923" s="168"/>
      <c r="R923" s="282"/>
      <c r="S923" s="282"/>
      <c r="T923" s="282"/>
      <c r="U923" s="282"/>
      <c r="V923" s="282"/>
      <c r="W923" s="282"/>
      <c r="X923" s="282"/>
      <c r="Y923" s="282"/>
      <c r="Z923" s="282"/>
      <c r="AA923" s="282"/>
    </row>
    <row r="924" spans="1:27" s="428" customFormat="1" outlineLevel="2" x14ac:dyDescent="0.25">
      <c r="A924" s="276">
        <f t="shared" si="332"/>
        <v>475</v>
      </c>
      <c r="B924" s="758" t="str">
        <f t="shared" si="334"/>
        <v>Clinic Aide / FASA</v>
      </c>
      <c r="C924" s="560"/>
      <c r="D924" s="429"/>
      <c r="G924" s="1290">
        <f t="shared" ref="G924:M924" si="340">G319*$C$92</f>
        <v>0</v>
      </c>
      <c r="H924" s="1290">
        <f t="shared" si="340"/>
        <v>0</v>
      </c>
      <c r="I924" s="1290">
        <f t="shared" si="340"/>
        <v>0</v>
      </c>
      <c r="J924" s="1290">
        <f t="shared" si="340"/>
        <v>1214.5183199999999</v>
      </c>
      <c r="K924" s="1290">
        <f t="shared" si="340"/>
        <v>1250.9538696</v>
      </c>
      <c r="L924" s="1290">
        <f t="shared" si="340"/>
        <v>1288.4824856879998</v>
      </c>
      <c r="M924" s="1290">
        <f t="shared" si="340"/>
        <v>1327.1369602586399</v>
      </c>
      <c r="N924" s="168"/>
      <c r="R924" s="282"/>
      <c r="S924" s="282"/>
      <c r="T924" s="282"/>
      <c r="U924" s="282"/>
      <c r="V924" s="282"/>
      <c r="W924" s="282"/>
      <c r="X924" s="282"/>
      <c r="Y924" s="282"/>
      <c r="Z924" s="282"/>
      <c r="AA924" s="282"/>
    </row>
    <row r="925" spans="1:27" s="428" customFormat="1" outlineLevel="2" x14ac:dyDescent="0.25">
      <c r="A925" s="276">
        <f t="shared" si="332"/>
        <v>476</v>
      </c>
      <c r="B925" s="758">
        <f t="shared" si="334"/>
        <v>0</v>
      </c>
      <c r="C925" s="560"/>
      <c r="D925" s="429"/>
      <c r="G925" s="1290">
        <f t="shared" ref="G925:M925" si="341">G320*$C$92</f>
        <v>0</v>
      </c>
      <c r="H925" s="1290">
        <f t="shared" si="341"/>
        <v>0</v>
      </c>
      <c r="I925" s="1290">
        <f t="shared" si="341"/>
        <v>0</v>
      </c>
      <c r="J925" s="1290">
        <f t="shared" si="341"/>
        <v>0</v>
      </c>
      <c r="K925" s="1290">
        <f t="shared" si="341"/>
        <v>0</v>
      </c>
      <c r="L925" s="1290">
        <f t="shared" si="341"/>
        <v>0</v>
      </c>
      <c r="M925" s="1290">
        <f t="shared" si="341"/>
        <v>0</v>
      </c>
      <c r="N925" s="168"/>
      <c r="R925" s="282"/>
      <c r="S925" s="282"/>
      <c r="T925" s="282"/>
      <c r="U925" s="282"/>
      <c r="V925" s="282"/>
      <c r="W925" s="282"/>
      <c r="X925" s="282"/>
      <c r="Y925" s="282"/>
      <c r="Z925" s="282"/>
      <c r="AA925" s="282"/>
    </row>
    <row r="926" spans="1:27" s="428" customFormat="1" outlineLevel="2" x14ac:dyDescent="0.25">
      <c r="A926" s="276">
        <f t="shared" si="332"/>
        <v>477</v>
      </c>
      <c r="B926" s="1364" t="str">
        <f>$B321</f>
        <v>Total Guidance Counselors/Other</v>
      </c>
      <c r="C926" s="733"/>
      <c r="D926" s="753"/>
      <c r="E926" s="703"/>
      <c r="F926" s="703"/>
      <c r="G926" s="1296">
        <f t="shared" ref="G926:M926" si="342">G321*$C$92</f>
        <v>0</v>
      </c>
      <c r="H926" s="1296">
        <f t="shared" si="342"/>
        <v>2311.1999999999998</v>
      </c>
      <c r="I926" s="1296">
        <f t="shared" si="342"/>
        <v>3982.3919999999998</v>
      </c>
      <c r="J926" s="1296">
        <f t="shared" si="342"/>
        <v>8817.3520799999988</v>
      </c>
      <c r="K926" s="1296">
        <f t="shared" si="342"/>
        <v>15441.5437824</v>
      </c>
      <c r="L926" s="1296">
        <f t="shared" si="342"/>
        <v>19618.969168871998</v>
      </c>
      <c r="M926" s="1296">
        <f t="shared" si="342"/>
        <v>20207.538243938157</v>
      </c>
      <c r="N926" s="168"/>
      <c r="R926" s="282"/>
      <c r="S926" s="282"/>
      <c r="T926" s="282"/>
      <c r="U926" s="282"/>
      <c r="V926" s="282"/>
      <c r="W926" s="282"/>
      <c r="X926" s="282"/>
      <c r="Y926" s="282"/>
      <c r="Z926" s="282"/>
      <c r="AA926" s="282"/>
    </row>
    <row r="927" spans="1:27" s="428" customFormat="1" outlineLevel="2" x14ac:dyDescent="0.25">
      <c r="A927" s="276">
        <f t="shared" si="332"/>
        <v>478</v>
      </c>
      <c r="B927" s="758"/>
      <c r="C927" s="560"/>
      <c r="D927" s="429"/>
      <c r="G927" s="1290"/>
      <c r="H927" s="1290"/>
      <c r="I927" s="1290"/>
      <c r="J927" s="1290"/>
      <c r="K927" s="1290"/>
      <c r="L927" s="1290"/>
      <c r="M927" s="1290"/>
      <c r="N927" s="168"/>
      <c r="R927" s="282"/>
      <c r="S927" s="282"/>
      <c r="T927" s="282"/>
      <c r="U927" s="282"/>
      <c r="V927" s="282"/>
      <c r="W927" s="282"/>
      <c r="X927" s="282"/>
      <c r="Y927" s="282"/>
      <c r="Z927" s="282"/>
      <c r="AA927" s="282"/>
    </row>
    <row r="928" spans="1:27" s="428" customFormat="1" outlineLevel="2" x14ac:dyDescent="0.25">
      <c r="A928" s="276">
        <f t="shared" si="332"/>
        <v>479</v>
      </c>
      <c r="B928" s="758" t="str">
        <f>$B323</f>
        <v>Kindergarten Teacher</v>
      </c>
      <c r="C928" s="560"/>
      <c r="D928" s="429"/>
      <c r="G928" s="1290">
        <f t="shared" ref="G928:M930" si="343">G323*$C$92</f>
        <v>0</v>
      </c>
      <c r="H928" s="1290">
        <f t="shared" si="343"/>
        <v>2520</v>
      </c>
      <c r="I928" s="1290">
        <f t="shared" si="343"/>
        <v>2595.6</v>
      </c>
      <c r="J928" s="1290">
        <f t="shared" si="343"/>
        <v>2673.4679999999998</v>
      </c>
      <c r="K928" s="1290">
        <f t="shared" si="343"/>
        <v>2753.6720399999999</v>
      </c>
      <c r="L928" s="1290">
        <f t="shared" si="343"/>
        <v>2836.2822011999997</v>
      </c>
      <c r="M928" s="1290">
        <f t="shared" si="343"/>
        <v>2921.3706672359995</v>
      </c>
      <c r="N928" s="168"/>
      <c r="R928" s="282"/>
      <c r="S928" s="282"/>
      <c r="T928" s="282"/>
      <c r="U928" s="282"/>
      <c r="V928" s="282"/>
      <c r="W928" s="282"/>
      <c r="X928" s="282"/>
      <c r="Y928" s="282"/>
      <c r="Z928" s="282"/>
      <c r="AA928" s="282"/>
    </row>
    <row r="929" spans="1:27" s="428" customFormat="1" outlineLevel="2" x14ac:dyDescent="0.25">
      <c r="A929" s="276">
        <f t="shared" si="332"/>
        <v>480</v>
      </c>
      <c r="B929" s="758" t="str">
        <f>$B324</f>
        <v>Kindergarten Teacher</v>
      </c>
      <c r="C929" s="560"/>
      <c r="D929" s="429"/>
      <c r="G929" s="1290">
        <f t="shared" si="343"/>
        <v>0</v>
      </c>
      <c r="H929" s="1290">
        <f t="shared" si="343"/>
        <v>2520</v>
      </c>
      <c r="I929" s="1290">
        <f t="shared" si="343"/>
        <v>2595.6</v>
      </c>
      <c r="J929" s="1290">
        <f t="shared" si="343"/>
        <v>2673.4679999999998</v>
      </c>
      <c r="K929" s="1290">
        <f t="shared" si="343"/>
        <v>2753.6720399999999</v>
      </c>
      <c r="L929" s="1290">
        <f t="shared" si="343"/>
        <v>2836.2822011999997</v>
      </c>
      <c r="M929" s="1290">
        <f t="shared" si="343"/>
        <v>2921.3706672359995</v>
      </c>
      <c r="N929" s="168"/>
      <c r="R929" s="282"/>
      <c r="S929" s="282"/>
      <c r="T929" s="282"/>
      <c r="U929" s="282"/>
      <c r="V929" s="282"/>
      <c r="W929" s="282"/>
      <c r="X929" s="282"/>
      <c r="Y929" s="282"/>
      <c r="Z929" s="282"/>
      <c r="AA929" s="282"/>
    </row>
    <row r="930" spans="1:27" s="428" customFormat="1" outlineLevel="2" x14ac:dyDescent="0.25">
      <c r="A930" s="276">
        <f t="shared" si="332"/>
        <v>481</v>
      </c>
      <c r="B930" s="758" t="str">
        <f>$B325</f>
        <v>Kindergarten Teacher</v>
      </c>
      <c r="C930" s="560"/>
      <c r="D930" s="429"/>
      <c r="G930" s="1290">
        <f t="shared" si="343"/>
        <v>0</v>
      </c>
      <c r="H930" s="1290">
        <f t="shared" si="343"/>
        <v>2520</v>
      </c>
      <c r="I930" s="1290">
        <f t="shared" si="343"/>
        <v>2595.6</v>
      </c>
      <c r="J930" s="1290">
        <f t="shared" si="343"/>
        <v>2673.4679999999998</v>
      </c>
      <c r="K930" s="1290">
        <f t="shared" si="343"/>
        <v>2753.6720399999999</v>
      </c>
      <c r="L930" s="1290">
        <f t="shared" si="343"/>
        <v>2836.2822011999997</v>
      </c>
      <c r="M930" s="1290">
        <f t="shared" si="343"/>
        <v>2921.3706672359995</v>
      </c>
      <c r="N930" s="168"/>
      <c r="R930" s="282"/>
      <c r="S930" s="282"/>
      <c r="T930" s="282"/>
      <c r="U930" s="282"/>
      <c r="V930" s="282"/>
      <c r="W930" s="282"/>
      <c r="X930" s="282"/>
      <c r="Y930" s="282"/>
      <c r="Z930" s="282"/>
      <c r="AA930" s="282"/>
    </row>
    <row r="931" spans="1:27" s="428" customFormat="1" outlineLevel="2" x14ac:dyDescent="0.25">
      <c r="A931" s="276">
        <f t="shared" si="332"/>
        <v>482</v>
      </c>
      <c r="B931" s="758"/>
      <c r="C931" s="560"/>
      <c r="D931" s="429"/>
      <c r="G931" s="1290"/>
      <c r="H931" s="1290"/>
      <c r="I931" s="1290"/>
      <c r="J931" s="1290"/>
      <c r="K931" s="1290"/>
      <c r="L931" s="1290"/>
      <c r="M931" s="1290"/>
      <c r="N931" s="168"/>
      <c r="R931" s="282"/>
      <c r="S931" s="282"/>
      <c r="T931" s="282"/>
      <c r="U931" s="282"/>
      <c r="V931" s="282"/>
      <c r="W931" s="282"/>
      <c r="X931" s="282"/>
      <c r="Y931" s="282"/>
      <c r="Z931" s="282"/>
      <c r="AA931" s="282"/>
    </row>
    <row r="932" spans="1:27" s="428" customFormat="1" outlineLevel="2" x14ac:dyDescent="0.25">
      <c r="A932" s="276">
        <f t="shared" si="332"/>
        <v>483</v>
      </c>
      <c r="B932" s="758" t="str">
        <f>$B327</f>
        <v>Kindergarten Teacher</v>
      </c>
      <c r="C932" s="560"/>
      <c r="D932" s="429"/>
      <c r="G932" s="1290">
        <f t="shared" ref="G932:M936" si="344">G327*$C$92</f>
        <v>0</v>
      </c>
      <c r="H932" s="1290">
        <f t="shared" si="344"/>
        <v>2520</v>
      </c>
      <c r="I932" s="1290">
        <f t="shared" si="344"/>
        <v>2595.6</v>
      </c>
      <c r="J932" s="1290">
        <f t="shared" si="344"/>
        <v>2673.4679999999998</v>
      </c>
      <c r="K932" s="1290">
        <f t="shared" si="344"/>
        <v>2753.6720399999999</v>
      </c>
      <c r="L932" s="1290">
        <f t="shared" si="344"/>
        <v>2836.2822011999997</v>
      </c>
      <c r="M932" s="1290">
        <f t="shared" si="344"/>
        <v>2921.3706672359995</v>
      </c>
      <c r="N932" s="168"/>
      <c r="R932" s="282"/>
      <c r="S932" s="282"/>
      <c r="T932" s="282"/>
      <c r="U932" s="282"/>
      <c r="V932" s="282"/>
      <c r="W932" s="282"/>
      <c r="X932" s="282"/>
      <c r="Y932" s="282"/>
      <c r="Z932" s="282"/>
      <c r="AA932" s="282"/>
    </row>
    <row r="933" spans="1:27" s="428" customFormat="1" outlineLevel="2" x14ac:dyDescent="0.25">
      <c r="A933" s="276">
        <f t="shared" si="332"/>
        <v>484</v>
      </c>
      <c r="B933" s="758" t="str">
        <f>$B328</f>
        <v>1st Grade Teacher</v>
      </c>
      <c r="C933" s="560"/>
      <c r="D933" s="429"/>
      <c r="G933" s="1290">
        <f t="shared" si="344"/>
        <v>0</v>
      </c>
      <c r="H933" s="1290">
        <f t="shared" si="344"/>
        <v>2520</v>
      </c>
      <c r="I933" s="1290">
        <f t="shared" si="344"/>
        <v>2595.6</v>
      </c>
      <c r="J933" s="1290">
        <f t="shared" si="344"/>
        <v>2673.4679999999998</v>
      </c>
      <c r="K933" s="1290">
        <f t="shared" si="344"/>
        <v>2753.6720399999999</v>
      </c>
      <c r="L933" s="1290">
        <f t="shared" si="344"/>
        <v>2836.2822011999997</v>
      </c>
      <c r="M933" s="1290">
        <f t="shared" si="344"/>
        <v>2921.3706672359995</v>
      </c>
      <c r="N933" s="168"/>
      <c r="R933" s="282"/>
      <c r="S933" s="282"/>
      <c r="T933" s="282"/>
      <c r="U933" s="282"/>
      <c r="V933" s="282"/>
      <c r="W933" s="282"/>
      <c r="X933" s="282"/>
      <c r="Y933" s="282"/>
      <c r="Z933" s="282"/>
      <c r="AA933" s="282"/>
    </row>
    <row r="934" spans="1:27" s="428" customFormat="1" outlineLevel="2" x14ac:dyDescent="0.25">
      <c r="A934" s="276">
        <f t="shared" si="332"/>
        <v>485</v>
      </c>
      <c r="B934" s="758" t="str">
        <f>$B329</f>
        <v>1st Grade Teacher</v>
      </c>
      <c r="C934" s="560"/>
      <c r="D934" s="429"/>
      <c r="G934" s="1290">
        <f t="shared" si="344"/>
        <v>0</v>
      </c>
      <c r="H934" s="1290">
        <f t="shared" si="344"/>
        <v>2520</v>
      </c>
      <c r="I934" s="1290">
        <f t="shared" si="344"/>
        <v>2595.6</v>
      </c>
      <c r="J934" s="1290">
        <f t="shared" si="344"/>
        <v>2673.4679999999998</v>
      </c>
      <c r="K934" s="1290">
        <f t="shared" si="344"/>
        <v>2753.6720399999999</v>
      </c>
      <c r="L934" s="1290">
        <f t="shared" si="344"/>
        <v>2836.2822011999997</v>
      </c>
      <c r="M934" s="1290">
        <f t="shared" si="344"/>
        <v>2921.3706672359995</v>
      </c>
      <c r="N934" s="168"/>
      <c r="R934" s="282"/>
      <c r="S934" s="282"/>
      <c r="T934" s="282"/>
      <c r="U934" s="282"/>
      <c r="V934" s="282"/>
      <c r="W934" s="282"/>
      <c r="X934" s="282"/>
      <c r="Y934" s="282"/>
      <c r="Z934" s="282"/>
      <c r="AA934" s="282"/>
    </row>
    <row r="935" spans="1:27" s="428" customFormat="1" outlineLevel="2" x14ac:dyDescent="0.25">
      <c r="A935" s="276">
        <f t="shared" si="332"/>
        <v>486</v>
      </c>
      <c r="B935" s="758" t="str">
        <f>$B330</f>
        <v>1st Grade Teacher</v>
      </c>
      <c r="C935" s="560"/>
      <c r="D935" s="429"/>
      <c r="G935" s="1290">
        <f t="shared" si="344"/>
        <v>0</v>
      </c>
      <c r="H935" s="1290">
        <f t="shared" si="344"/>
        <v>0</v>
      </c>
      <c r="I935" s="1290">
        <f t="shared" si="344"/>
        <v>2634.5340000000001</v>
      </c>
      <c r="J935" s="1290">
        <f t="shared" si="344"/>
        <v>2713.5700200000001</v>
      </c>
      <c r="K935" s="1290">
        <f t="shared" si="344"/>
        <v>2794.9771206</v>
      </c>
      <c r="L935" s="1290">
        <f t="shared" si="344"/>
        <v>2878.8264342179996</v>
      </c>
      <c r="M935" s="1290">
        <f t="shared" si="344"/>
        <v>2965.1912272445397</v>
      </c>
      <c r="N935" s="168"/>
      <c r="R935" s="282"/>
      <c r="S935" s="282"/>
      <c r="T935" s="282"/>
      <c r="U935" s="282"/>
      <c r="V935" s="282"/>
      <c r="W935" s="282"/>
      <c r="X935" s="282"/>
      <c r="Y935" s="282"/>
      <c r="Z935" s="282"/>
      <c r="AA935" s="282"/>
    </row>
    <row r="936" spans="1:27" s="431" customFormat="1" outlineLevel="2" x14ac:dyDescent="0.25">
      <c r="A936" s="276">
        <f t="shared" si="332"/>
        <v>487</v>
      </c>
      <c r="B936" s="758" t="str">
        <f>$B331</f>
        <v>1st Grade Teacher</v>
      </c>
      <c r="C936" s="560"/>
      <c r="D936" s="429"/>
      <c r="G936" s="1290">
        <f t="shared" si="344"/>
        <v>0</v>
      </c>
      <c r="H936" s="1290">
        <f t="shared" si="344"/>
        <v>0</v>
      </c>
      <c r="I936" s="1290">
        <f t="shared" si="344"/>
        <v>2634.5340000000001</v>
      </c>
      <c r="J936" s="1290">
        <f t="shared" si="344"/>
        <v>2713.5700200000001</v>
      </c>
      <c r="K936" s="1290">
        <f t="shared" si="344"/>
        <v>2794.9771206</v>
      </c>
      <c r="L936" s="1290">
        <f t="shared" si="344"/>
        <v>2878.8264342179996</v>
      </c>
      <c r="M936" s="1290">
        <f t="shared" si="344"/>
        <v>2965.1912272445397</v>
      </c>
      <c r="N936" s="141"/>
      <c r="R936" s="282"/>
      <c r="S936" s="282"/>
      <c r="T936" s="282"/>
      <c r="U936" s="282"/>
      <c r="V936" s="282"/>
      <c r="W936" s="282"/>
      <c r="X936" s="282"/>
      <c r="Y936" s="282"/>
      <c r="Z936" s="282"/>
      <c r="AA936" s="282"/>
    </row>
    <row r="937" spans="1:27" s="431" customFormat="1" outlineLevel="2" x14ac:dyDescent="0.25">
      <c r="A937" s="276">
        <f t="shared" si="332"/>
        <v>488</v>
      </c>
      <c r="B937" s="758"/>
      <c r="C937" s="561"/>
      <c r="D937" s="428"/>
      <c r="G937" s="1290"/>
      <c r="H937" s="1290"/>
      <c r="I937" s="1290"/>
      <c r="J937" s="1290"/>
      <c r="K937" s="1290"/>
      <c r="L937" s="1290"/>
      <c r="M937" s="1290"/>
      <c r="N937" s="141"/>
      <c r="R937" s="282"/>
      <c r="S937" s="282"/>
      <c r="T937" s="282"/>
      <c r="U937" s="282"/>
      <c r="V937" s="282"/>
      <c r="W937" s="282"/>
      <c r="X937" s="282"/>
      <c r="Y937" s="282"/>
      <c r="Z937" s="282"/>
      <c r="AA937" s="282"/>
    </row>
    <row r="938" spans="1:27" s="428" customFormat="1" outlineLevel="2" x14ac:dyDescent="0.25">
      <c r="A938" s="276">
        <f t="shared" si="332"/>
        <v>489</v>
      </c>
      <c r="B938" s="758" t="str">
        <f>$B333</f>
        <v>2nd Grade Teacher</v>
      </c>
      <c r="C938" s="560"/>
      <c r="D938" s="429"/>
      <c r="G938" s="1290">
        <f t="shared" ref="G938:M942" si="345">G333*$C$92</f>
        <v>0</v>
      </c>
      <c r="H938" s="1290">
        <f t="shared" si="345"/>
        <v>2520</v>
      </c>
      <c r="I938" s="1290">
        <f t="shared" si="345"/>
        <v>2595.6</v>
      </c>
      <c r="J938" s="1290">
        <f t="shared" si="345"/>
        <v>2673.4679999999998</v>
      </c>
      <c r="K938" s="1290">
        <f t="shared" si="345"/>
        <v>2753.6720399999999</v>
      </c>
      <c r="L938" s="1290">
        <f t="shared" si="345"/>
        <v>2836.2822011999997</v>
      </c>
      <c r="M938" s="1290">
        <f t="shared" si="345"/>
        <v>2921.3706672359995</v>
      </c>
      <c r="N938" s="168"/>
      <c r="R938" s="282"/>
      <c r="S938" s="282"/>
      <c r="T938" s="282"/>
      <c r="U938" s="282"/>
      <c r="V938" s="282"/>
      <c r="W938" s="282"/>
      <c r="X938" s="282"/>
      <c r="Y938" s="282"/>
      <c r="Z938" s="282"/>
      <c r="AA938" s="282"/>
    </row>
    <row r="939" spans="1:27" s="428" customFormat="1" outlineLevel="2" x14ac:dyDescent="0.25">
      <c r="A939" s="276">
        <f t="shared" si="332"/>
        <v>490</v>
      </c>
      <c r="B939" s="758" t="str">
        <f>$B334</f>
        <v>2nd Grade Teacher</v>
      </c>
      <c r="C939" s="560"/>
      <c r="D939" s="429"/>
      <c r="G939" s="1290">
        <f t="shared" si="345"/>
        <v>0</v>
      </c>
      <c r="H939" s="1290">
        <f t="shared" si="345"/>
        <v>2520</v>
      </c>
      <c r="I939" s="1290">
        <f t="shared" si="345"/>
        <v>2595.6</v>
      </c>
      <c r="J939" s="1290">
        <f t="shared" si="345"/>
        <v>2673.4679999999998</v>
      </c>
      <c r="K939" s="1290">
        <f t="shared" si="345"/>
        <v>2753.6720399999999</v>
      </c>
      <c r="L939" s="1290">
        <f t="shared" si="345"/>
        <v>2836.2822011999997</v>
      </c>
      <c r="M939" s="1290">
        <f t="shared" si="345"/>
        <v>2921.3706672359995</v>
      </c>
      <c r="N939" s="168"/>
      <c r="R939" s="282"/>
      <c r="S939" s="282"/>
      <c r="T939" s="282"/>
      <c r="U939" s="282"/>
      <c r="V939" s="282"/>
      <c r="W939" s="282"/>
      <c r="X939" s="282"/>
      <c r="Y939" s="282"/>
      <c r="Z939" s="282"/>
      <c r="AA939" s="282"/>
    </row>
    <row r="940" spans="1:27" s="428" customFormat="1" outlineLevel="2" x14ac:dyDescent="0.25">
      <c r="A940" s="276">
        <f t="shared" si="332"/>
        <v>491</v>
      </c>
      <c r="B940" s="758" t="str">
        <f>$B335</f>
        <v>2nd Grade Teacher</v>
      </c>
      <c r="C940" s="560"/>
      <c r="D940" s="429"/>
      <c r="G940" s="1290">
        <f t="shared" si="345"/>
        <v>0</v>
      </c>
      <c r="H940" s="1290">
        <f t="shared" si="345"/>
        <v>0</v>
      </c>
      <c r="I940" s="1290">
        <f t="shared" si="345"/>
        <v>2634.5340000000001</v>
      </c>
      <c r="J940" s="1290">
        <f t="shared" si="345"/>
        <v>2713.5700200000001</v>
      </c>
      <c r="K940" s="1290">
        <f t="shared" si="345"/>
        <v>2794.9771206</v>
      </c>
      <c r="L940" s="1290">
        <f t="shared" si="345"/>
        <v>2878.8264342179996</v>
      </c>
      <c r="M940" s="1290">
        <f t="shared" si="345"/>
        <v>2965.1912272445397</v>
      </c>
      <c r="N940" s="168"/>
      <c r="R940" s="282"/>
      <c r="S940" s="282"/>
      <c r="T940" s="282"/>
      <c r="U940" s="282"/>
      <c r="V940" s="282"/>
      <c r="W940" s="282"/>
      <c r="X940" s="282"/>
      <c r="Y940" s="282"/>
      <c r="Z940" s="282"/>
      <c r="AA940" s="282"/>
    </row>
    <row r="941" spans="1:27" s="428" customFormat="1" outlineLevel="2" x14ac:dyDescent="0.25">
      <c r="A941" s="276">
        <f t="shared" si="332"/>
        <v>492</v>
      </c>
      <c r="B941" s="758" t="str">
        <f>$B336</f>
        <v>2nd Grade Teacher</v>
      </c>
      <c r="C941" s="560"/>
      <c r="D941" s="429"/>
      <c r="G941" s="1290">
        <f t="shared" si="345"/>
        <v>0</v>
      </c>
      <c r="H941" s="1290">
        <f t="shared" si="345"/>
        <v>0</v>
      </c>
      <c r="I941" s="1290">
        <f t="shared" si="345"/>
        <v>2634.5340000000001</v>
      </c>
      <c r="J941" s="1290">
        <f t="shared" si="345"/>
        <v>2713.5700200000001</v>
      </c>
      <c r="K941" s="1290">
        <f t="shared" si="345"/>
        <v>2794.9771206</v>
      </c>
      <c r="L941" s="1290">
        <f t="shared" si="345"/>
        <v>2878.8264342179996</v>
      </c>
      <c r="M941" s="1290">
        <f t="shared" si="345"/>
        <v>2965.1912272445397</v>
      </c>
      <c r="N941" s="168"/>
      <c r="R941" s="282"/>
      <c r="S941" s="282"/>
      <c r="T941" s="282"/>
      <c r="U941" s="282"/>
      <c r="V941" s="282"/>
      <c r="W941" s="282"/>
      <c r="X941" s="282"/>
      <c r="Y941" s="282"/>
      <c r="Z941" s="282"/>
      <c r="AA941" s="282"/>
    </row>
    <row r="942" spans="1:27" s="428" customFormat="1" outlineLevel="2" x14ac:dyDescent="0.25">
      <c r="A942" s="276">
        <f t="shared" si="332"/>
        <v>493</v>
      </c>
      <c r="B942" s="758" t="str">
        <f>$B337</f>
        <v>3rd Grade Teacher</v>
      </c>
      <c r="C942" s="560"/>
      <c r="D942" s="429"/>
      <c r="G942" s="1290">
        <f t="shared" si="345"/>
        <v>0</v>
      </c>
      <c r="H942" s="1290">
        <f t="shared" si="345"/>
        <v>2520</v>
      </c>
      <c r="I942" s="1290">
        <f t="shared" si="345"/>
        <v>2595.6</v>
      </c>
      <c r="J942" s="1290">
        <f t="shared" si="345"/>
        <v>2673.4679999999998</v>
      </c>
      <c r="K942" s="1290">
        <f t="shared" si="345"/>
        <v>2753.6720399999999</v>
      </c>
      <c r="L942" s="1290">
        <f t="shared" si="345"/>
        <v>2836.2822011999997</v>
      </c>
      <c r="M942" s="1290">
        <f t="shared" si="345"/>
        <v>2921.3706672359995</v>
      </c>
      <c r="N942" s="168"/>
      <c r="R942" s="282"/>
      <c r="S942" s="282"/>
      <c r="T942" s="282"/>
      <c r="U942" s="282"/>
      <c r="V942" s="282"/>
      <c r="W942" s="282"/>
      <c r="X942" s="282"/>
      <c r="Y942" s="282"/>
      <c r="Z942" s="282"/>
      <c r="AA942" s="282"/>
    </row>
    <row r="943" spans="1:27" s="428" customFormat="1" outlineLevel="2" x14ac:dyDescent="0.25">
      <c r="A943" s="276">
        <f t="shared" si="332"/>
        <v>494</v>
      </c>
      <c r="B943" s="758"/>
      <c r="C943" s="560"/>
      <c r="D943" s="429"/>
      <c r="G943" s="1290"/>
      <c r="H943" s="1290"/>
      <c r="I943" s="1290"/>
      <c r="J943" s="1290"/>
      <c r="K943" s="1290"/>
      <c r="L943" s="1290"/>
      <c r="M943" s="1290"/>
      <c r="N943" s="168"/>
      <c r="R943" s="282"/>
      <c r="S943" s="282"/>
      <c r="T943" s="282"/>
      <c r="U943" s="282"/>
      <c r="V943" s="282"/>
      <c r="W943" s="282"/>
      <c r="X943" s="282"/>
      <c r="Y943" s="282"/>
      <c r="Z943" s="282"/>
      <c r="AA943" s="282"/>
    </row>
    <row r="944" spans="1:27" s="428" customFormat="1" outlineLevel="2" x14ac:dyDescent="0.25">
      <c r="A944" s="276">
        <f t="shared" si="332"/>
        <v>495</v>
      </c>
      <c r="B944" s="758" t="str">
        <f>$B339</f>
        <v>3rd Grade Teacher</v>
      </c>
      <c r="C944" s="560"/>
      <c r="D944" s="429"/>
      <c r="G944" s="1290">
        <f t="shared" ref="G944:M948" si="346">G339*$C$92</f>
        <v>0</v>
      </c>
      <c r="H944" s="1290">
        <f t="shared" si="346"/>
        <v>2520</v>
      </c>
      <c r="I944" s="1290">
        <f t="shared" si="346"/>
        <v>2595.6</v>
      </c>
      <c r="J944" s="1290">
        <f t="shared" si="346"/>
        <v>2673.4679999999998</v>
      </c>
      <c r="K944" s="1290">
        <f t="shared" si="346"/>
        <v>2753.6720399999999</v>
      </c>
      <c r="L944" s="1290">
        <f t="shared" si="346"/>
        <v>2836.2822011999997</v>
      </c>
      <c r="M944" s="1290">
        <f t="shared" si="346"/>
        <v>2921.3706672359995</v>
      </c>
      <c r="N944" s="168"/>
      <c r="R944" s="282"/>
      <c r="S944" s="282"/>
      <c r="T944" s="282"/>
      <c r="U944" s="282"/>
      <c r="V944" s="282"/>
      <c r="W944" s="282"/>
      <c r="X944" s="282"/>
      <c r="Y944" s="282"/>
      <c r="Z944" s="282"/>
      <c r="AA944" s="282"/>
    </row>
    <row r="945" spans="1:27" s="428" customFormat="1" outlineLevel="2" x14ac:dyDescent="0.25">
      <c r="A945" s="276">
        <f t="shared" si="332"/>
        <v>496</v>
      </c>
      <c r="B945" s="758" t="str">
        <f>$B340</f>
        <v>3rd Grade Teacher</v>
      </c>
      <c r="C945" s="560"/>
      <c r="D945" s="429"/>
      <c r="G945" s="1290">
        <f t="shared" si="346"/>
        <v>0</v>
      </c>
      <c r="H945" s="1290">
        <f t="shared" si="346"/>
        <v>0</v>
      </c>
      <c r="I945" s="1290">
        <f t="shared" si="346"/>
        <v>2634.5340000000001</v>
      </c>
      <c r="J945" s="1290">
        <f t="shared" si="346"/>
        <v>2713.5700200000001</v>
      </c>
      <c r="K945" s="1290">
        <f t="shared" si="346"/>
        <v>2794.9771206</v>
      </c>
      <c r="L945" s="1290">
        <f t="shared" si="346"/>
        <v>2878.8264342179996</v>
      </c>
      <c r="M945" s="1290">
        <f t="shared" si="346"/>
        <v>2965.1912272445397</v>
      </c>
      <c r="N945" s="168"/>
      <c r="R945" s="282"/>
      <c r="S945" s="282"/>
      <c r="T945" s="282"/>
      <c r="U945" s="282"/>
      <c r="V945" s="282"/>
      <c r="W945" s="282"/>
      <c r="X945" s="282"/>
      <c r="Y945" s="282"/>
      <c r="Z945" s="282"/>
      <c r="AA945" s="282"/>
    </row>
    <row r="946" spans="1:27" s="428" customFormat="1" outlineLevel="2" x14ac:dyDescent="0.25">
      <c r="A946" s="276">
        <f t="shared" si="332"/>
        <v>497</v>
      </c>
      <c r="B946" s="758" t="str">
        <f>$B341</f>
        <v>3rd Grade Teacher</v>
      </c>
      <c r="C946" s="560"/>
      <c r="D946" s="429"/>
      <c r="G946" s="1290">
        <f t="shared" si="346"/>
        <v>0</v>
      </c>
      <c r="H946" s="1290">
        <f t="shared" si="346"/>
        <v>0</v>
      </c>
      <c r="I946" s="1290">
        <f t="shared" si="346"/>
        <v>2634.5340000000001</v>
      </c>
      <c r="J946" s="1290">
        <f t="shared" si="346"/>
        <v>2713.5700200000001</v>
      </c>
      <c r="K946" s="1290">
        <f t="shared" si="346"/>
        <v>2794.9771206</v>
      </c>
      <c r="L946" s="1290">
        <f t="shared" si="346"/>
        <v>2878.8264342179996</v>
      </c>
      <c r="M946" s="1290">
        <f t="shared" si="346"/>
        <v>2965.1912272445397</v>
      </c>
      <c r="N946" s="168"/>
      <c r="R946" s="282"/>
      <c r="S946" s="282"/>
      <c r="T946" s="282"/>
      <c r="U946" s="282"/>
      <c r="V946" s="282"/>
      <c r="W946" s="282"/>
      <c r="X946" s="282"/>
      <c r="Y946" s="282"/>
      <c r="Z946" s="282"/>
      <c r="AA946" s="282"/>
    </row>
    <row r="947" spans="1:27" s="428" customFormat="1" outlineLevel="2" x14ac:dyDescent="0.25">
      <c r="A947" s="276">
        <f t="shared" si="332"/>
        <v>498</v>
      </c>
      <c r="B947" s="758" t="str">
        <f>$B342</f>
        <v>4th Grade Teacher</v>
      </c>
      <c r="C947" s="560"/>
      <c r="D947" s="429"/>
      <c r="G947" s="1290">
        <f t="shared" si="346"/>
        <v>0</v>
      </c>
      <c r="H947" s="1290">
        <f t="shared" si="346"/>
        <v>2520</v>
      </c>
      <c r="I947" s="1290">
        <f t="shared" si="346"/>
        <v>2595.6</v>
      </c>
      <c r="J947" s="1290">
        <f t="shared" si="346"/>
        <v>2673.4679999999998</v>
      </c>
      <c r="K947" s="1290">
        <f t="shared" si="346"/>
        <v>2753.6720399999999</v>
      </c>
      <c r="L947" s="1290">
        <f t="shared" si="346"/>
        <v>2836.2822011999997</v>
      </c>
      <c r="M947" s="1290">
        <f t="shared" si="346"/>
        <v>2921.3706672359995</v>
      </c>
      <c r="N947" s="168"/>
      <c r="R947" s="282"/>
      <c r="S947" s="282"/>
      <c r="T947" s="282"/>
      <c r="U947" s="282"/>
      <c r="V947" s="282"/>
      <c r="W947" s="282"/>
      <c r="X947" s="282"/>
      <c r="Y947" s="282"/>
      <c r="Z947" s="282"/>
      <c r="AA947" s="282"/>
    </row>
    <row r="948" spans="1:27" s="431" customFormat="1" outlineLevel="2" x14ac:dyDescent="0.25">
      <c r="A948" s="276">
        <f t="shared" ref="A948:A979" si="347">ROW(A499)</f>
        <v>499</v>
      </c>
      <c r="B948" s="758" t="str">
        <f>$B343</f>
        <v>4th Grade Teacher</v>
      </c>
      <c r="C948" s="560"/>
      <c r="D948" s="429"/>
      <c r="G948" s="1290">
        <f t="shared" si="346"/>
        <v>0</v>
      </c>
      <c r="H948" s="1290">
        <f t="shared" si="346"/>
        <v>0</v>
      </c>
      <c r="I948" s="1290">
        <f t="shared" si="346"/>
        <v>2634.5340000000001</v>
      </c>
      <c r="J948" s="1290">
        <f t="shared" si="346"/>
        <v>2713.5700200000001</v>
      </c>
      <c r="K948" s="1290">
        <f t="shared" si="346"/>
        <v>2794.9771206</v>
      </c>
      <c r="L948" s="1290">
        <f t="shared" si="346"/>
        <v>2878.8264342179996</v>
      </c>
      <c r="M948" s="1290">
        <f t="shared" si="346"/>
        <v>2965.1912272445397</v>
      </c>
      <c r="N948" s="141"/>
      <c r="R948" s="282"/>
      <c r="S948" s="282"/>
      <c r="T948" s="282"/>
      <c r="U948" s="282"/>
      <c r="V948" s="282"/>
      <c r="W948" s="282"/>
      <c r="X948" s="282"/>
      <c r="Y948" s="282"/>
      <c r="Z948" s="282"/>
      <c r="AA948" s="282"/>
    </row>
    <row r="949" spans="1:27" s="431" customFormat="1" outlineLevel="2" x14ac:dyDescent="0.25">
      <c r="A949" s="276">
        <f t="shared" si="347"/>
        <v>500</v>
      </c>
      <c r="B949" s="758"/>
      <c r="C949" s="561"/>
      <c r="D949" s="428"/>
      <c r="G949" s="1290"/>
      <c r="H949" s="1290"/>
      <c r="I949" s="1290"/>
      <c r="J949" s="1290"/>
      <c r="K949" s="1290"/>
      <c r="L949" s="1290"/>
      <c r="M949" s="1290"/>
      <c r="N949" s="141"/>
      <c r="R949" s="282"/>
      <c r="S949" s="282"/>
      <c r="T949" s="282"/>
      <c r="U949" s="282"/>
      <c r="V949" s="282"/>
      <c r="W949" s="282"/>
      <c r="X949" s="282"/>
      <c r="Y949" s="282"/>
      <c r="Z949" s="282"/>
      <c r="AA949" s="282"/>
    </row>
    <row r="950" spans="1:27" s="428" customFormat="1" outlineLevel="2" x14ac:dyDescent="0.25">
      <c r="A950" s="276">
        <f t="shared" si="347"/>
        <v>501</v>
      </c>
      <c r="B950" s="758" t="str">
        <f>$B345</f>
        <v>4th Grade Teacher</v>
      </c>
      <c r="C950" s="560"/>
      <c r="D950" s="429"/>
      <c r="G950" s="1290">
        <f t="shared" ref="G950:M954" si="348">G345*$C$92</f>
        <v>0</v>
      </c>
      <c r="H950" s="1290">
        <f t="shared" si="348"/>
        <v>0</v>
      </c>
      <c r="I950" s="1290">
        <f t="shared" si="348"/>
        <v>0</v>
      </c>
      <c r="J950" s="1290">
        <f t="shared" si="348"/>
        <v>2756.2181999999998</v>
      </c>
      <c r="K950" s="1290">
        <f t="shared" si="348"/>
        <v>2838.9047460000002</v>
      </c>
      <c r="L950" s="1290">
        <f t="shared" si="348"/>
        <v>2924.0718883799996</v>
      </c>
      <c r="M950" s="1290">
        <f t="shared" si="348"/>
        <v>3011.7940450313995</v>
      </c>
      <c r="N950" s="168"/>
      <c r="R950" s="282"/>
      <c r="S950" s="282"/>
      <c r="T950" s="282"/>
      <c r="U950" s="282"/>
      <c r="V950" s="282"/>
      <c r="W950" s="282"/>
      <c r="X950" s="282"/>
      <c r="Y950" s="282"/>
      <c r="Z950" s="282"/>
      <c r="AA950" s="282"/>
    </row>
    <row r="951" spans="1:27" s="428" customFormat="1" outlineLevel="2" x14ac:dyDescent="0.25">
      <c r="A951" s="276">
        <f t="shared" si="347"/>
        <v>502</v>
      </c>
      <c r="B951" s="758" t="str">
        <f>$B346</f>
        <v>4th Grade Teacher</v>
      </c>
      <c r="C951" s="560"/>
      <c r="D951" s="429"/>
      <c r="G951" s="1290">
        <f t="shared" si="348"/>
        <v>0</v>
      </c>
      <c r="H951" s="1290">
        <f t="shared" si="348"/>
        <v>0</v>
      </c>
      <c r="I951" s="1290">
        <f t="shared" si="348"/>
        <v>0</v>
      </c>
      <c r="J951" s="1290">
        <f t="shared" si="348"/>
        <v>2756.2181999999998</v>
      </c>
      <c r="K951" s="1290">
        <f t="shared" si="348"/>
        <v>2838.9047460000002</v>
      </c>
      <c r="L951" s="1290">
        <f t="shared" si="348"/>
        <v>2924.0718883799996</v>
      </c>
      <c r="M951" s="1290">
        <f t="shared" si="348"/>
        <v>3011.7940450313995</v>
      </c>
      <c r="N951" s="168"/>
      <c r="R951" s="282"/>
      <c r="S951" s="282"/>
      <c r="T951" s="282"/>
      <c r="U951" s="282"/>
      <c r="V951" s="282"/>
      <c r="W951" s="282"/>
      <c r="X951" s="282"/>
      <c r="Y951" s="282"/>
      <c r="Z951" s="282"/>
      <c r="AA951" s="282"/>
    </row>
    <row r="952" spans="1:27" s="428" customFormat="1" outlineLevel="2" x14ac:dyDescent="0.25">
      <c r="A952" s="276">
        <f t="shared" si="347"/>
        <v>503</v>
      </c>
      <c r="B952" s="758" t="str">
        <f>$B347</f>
        <v>5th Grade Teacher</v>
      </c>
      <c r="C952" s="560"/>
      <c r="D952" s="429"/>
      <c r="G952" s="1290">
        <f t="shared" si="348"/>
        <v>0</v>
      </c>
      <c r="H952" s="1290">
        <f t="shared" si="348"/>
        <v>2520</v>
      </c>
      <c r="I952" s="1290">
        <f t="shared" si="348"/>
        <v>2595.6</v>
      </c>
      <c r="J952" s="1290">
        <f t="shared" si="348"/>
        <v>2673.4679999999998</v>
      </c>
      <c r="K952" s="1290">
        <f t="shared" si="348"/>
        <v>2753.6720399999999</v>
      </c>
      <c r="L952" s="1290">
        <f t="shared" si="348"/>
        <v>2836.2822011999997</v>
      </c>
      <c r="M952" s="1290">
        <f t="shared" si="348"/>
        <v>2921.3706672359995</v>
      </c>
      <c r="N952" s="168"/>
      <c r="R952" s="282"/>
      <c r="S952" s="282"/>
      <c r="T952" s="282"/>
      <c r="U952" s="282"/>
      <c r="V952" s="282"/>
      <c r="W952" s="282"/>
      <c r="X952" s="282"/>
      <c r="Y952" s="282"/>
      <c r="Z952" s="282"/>
      <c r="AA952" s="282"/>
    </row>
    <row r="953" spans="1:27" s="428" customFormat="1" outlineLevel="2" x14ac:dyDescent="0.25">
      <c r="A953" s="276">
        <f t="shared" si="347"/>
        <v>504</v>
      </c>
      <c r="B953" s="758" t="str">
        <f>$B348</f>
        <v>5th Grade Teacher</v>
      </c>
      <c r="C953" s="560"/>
      <c r="D953" s="429"/>
      <c r="G953" s="1290">
        <f t="shared" si="348"/>
        <v>0</v>
      </c>
      <c r="H953" s="1290">
        <f t="shared" si="348"/>
        <v>0</v>
      </c>
      <c r="I953" s="1290">
        <f t="shared" si="348"/>
        <v>0</v>
      </c>
      <c r="J953" s="1290">
        <f t="shared" si="348"/>
        <v>2756.2181999999998</v>
      </c>
      <c r="K953" s="1290">
        <f t="shared" si="348"/>
        <v>2838.9047460000002</v>
      </c>
      <c r="L953" s="1290">
        <f t="shared" si="348"/>
        <v>2924.0718883799996</v>
      </c>
      <c r="M953" s="1290">
        <f t="shared" si="348"/>
        <v>3011.7940450313995</v>
      </c>
      <c r="N953" s="168"/>
      <c r="R953" s="282"/>
      <c r="S953" s="282"/>
      <c r="T953" s="282"/>
      <c r="U953" s="282"/>
      <c r="V953" s="282"/>
      <c r="W953" s="282"/>
      <c r="X953" s="282"/>
      <c r="Y953" s="282"/>
      <c r="Z953" s="282"/>
      <c r="AA953" s="282"/>
    </row>
    <row r="954" spans="1:27" s="428" customFormat="1" outlineLevel="2" x14ac:dyDescent="0.25">
      <c r="A954" s="276">
        <f t="shared" si="347"/>
        <v>505</v>
      </c>
      <c r="B954" s="758" t="str">
        <f>$B349</f>
        <v>5th Grade Teacher</v>
      </c>
      <c r="C954" s="560"/>
      <c r="D954" s="429"/>
      <c r="G954" s="1290">
        <f t="shared" si="348"/>
        <v>0</v>
      </c>
      <c r="H954" s="1290">
        <f t="shared" si="348"/>
        <v>0</v>
      </c>
      <c r="I954" s="1290">
        <f t="shared" si="348"/>
        <v>0</v>
      </c>
      <c r="J954" s="1290">
        <f t="shared" si="348"/>
        <v>0</v>
      </c>
      <c r="K954" s="1290">
        <f t="shared" si="348"/>
        <v>2884.7992799999997</v>
      </c>
      <c r="L954" s="1290">
        <f t="shared" si="348"/>
        <v>2971.3432583999993</v>
      </c>
      <c r="M954" s="1290">
        <f t="shared" si="348"/>
        <v>3060.4835561519994</v>
      </c>
      <c r="N954" s="168"/>
      <c r="R954" s="282"/>
      <c r="S954" s="282"/>
      <c r="T954" s="282"/>
      <c r="U954" s="282"/>
      <c r="V954" s="282"/>
      <c r="W954" s="282"/>
      <c r="X954" s="282"/>
      <c r="Y954" s="282"/>
      <c r="Z954" s="282"/>
      <c r="AA954" s="282"/>
    </row>
    <row r="955" spans="1:27" s="428" customFormat="1" outlineLevel="2" x14ac:dyDescent="0.25">
      <c r="A955" s="276">
        <f t="shared" si="347"/>
        <v>506</v>
      </c>
      <c r="B955" s="758"/>
      <c r="C955" s="560"/>
      <c r="D955" s="429"/>
      <c r="G955" s="1290"/>
      <c r="H955" s="1290"/>
      <c r="I955" s="1290"/>
      <c r="J955" s="1290"/>
      <c r="K955" s="1290"/>
      <c r="L955" s="1290"/>
      <c r="M955" s="1290"/>
      <c r="N955" s="168"/>
      <c r="R955" s="282"/>
      <c r="S955" s="282"/>
      <c r="T955" s="282"/>
      <c r="U955" s="282"/>
      <c r="V955" s="282"/>
      <c r="W955" s="282"/>
      <c r="X955" s="282"/>
      <c r="Y955" s="282"/>
      <c r="Z955" s="282"/>
      <c r="AA955" s="282"/>
    </row>
    <row r="956" spans="1:27" s="428" customFormat="1" outlineLevel="2" x14ac:dyDescent="0.25">
      <c r="A956" s="276">
        <f t="shared" si="347"/>
        <v>507</v>
      </c>
      <c r="B956" s="758" t="str">
        <f>$B351</f>
        <v>5th Grade Teacher</v>
      </c>
      <c r="C956" s="560"/>
      <c r="D956" s="429"/>
      <c r="G956" s="1290">
        <f t="shared" ref="G956:M960" si="349">G351*$C$92</f>
        <v>0</v>
      </c>
      <c r="H956" s="1290">
        <f t="shared" si="349"/>
        <v>0</v>
      </c>
      <c r="I956" s="1290">
        <f t="shared" si="349"/>
        <v>0</v>
      </c>
      <c r="J956" s="1290">
        <f t="shared" si="349"/>
        <v>0</v>
      </c>
      <c r="K956" s="1290">
        <f t="shared" si="349"/>
        <v>2884.7992799999997</v>
      </c>
      <c r="L956" s="1290">
        <f t="shared" si="349"/>
        <v>2971.3432583999993</v>
      </c>
      <c r="M956" s="1290">
        <f t="shared" si="349"/>
        <v>3060.4835561519994</v>
      </c>
      <c r="N956" s="168"/>
      <c r="R956" s="282"/>
      <c r="S956" s="282"/>
      <c r="T956" s="282"/>
      <c r="U956" s="282"/>
      <c r="V956" s="282"/>
      <c r="W956" s="282"/>
      <c r="X956" s="282"/>
      <c r="Y956" s="282"/>
      <c r="Z956" s="282"/>
      <c r="AA956" s="282"/>
    </row>
    <row r="957" spans="1:27" s="428" customFormat="1" outlineLevel="2" x14ac:dyDescent="0.25">
      <c r="A957" s="276">
        <f t="shared" si="347"/>
        <v>508</v>
      </c>
      <c r="B957" s="758" t="str">
        <f>$B352</f>
        <v>6th Grade Teacher</v>
      </c>
      <c r="C957" s="560"/>
      <c r="D957" s="429"/>
      <c r="G957" s="1290">
        <f t="shared" si="349"/>
        <v>0</v>
      </c>
      <c r="H957" s="1290">
        <f t="shared" si="349"/>
        <v>2520</v>
      </c>
      <c r="I957" s="1290">
        <f t="shared" si="349"/>
        <v>2595.6</v>
      </c>
      <c r="J957" s="1290">
        <f t="shared" si="349"/>
        <v>2673.4679999999998</v>
      </c>
      <c r="K957" s="1290">
        <f t="shared" si="349"/>
        <v>2753.6720399999999</v>
      </c>
      <c r="L957" s="1290">
        <f t="shared" si="349"/>
        <v>2836.2822011999997</v>
      </c>
      <c r="M957" s="1290">
        <f t="shared" si="349"/>
        <v>2921.3706672359995</v>
      </c>
      <c r="N957" s="168"/>
      <c r="R957" s="282"/>
      <c r="S957" s="282"/>
      <c r="T957" s="282"/>
      <c r="U957" s="282"/>
      <c r="V957" s="282"/>
      <c r="W957" s="282"/>
      <c r="X957" s="282"/>
      <c r="Y957" s="282"/>
      <c r="Z957" s="282"/>
      <c r="AA957" s="282"/>
    </row>
    <row r="958" spans="1:27" s="428" customFormat="1" outlineLevel="2" x14ac:dyDescent="0.25">
      <c r="A958" s="276">
        <f t="shared" si="347"/>
        <v>509</v>
      </c>
      <c r="B958" s="758" t="str">
        <f>$B353</f>
        <v>6th Grade Teacher</v>
      </c>
      <c r="C958" s="560"/>
      <c r="D958" s="429"/>
      <c r="G958" s="1290">
        <f t="shared" si="349"/>
        <v>0</v>
      </c>
      <c r="H958" s="1290">
        <f t="shared" si="349"/>
        <v>0</v>
      </c>
      <c r="I958" s="1290">
        <f t="shared" si="349"/>
        <v>2634.5340000000001</v>
      </c>
      <c r="J958" s="1290">
        <f t="shared" si="349"/>
        <v>2713.5700200000001</v>
      </c>
      <c r="K958" s="1290">
        <f t="shared" si="349"/>
        <v>2794.9771206</v>
      </c>
      <c r="L958" s="1290">
        <f t="shared" si="349"/>
        <v>2878.8264342179996</v>
      </c>
      <c r="M958" s="1290">
        <f t="shared" si="349"/>
        <v>2965.1912272445397</v>
      </c>
      <c r="N958" s="168"/>
      <c r="R958" s="282"/>
      <c r="S958" s="282"/>
      <c r="T958" s="282"/>
      <c r="U958" s="282"/>
      <c r="V958" s="282"/>
      <c r="W958" s="282"/>
      <c r="X958" s="282"/>
      <c r="Y958" s="282"/>
      <c r="Z958" s="282"/>
      <c r="AA958" s="282"/>
    </row>
    <row r="959" spans="1:27" s="428" customFormat="1" outlineLevel="2" x14ac:dyDescent="0.25">
      <c r="A959" s="276">
        <f t="shared" si="347"/>
        <v>510</v>
      </c>
      <c r="B959" s="758" t="str">
        <f>$B354</f>
        <v>6th Grade Teacher</v>
      </c>
      <c r="C959" s="560"/>
      <c r="D959" s="429"/>
      <c r="G959" s="1290">
        <f t="shared" si="349"/>
        <v>0</v>
      </c>
      <c r="H959" s="1290">
        <f t="shared" si="349"/>
        <v>0</v>
      </c>
      <c r="I959" s="1290">
        <f t="shared" si="349"/>
        <v>0</v>
      </c>
      <c r="J959" s="1290">
        <f t="shared" si="349"/>
        <v>0</v>
      </c>
      <c r="K959" s="1290">
        <f t="shared" si="349"/>
        <v>2884.7992799999997</v>
      </c>
      <c r="L959" s="1290">
        <f t="shared" si="349"/>
        <v>2971.3432583999993</v>
      </c>
      <c r="M959" s="1290">
        <f t="shared" si="349"/>
        <v>3060.4835561519994</v>
      </c>
      <c r="N959" s="168"/>
      <c r="R959" s="282"/>
      <c r="S959" s="282"/>
      <c r="T959" s="282"/>
      <c r="U959" s="282"/>
      <c r="V959" s="282"/>
      <c r="W959" s="282"/>
      <c r="X959" s="282"/>
      <c r="Y959" s="282"/>
      <c r="Z959" s="282"/>
      <c r="AA959" s="282"/>
    </row>
    <row r="960" spans="1:27" s="431" customFormat="1" outlineLevel="2" x14ac:dyDescent="0.25">
      <c r="A960" s="276">
        <f t="shared" si="347"/>
        <v>511</v>
      </c>
      <c r="B960" s="758" t="str">
        <f>$B355</f>
        <v>6th Grade Teacher</v>
      </c>
      <c r="C960" s="560"/>
      <c r="D960" s="429"/>
      <c r="G960" s="1290">
        <f t="shared" si="349"/>
        <v>0</v>
      </c>
      <c r="H960" s="1290">
        <f t="shared" si="349"/>
        <v>0</v>
      </c>
      <c r="I960" s="1290">
        <f t="shared" si="349"/>
        <v>0</v>
      </c>
      <c r="J960" s="1290">
        <f t="shared" si="349"/>
        <v>0</v>
      </c>
      <c r="K960" s="1290">
        <f t="shared" si="349"/>
        <v>2884.7992799999997</v>
      </c>
      <c r="L960" s="1290">
        <f t="shared" si="349"/>
        <v>2971.3432583999993</v>
      </c>
      <c r="M960" s="1290">
        <f t="shared" si="349"/>
        <v>3060.4835561519994</v>
      </c>
      <c r="N960" s="141"/>
      <c r="R960" s="282"/>
      <c r="S960" s="282"/>
      <c r="T960" s="282"/>
      <c r="U960" s="282"/>
      <c r="V960" s="282"/>
      <c r="W960" s="282"/>
      <c r="X960" s="282"/>
      <c r="Y960" s="282"/>
      <c r="Z960" s="282"/>
      <c r="AA960" s="282"/>
    </row>
    <row r="961" spans="1:27" s="431" customFormat="1" outlineLevel="2" x14ac:dyDescent="0.25">
      <c r="A961" s="276">
        <f t="shared" si="347"/>
        <v>512</v>
      </c>
      <c r="B961" s="758"/>
      <c r="C961" s="561"/>
      <c r="D961" s="428"/>
      <c r="G961" s="1290"/>
      <c r="H961" s="1290"/>
      <c r="I961" s="1290"/>
      <c r="J961" s="1290"/>
      <c r="K961" s="1290"/>
      <c r="L961" s="1290"/>
      <c r="M961" s="1290"/>
      <c r="N961" s="141"/>
      <c r="R961" s="282"/>
      <c r="S961" s="282"/>
      <c r="T961" s="282"/>
      <c r="U961" s="282"/>
      <c r="V961" s="282"/>
      <c r="W961" s="282"/>
      <c r="X961" s="282"/>
      <c r="Y961" s="282"/>
      <c r="Z961" s="282"/>
      <c r="AA961" s="282"/>
    </row>
    <row r="962" spans="1:27" s="428" customFormat="1" outlineLevel="2" x14ac:dyDescent="0.25">
      <c r="A962" s="276">
        <f t="shared" si="347"/>
        <v>513</v>
      </c>
      <c r="B962" s="758" t="str">
        <f>$B357</f>
        <v>7th Grade Teacher</v>
      </c>
      <c r="C962" s="560"/>
      <c r="D962" s="429"/>
      <c r="G962" s="1290">
        <f t="shared" ref="G962:M966" si="350">G357*$C$92</f>
        <v>0</v>
      </c>
      <c r="H962" s="1290">
        <f t="shared" si="350"/>
        <v>0</v>
      </c>
      <c r="I962" s="1290">
        <f t="shared" si="350"/>
        <v>2634.5340000000001</v>
      </c>
      <c r="J962" s="1290">
        <f t="shared" si="350"/>
        <v>2713.5700200000001</v>
      </c>
      <c r="K962" s="1290">
        <f t="shared" si="350"/>
        <v>2794.9771206</v>
      </c>
      <c r="L962" s="1290">
        <f t="shared" si="350"/>
        <v>2878.8264342179996</v>
      </c>
      <c r="M962" s="1290">
        <f t="shared" si="350"/>
        <v>2965.1912272445397</v>
      </c>
      <c r="N962" s="168"/>
      <c r="R962" s="282"/>
      <c r="S962" s="282"/>
      <c r="T962" s="282"/>
      <c r="U962" s="282"/>
      <c r="V962" s="282"/>
      <c r="W962" s="282"/>
      <c r="X962" s="282"/>
      <c r="Y962" s="282"/>
      <c r="Z962" s="282"/>
      <c r="AA962" s="282"/>
    </row>
    <row r="963" spans="1:27" s="428" customFormat="1" outlineLevel="2" x14ac:dyDescent="0.25">
      <c r="A963" s="276">
        <f t="shared" si="347"/>
        <v>514</v>
      </c>
      <c r="B963" s="758" t="str">
        <f>$B358</f>
        <v>7th Grade Teacher</v>
      </c>
      <c r="C963" s="560"/>
      <c r="D963" s="429"/>
      <c r="G963" s="1290">
        <f t="shared" si="350"/>
        <v>0</v>
      </c>
      <c r="H963" s="1290">
        <f t="shared" si="350"/>
        <v>0</v>
      </c>
      <c r="I963" s="1290">
        <f t="shared" si="350"/>
        <v>0</v>
      </c>
      <c r="J963" s="1290">
        <f t="shared" si="350"/>
        <v>2756.2181999999998</v>
      </c>
      <c r="K963" s="1290">
        <f t="shared" si="350"/>
        <v>2838.9047460000002</v>
      </c>
      <c r="L963" s="1290">
        <f t="shared" si="350"/>
        <v>2924.0718883799996</v>
      </c>
      <c r="M963" s="1290">
        <f t="shared" si="350"/>
        <v>3011.7940450313995</v>
      </c>
      <c r="N963" s="168"/>
      <c r="R963" s="282"/>
      <c r="S963" s="282"/>
      <c r="T963" s="282"/>
      <c r="U963" s="282"/>
      <c r="V963" s="282"/>
      <c r="W963" s="282"/>
      <c r="X963" s="282"/>
      <c r="Y963" s="282"/>
      <c r="Z963" s="282"/>
      <c r="AA963" s="282"/>
    </row>
    <row r="964" spans="1:27" s="428" customFormat="1" outlineLevel="2" x14ac:dyDescent="0.25">
      <c r="A964" s="276">
        <f t="shared" si="347"/>
        <v>515</v>
      </c>
      <c r="B964" s="758" t="str">
        <f>$B359</f>
        <v>7th Grade Teacher</v>
      </c>
      <c r="C964" s="560"/>
      <c r="D964" s="429"/>
      <c r="G964" s="1290">
        <f t="shared" si="350"/>
        <v>0</v>
      </c>
      <c r="H964" s="1290">
        <f t="shared" si="350"/>
        <v>0</v>
      </c>
      <c r="I964" s="1290">
        <f t="shared" si="350"/>
        <v>0</v>
      </c>
      <c r="J964" s="1290">
        <f t="shared" si="350"/>
        <v>0</v>
      </c>
      <c r="K964" s="1290">
        <f t="shared" si="350"/>
        <v>0</v>
      </c>
      <c r="L964" s="1290">
        <f t="shared" si="350"/>
        <v>3018.6146284199999</v>
      </c>
      <c r="M964" s="1290">
        <f t="shared" si="350"/>
        <v>3109.1730672725998</v>
      </c>
      <c r="N964" s="168"/>
      <c r="R964" s="282"/>
      <c r="S964" s="282"/>
      <c r="T964" s="282"/>
      <c r="U964" s="282"/>
      <c r="V964" s="282"/>
      <c r="W964" s="282"/>
      <c r="X964" s="282"/>
      <c r="Y964" s="282"/>
      <c r="Z964" s="282"/>
      <c r="AA964" s="282"/>
    </row>
    <row r="965" spans="1:27" s="428" customFormat="1" outlineLevel="2" x14ac:dyDescent="0.25">
      <c r="A965" s="276">
        <f t="shared" si="347"/>
        <v>516</v>
      </c>
      <c r="B965" s="758" t="str">
        <f>$B360</f>
        <v>7th Grade Teacher</v>
      </c>
      <c r="C965" s="560"/>
      <c r="D965" s="429"/>
      <c r="G965" s="1290">
        <f t="shared" si="350"/>
        <v>0</v>
      </c>
      <c r="H965" s="1290">
        <f t="shared" si="350"/>
        <v>0</v>
      </c>
      <c r="I965" s="1290">
        <f t="shared" si="350"/>
        <v>0</v>
      </c>
      <c r="J965" s="1290">
        <f t="shared" si="350"/>
        <v>0</v>
      </c>
      <c r="K965" s="1290">
        <f t="shared" si="350"/>
        <v>0</v>
      </c>
      <c r="L965" s="1290">
        <f t="shared" si="350"/>
        <v>3018.6146284199999</v>
      </c>
      <c r="M965" s="1290">
        <f t="shared" si="350"/>
        <v>3109.1730672725998</v>
      </c>
      <c r="N965" s="168"/>
      <c r="R965" s="282"/>
      <c r="S965" s="282"/>
      <c r="T965" s="282"/>
      <c r="U965" s="282"/>
      <c r="V965" s="282"/>
      <c r="W965" s="282"/>
      <c r="X965" s="282"/>
      <c r="Y965" s="282"/>
      <c r="Z965" s="282"/>
      <c r="AA965" s="282"/>
    </row>
    <row r="966" spans="1:27" s="428" customFormat="1" outlineLevel="2" x14ac:dyDescent="0.25">
      <c r="A966" s="276">
        <f t="shared" si="347"/>
        <v>517</v>
      </c>
      <c r="B966" s="758" t="str">
        <f>$B361</f>
        <v>8th Grade Teacher</v>
      </c>
      <c r="C966" s="560"/>
      <c r="D966" s="429"/>
      <c r="G966" s="1290">
        <f t="shared" si="350"/>
        <v>0</v>
      </c>
      <c r="H966" s="1290">
        <f t="shared" si="350"/>
        <v>0</v>
      </c>
      <c r="I966" s="1290">
        <f t="shared" si="350"/>
        <v>0</v>
      </c>
      <c r="J966" s="1290">
        <f t="shared" si="350"/>
        <v>2756.2181999999998</v>
      </c>
      <c r="K966" s="1290">
        <f t="shared" si="350"/>
        <v>2838.9047460000002</v>
      </c>
      <c r="L966" s="1290">
        <f t="shared" si="350"/>
        <v>2924.0718883799996</v>
      </c>
      <c r="M966" s="1290">
        <f t="shared" si="350"/>
        <v>3011.7940450313995</v>
      </c>
      <c r="N966" s="168"/>
      <c r="R966" s="282"/>
      <c r="S966" s="282"/>
      <c r="T966" s="282"/>
      <c r="U966" s="282"/>
      <c r="V966" s="282"/>
      <c r="W966" s="282"/>
      <c r="X966" s="282"/>
      <c r="Y966" s="282"/>
      <c r="Z966" s="282"/>
      <c r="AA966" s="282"/>
    </row>
    <row r="967" spans="1:27" s="428" customFormat="1" outlineLevel="2" x14ac:dyDescent="0.25">
      <c r="A967" s="276">
        <f t="shared" si="347"/>
        <v>518</v>
      </c>
      <c r="B967" s="758"/>
      <c r="C967" s="560"/>
      <c r="D967" s="429"/>
      <c r="G967" s="1290"/>
      <c r="H967" s="1290"/>
      <c r="I967" s="1290"/>
      <c r="J967" s="1290"/>
      <c r="K967" s="1290"/>
      <c r="L967" s="1290"/>
      <c r="M967" s="1290"/>
      <c r="N967" s="168"/>
      <c r="R967" s="282"/>
      <c r="S967" s="282"/>
      <c r="T967" s="282"/>
      <c r="U967" s="282"/>
      <c r="V967" s="282"/>
      <c r="W967" s="282"/>
      <c r="X967" s="282"/>
      <c r="Y967" s="282"/>
      <c r="Z967" s="282"/>
      <c r="AA967" s="282"/>
    </row>
    <row r="968" spans="1:27" s="428" customFormat="1" outlineLevel="2" x14ac:dyDescent="0.25">
      <c r="A968" s="276">
        <f t="shared" si="347"/>
        <v>519</v>
      </c>
      <c r="B968" s="758" t="str">
        <f>$B363</f>
        <v>8th Grade Teacher</v>
      </c>
      <c r="C968" s="560"/>
      <c r="D968" s="429"/>
      <c r="G968" s="1290">
        <f t="shared" ref="G968:M972" si="351">G363*$C$92</f>
        <v>0</v>
      </c>
      <c r="H968" s="1290">
        <f t="shared" si="351"/>
        <v>0</v>
      </c>
      <c r="I968" s="1290">
        <f t="shared" si="351"/>
        <v>0</v>
      </c>
      <c r="J968" s="1290">
        <f t="shared" si="351"/>
        <v>0</v>
      </c>
      <c r="K968" s="1290">
        <f t="shared" si="351"/>
        <v>2884.7992799999997</v>
      </c>
      <c r="L968" s="1290">
        <f t="shared" si="351"/>
        <v>2971.3432583999993</v>
      </c>
      <c r="M968" s="1290">
        <f t="shared" si="351"/>
        <v>3060.4835561519994</v>
      </c>
      <c r="N968" s="168"/>
      <c r="R968" s="282"/>
      <c r="S968" s="282"/>
      <c r="T968" s="282"/>
      <c r="U968" s="282"/>
      <c r="V968" s="282"/>
      <c r="W968" s="282"/>
      <c r="X968" s="282"/>
      <c r="Y968" s="282"/>
      <c r="Z968" s="282"/>
      <c r="AA968" s="282"/>
    </row>
    <row r="969" spans="1:27" s="428" customFormat="1" outlineLevel="2" x14ac:dyDescent="0.25">
      <c r="A969" s="276">
        <f t="shared" si="347"/>
        <v>520</v>
      </c>
      <c r="B969" s="758" t="str">
        <f>$B364</f>
        <v>8th Grade Teacher</v>
      </c>
      <c r="C969" s="560"/>
      <c r="D969" s="429"/>
      <c r="G969" s="1290">
        <f t="shared" si="351"/>
        <v>0</v>
      </c>
      <c r="H969" s="1290">
        <f t="shared" si="351"/>
        <v>0</v>
      </c>
      <c r="I969" s="1290">
        <f t="shared" si="351"/>
        <v>0</v>
      </c>
      <c r="J969" s="1290">
        <f t="shared" si="351"/>
        <v>0</v>
      </c>
      <c r="K969" s="1290">
        <f t="shared" si="351"/>
        <v>0</v>
      </c>
      <c r="L969" s="1290">
        <f t="shared" si="351"/>
        <v>0</v>
      </c>
      <c r="M969" s="1290">
        <f t="shared" si="351"/>
        <v>3154.3847561702992</v>
      </c>
      <c r="N969" s="168"/>
      <c r="R969" s="282"/>
      <c r="S969" s="282"/>
      <c r="T969" s="282"/>
      <c r="U969" s="282"/>
      <c r="V969" s="282"/>
      <c r="W969" s="282"/>
      <c r="X969" s="282"/>
      <c r="Y969" s="282"/>
      <c r="Z969" s="282"/>
      <c r="AA969" s="282"/>
    </row>
    <row r="970" spans="1:27" s="428" customFormat="1" outlineLevel="2" x14ac:dyDescent="0.25">
      <c r="A970" s="276">
        <f t="shared" si="347"/>
        <v>521</v>
      </c>
      <c r="B970" s="758" t="str">
        <f>$B365</f>
        <v>8th Grade Teacher</v>
      </c>
      <c r="C970" s="560"/>
      <c r="D970" s="429"/>
      <c r="G970" s="1290">
        <f t="shared" si="351"/>
        <v>0</v>
      </c>
      <c r="H970" s="1290">
        <f t="shared" si="351"/>
        <v>0</v>
      </c>
      <c r="I970" s="1290">
        <f t="shared" si="351"/>
        <v>0</v>
      </c>
      <c r="J970" s="1290">
        <f t="shared" si="351"/>
        <v>0</v>
      </c>
      <c r="K970" s="1290">
        <f t="shared" si="351"/>
        <v>0</v>
      </c>
      <c r="L970" s="1290">
        <f t="shared" si="351"/>
        <v>0</v>
      </c>
      <c r="M970" s="1290">
        <f t="shared" si="351"/>
        <v>3154.3847561702992</v>
      </c>
      <c r="N970" s="168"/>
      <c r="R970" s="282"/>
      <c r="S970" s="282"/>
      <c r="T970" s="282"/>
      <c r="U970" s="282"/>
      <c r="V970" s="282"/>
      <c r="W970" s="282"/>
      <c r="X970" s="282"/>
      <c r="Y970" s="282"/>
      <c r="Z970" s="282"/>
      <c r="AA970" s="282"/>
    </row>
    <row r="971" spans="1:27" s="428" customFormat="1" outlineLevel="2" x14ac:dyDescent="0.25">
      <c r="A971" s="276">
        <f t="shared" si="347"/>
        <v>522</v>
      </c>
      <c r="B971" s="758" t="str">
        <f>$B366</f>
        <v>Grade Level Teacher</v>
      </c>
      <c r="C971" s="560"/>
      <c r="D971" s="429"/>
      <c r="G971" s="1290">
        <f t="shared" si="351"/>
        <v>0</v>
      </c>
      <c r="H971" s="1290">
        <f t="shared" si="351"/>
        <v>0</v>
      </c>
      <c r="I971" s="1290">
        <f t="shared" si="351"/>
        <v>2634.5340000000001</v>
      </c>
      <c r="J971" s="1290">
        <f t="shared" si="351"/>
        <v>2713.5700200000001</v>
      </c>
      <c r="K971" s="1290">
        <f t="shared" si="351"/>
        <v>2794.9771206</v>
      </c>
      <c r="L971" s="1290">
        <f t="shared" si="351"/>
        <v>2878.8264342179996</v>
      </c>
      <c r="M971" s="1290">
        <f t="shared" si="351"/>
        <v>2965.1912272445397</v>
      </c>
      <c r="N971" s="168"/>
      <c r="R971" s="282"/>
      <c r="S971" s="282"/>
      <c r="T971" s="282"/>
      <c r="U971" s="282"/>
      <c r="V971" s="282"/>
      <c r="W971" s="282"/>
      <c r="X971" s="282"/>
      <c r="Y971" s="282"/>
      <c r="Z971" s="282"/>
      <c r="AA971" s="282"/>
    </row>
    <row r="972" spans="1:27" s="431" customFormat="1" outlineLevel="2" x14ac:dyDescent="0.25">
      <c r="A972" s="276">
        <f t="shared" si="347"/>
        <v>523</v>
      </c>
      <c r="B972" s="758" t="str">
        <f>$B367</f>
        <v>Grade Level Teacher</v>
      </c>
      <c r="C972" s="560"/>
      <c r="D972" s="429"/>
      <c r="G972" s="1290">
        <f t="shared" si="351"/>
        <v>0</v>
      </c>
      <c r="H972" s="1290">
        <f t="shared" si="351"/>
        <v>0</v>
      </c>
      <c r="I972" s="1290">
        <f t="shared" si="351"/>
        <v>2634.5340000000001</v>
      </c>
      <c r="J972" s="1290">
        <f t="shared" si="351"/>
        <v>2713.5700200000001</v>
      </c>
      <c r="K972" s="1290">
        <f t="shared" si="351"/>
        <v>2794.9771206</v>
      </c>
      <c r="L972" s="1290">
        <f t="shared" si="351"/>
        <v>2878.8264342179996</v>
      </c>
      <c r="M972" s="1290">
        <f t="shared" si="351"/>
        <v>2965.1912272445397</v>
      </c>
      <c r="N972" s="141"/>
      <c r="R972" s="282"/>
      <c r="S972" s="282"/>
      <c r="T972" s="282"/>
      <c r="U972" s="282"/>
      <c r="V972" s="282"/>
      <c r="W972" s="282"/>
      <c r="X972" s="282"/>
      <c r="Y972" s="282"/>
      <c r="Z972" s="282"/>
      <c r="AA972" s="282"/>
    </row>
    <row r="973" spans="1:27" s="431" customFormat="1" outlineLevel="2" x14ac:dyDescent="0.25">
      <c r="A973" s="276">
        <f t="shared" si="347"/>
        <v>524</v>
      </c>
      <c r="B973" s="758"/>
      <c r="C973" s="561"/>
      <c r="D973" s="428"/>
      <c r="G973" s="1290"/>
      <c r="H973" s="1290"/>
      <c r="I973" s="1290"/>
      <c r="J973" s="1290"/>
      <c r="K973" s="1290"/>
      <c r="L973" s="1290"/>
      <c r="M973" s="1290"/>
      <c r="N973" s="141"/>
      <c r="R973" s="282"/>
      <c r="S973" s="282"/>
      <c r="T973" s="282"/>
      <c r="U973" s="282"/>
      <c r="V973" s="282"/>
      <c r="W973" s="282"/>
      <c r="X973" s="282"/>
      <c r="Y973" s="282"/>
      <c r="Z973" s="282"/>
      <c r="AA973" s="282"/>
    </row>
    <row r="974" spans="1:27" s="428" customFormat="1" outlineLevel="2" x14ac:dyDescent="0.25">
      <c r="A974" s="276">
        <f t="shared" si="347"/>
        <v>525</v>
      </c>
      <c r="B974" s="758" t="str">
        <f t="shared" ref="B974:B979" si="352">$B369</f>
        <v>Grade Level Teacher</v>
      </c>
      <c r="C974" s="560"/>
      <c r="D974" s="429"/>
      <c r="G974" s="1290">
        <f t="shared" ref="G974:M979" si="353">G369*$C$92</f>
        <v>0</v>
      </c>
      <c r="H974" s="1290">
        <f t="shared" si="353"/>
        <v>0</v>
      </c>
      <c r="I974" s="1290">
        <f t="shared" si="353"/>
        <v>2634.5340000000001</v>
      </c>
      <c r="J974" s="1290">
        <f t="shared" si="353"/>
        <v>2713.5700200000001</v>
      </c>
      <c r="K974" s="1290">
        <f t="shared" si="353"/>
        <v>2794.9771206</v>
      </c>
      <c r="L974" s="1290">
        <f t="shared" si="353"/>
        <v>2878.8264342179996</v>
      </c>
      <c r="M974" s="1290">
        <f t="shared" si="353"/>
        <v>2965.1912272445397</v>
      </c>
      <c r="N974" s="168"/>
      <c r="R974" s="282"/>
      <c r="S974" s="282"/>
      <c r="T974" s="282"/>
      <c r="U974" s="282"/>
      <c r="V974" s="282"/>
      <c r="W974" s="282"/>
      <c r="X974" s="282"/>
      <c r="Y974" s="282"/>
      <c r="Z974" s="282"/>
      <c r="AA974" s="282"/>
    </row>
    <row r="975" spans="1:27" s="428" customFormat="1" outlineLevel="2" x14ac:dyDescent="0.25">
      <c r="A975" s="276">
        <f t="shared" si="347"/>
        <v>526</v>
      </c>
      <c r="B975" s="758" t="str">
        <f t="shared" si="352"/>
        <v>Grade Level Teacher</v>
      </c>
      <c r="C975" s="560"/>
      <c r="D975" s="429"/>
      <c r="G975" s="1290">
        <f t="shared" si="353"/>
        <v>0</v>
      </c>
      <c r="H975" s="1290">
        <f t="shared" si="353"/>
        <v>0</v>
      </c>
      <c r="I975" s="1290">
        <f t="shared" si="353"/>
        <v>0</v>
      </c>
      <c r="J975" s="1290">
        <f t="shared" si="353"/>
        <v>2756.2181999999998</v>
      </c>
      <c r="K975" s="1290">
        <f t="shared" si="353"/>
        <v>2838.9047460000002</v>
      </c>
      <c r="L975" s="1290">
        <f t="shared" si="353"/>
        <v>2924.0718883799996</v>
      </c>
      <c r="M975" s="1290">
        <f t="shared" si="353"/>
        <v>3011.7940450313995</v>
      </c>
      <c r="N975" s="168"/>
      <c r="R975" s="282"/>
      <c r="S975" s="282"/>
      <c r="T975" s="282"/>
      <c r="U975" s="282"/>
      <c r="V975" s="282"/>
      <c r="W975" s="282"/>
      <c r="X975" s="282"/>
      <c r="Y975" s="282"/>
      <c r="Z975" s="282"/>
      <c r="AA975" s="282"/>
    </row>
    <row r="976" spans="1:27" s="428" customFormat="1" outlineLevel="2" x14ac:dyDescent="0.25">
      <c r="A976" s="276">
        <f t="shared" si="347"/>
        <v>527</v>
      </c>
      <c r="B976" s="758" t="str">
        <f t="shared" si="352"/>
        <v>Grade Level Teacher</v>
      </c>
      <c r="C976" s="560"/>
      <c r="D976" s="429"/>
      <c r="G976" s="1290">
        <f t="shared" si="353"/>
        <v>0</v>
      </c>
      <c r="H976" s="1290">
        <f t="shared" si="353"/>
        <v>0</v>
      </c>
      <c r="I976" s="1290">
        <f t="shared" si="353"/>
        <v>0</v>
      </c>
      <c r="J976" s="1290">
        <f t="shared" si="353"/>
        <v>0</v>
      </c>
      <c r="K976" s="1290">
        <f t="shared" si="353"/>
        <v>2884.7992799999997</v>
      </c>
      <c r="L976" s="1290">
        <f t="shared" si="353"/>
        <v>2971.3432583999993</v>
      </c>
      <c r="M976" s="1290">
        <f t="shared" si="353"/>
        <v>3060.4835561519994</v>
      </c>
      <c r="N976" s="168"/>
      <c r="R976" s="282"/>
      <c r="S976" s="282"/>
      <c r="T976" s="282"/>
      <c r="U976" s="282"/>
      <c r="V976" s="282"/>
      <c r="W976" s="282"/>
      <c r="X976" s="282"/>
      <c r="Y976" s="282"/>
      <c r="Z976" s="282"/>
      <c r="AA976" s="282"/>
    </row>
    <row r="977" spans="1:27" s="428" customFormat="1" outlineLevel="2" x14ac:dyDescent="0.25">
      <c r="A977" s="276">
        <f t="shared" si="347"/>
        <v>528</v>
      </c>
      <c r="B977" s="758" t="str">
        <f t="shared" si="352"/>
        <v>Grade Level Teacher</v>
      </c>
      <c r="C977" s="560"/>
      <c r="D977" s="429"/>
      <c r="G977" s="1290">
        <f t="shared" si="353"/>
        <v>0</v>
      </c>
      <c r="H977" s="1290">
        <f t="shared" si="353"/>
        <v>0</v>
      </c>
      <c r="I977" s="1290">
        <f t="shared" si="353"/>
        <v>0</v>
      </c>
      <c r="J977" s="1290">
        <f t="shared" si="353"/>
        <v>0</v>
      </c>
      <c r="K977" s="1290">
        <f t="shared" si="353"/>
        <v>0</v>
      </c>
      <c r="L977" s="1290">
        <f t="shared" si="353"/>
        <v>3018.6146284199999</v>
      </c>
      <c r="M977" s="1290">
        <f t="shared" si="353"/>
        <v>3109.1730672725998</v>
      </c>
      <c r="N977" s="168"/>
      <c r="R977" s="282"/>
      <c r="S977" s="282"/>
      <c r="T977" s="282"/>
      <c r="U977" s="282"/>
      <c r="V977" s="282"/>
      <c r="W977" s="282"/>
      <c r="X977" s="282"/>
      <c r="Y977" s="282"/>
      <c r="Z977" s="282"/>
      <c r="AA977" s="282"/>
    </row>
    <row r="978" spans="1:27" s="428" customFormat="1" outlineLevel="2" x14ac:dyDescent="0.25">
      <c r="A978" s="276">
        <f t="shared" si="347"/>
        <v>529</v>
      </c>
      <c r="B978" s="758" t="str">
        <f t="shared" si="352"/>
        <v>Grade Level Teacher</v>
      </c>
      <c r="C978" s="560"/>
      <c r="D978" s="429"/>
      <c r="G978" s="1290">
        <f t="shared" si="353"/>
        <v>0</v>
      </c>
      <c r="H978" s="1290">
        <f t="shared" si="353"/>
        <v>0</v>
      </c>
      <c r="I978" s="1290">
        <f t="shared" si="353"/>
        <v>0</v>
      </c>
      <c r="J978" s="1290">
        <f t="shared" si="353"/>
        <v>0</v>
      </c>
      <c r="K978" s="1290">
        <f t="shared" si="353"/>
        <v>0</v>
      </c>
      <c r="L978" s="1290">
        <f t="shared" si="353"/>
        <v>0</v>
      </c>
      <c r="M978" s="1290">
        <f t="shared" si="353"/>
        <v>3154.3847561702992</v>
      </c>
      <c r="N978" s="168"/>
      <c r="R978" s="282"/>
      <c r="S978" s="282"/>
      <c r="T978" s="282"/>
      <c r="U978" s="282"/>
      <c r="V978" s="282"/>
      <c r="W978" s="282"/>
      <c r="X978" s="282"/>
      <c r="Y978" s="282"/>
      <c r="Z978" s="282"/>
      <c r="AA978" s="282"/>
    </row>
    <row r="979" spans="1:27" s="428" customFormat="1" outlineLevel="2" x14ac:dyDescent="0.25">
      <c r="A979" s="276">
        <f t="shared" si="347"/>
        <v>530</v>
      </c>
      <c r="B979" s="758" t="str">
        <f t="shared" si="352"/>
        <v>Grade Level Teacher</v>
      </c>
      <c r="C979" s="560"/>
      <c r="D979" s="429"/>
      <c r="G979" s="1290">
        <f t="shared" si="353"/>
        <v>0</v>
      </c>
      <c r="H979" s="1290">
        <f t="shared" si="353"/>
        <v>0</v>
      </c>
      <c r="I979" s="1290">
        <f t="shared" si="353"/>
        <v>0</v>
      </c>
      <c r="J979" s="1290">
        <f t="shared" si="353"/>
        <v>0</v>
      </c>
      <c r="K979" s="1290">
        <f t="shared" si="353"/>
        <v>0</v>
      </c>
      <c r="L979" s="1290">
        <f t="shared" si="353"/>
        <v>0</v>
      </c>
      <c r="M979" s="1290">
        <f t="shared" si="353"/>
        <v>0</v>
      </c>
      <c r="N979" s="168"/>
      <c r="R979" s="282"/>
      <c r="S979" s="282"/>
      <c r="T979" s="282"/>
      <c r="U979" s="282"/>
      <c r="V979" s="282"/>
      <c r="W979" s="282"/>
      <c r="X979" s="282"/>
      <c r="Y979" s="282"/>
      <c r="Z979" s="282"/>
      <c r="AA979" s="282"/>
    </row>
    <row r="980" spans="1:27" s="431" customFormat="1" outlineLevel="2" x14ac:dyDescent="0.25">
      <c r="A980" s="276">
        <f t="shared" ref="A980:A1011" si="354">ROW(A531)</f>
        <v>531</v>
      </c>
      <c r="B980" s="758"/>
      <c r="C980" s="561"/>
      <c r="D980" s="428"/>
      <c r="G980" s="1290"/>
      <c r="H980" s="1290"/>
      <c r="I980" s="1290"/>
      <c r="J980" s="1290"/>
      <c r="K980" s="1290"/>
      <c r="L980" s="1290"/>
      <c r="M980" s="1290"/>
      <c r="N980" s="141"/>
      <c r="R980" s="282"/>
      <c r="S980" s="282"/>
      <c r="T980" s="282"/>
      <c r="U980" s="282"/>
      <c r="V980" s="282"/>
      <c r="W980" s="282"/>
      <c r="X980" s="282"/>
      <c r="Y980" s="282"/>
      <c r="Z980" s="282"/>
      <c r="AA980" s="282"/>
    </row>
    <row r="981" spans="1:27" s="428" customFormat="1" outlineLevel="2" x14ac:dyDescent="0.25">
      <c r="A981" s="276">
        <f t="shared" si="354"/>
        <v>532</v>
      </c>
      <c r="B981" s="758" t="str">
        <f>$B376</f>
        <v>8th Grade Teacher</v>
      </c>
      <c r="C981" s="560"/>
      <c r="D981" s="429"/>
      <c r="G981" s="1290">
        <f t="shared" ref="G981:M985" si="355">G376*$C$92</f>
        <v>0</v>
      </c>
      <c r="H981" s="1290">
        <f t="shared" si="355"/>
        <v>0</v>
      </c>
      <c r="I981" s="1290">
        <f t="shared" si="355"/>
        <v>0</v>
      </c>
      <c r="J981" s="1290">
        <f t="shared" si="355"/>
        <v>0</v>
      </c>
      <c r="K981" s="1290">
        <f t="shared" si="355"/>
        <v>0</v>
      </c>
      <c r="L981" s="1290">
        <f t="shared" si="355"/>
        <v>0</v>
      </c>
      <c r="M981" s="1290">
        <f t="shared" si="355"/>
        <v>0</v>
      </c>
      <c r="N981" s="168"/>
      <c r="R981" s="282"/>
      <c r="S981" s="282"/>
      <c r="T981" s="282"/>
      <c r="U981" s="282"/>
      <c r="V981" s="282"/>
      <c r="W981" s="282"/>
      <c r="X981" s="282"/>
      <c r="Y981" s="282"/>
      <c r="Z981" s="282"/>
      <c r="AA981" s="282"/>
    </row>
    <row r="982" spans="1:27" s="428" customFormat="1" outlineLevel="2" x14ac:dyDescent="0.25">
      <c r="A982" s="276">
        <f t="shared" si="354"/>
        <v>533</v>
      </c>
      <c r="B982" s="758" t="str">
        <f>$B377</f>
        <v>8th Grade Teacher</v>
      </c>
      <c r="C982" s="560"/>
      <c r="D982" s="429"/>
      <c r="G982" s="1290">
        <f t="shared" si="355"/>
        <v>0</v>
      </c>
      <c r="H982" s="1290">
        <f t="shared" si="355"/>
        <v>0</v>
      </c>
      <c r="I982" s="1290">
        <f t="shared" si="355"/>
        <v>0</v>
      </c>
      <c r="J982" s="1290">
        <f t="shared" si="355"/>
        <v>0</v>
      </c>
      <c r="K982" s="1290">
        <f t="shared" si="355"/>
        <v>0</v>
      </c>
      <c r="L982" s="1290">
        <f t="shared" si="355"/>
        <v>0</v>
      </c>
      <c r="M982" s="1290">
        <f t="shared" si="355"/>
        <v>0</v>
      </c>
      <c r="N982" s="168"/>
      <c r="R982" s="282"/>
      <c r="S982" s="282"/>
      <c r="T982" s="282"/>
      <c r="U982" s="282"/>
      <c r="V982" s="282"/>
      <c r="W982" s="282"/>
      <c r="X982" s="282"/>
      <c r="Y982" s="282"/>
      <c r="Z982" s="282"/>
      <c r="AA982" s="282"/>
    </row>
    <row r="983" spans="1:27" s="428" customFormat="1" outlineLevel="2" x14ac:dyDescent="0.25">
      <c r="A983" s="276">
        <f t="shared" si="354"/>
        <v>534</v>
      </c>
      <c r="B983" s="758" t="str">
        <f>$B378</f>
        <v>8th Grade Teacher</v>
      </c>
      <c r="C983" s="560"/>
      <c r="D983" s="429"/>
      <c r="G983" s="1290">
        <f t="shared" si="355"/>
        <v>0</v>
      </c>
      <c r="H983" s="1290">
        <f t="shared" si="355"/>
        <v>0</v>
      </c>
      <c r="I983" s="1290">
        <f t="shared" si="355"/>
        <v>0</v>
      </c>
      <c r="J983" s="1290">
        <f t="shared" si="355"/>
        <v>0</v>
      </c>
      <c r="K983" s="1290">
        <f t="shared" si="355"/>
        <v>0</v>
      </c>
      <c r="L983" s="1290">
        <f t="shared" si="355"/>
        <v>0</v>
      </c>
      <c r="M983" s="1290">
        <f t="shared" si="355"/>
        <v>0</v>
      </c>
      <c r="N983" s="168"/>
      <c r="R983" s="282"/>
      <c r="S983" s="282"/>
      <c r="T983" s="282"/>
      <c r="U983" s="282"/>
      <c r="V983" s="282"/>
      <c r="W983" s="282"/>
      <c r="X983" s="282"/>
      <c r="Y983" s="282"/>
      <c r="Z983" s="282"/>
      <c r="AA983" s="282"/>
    </row>
    <row r="984" spans="1:27" s="428" customFormat="1" outlineLevel="2" x14ac:dyDescent="0.25">
      <c r="A984" s="276">
        <f t="shared" si="354"/>
        <v>535</v>
      </c>
      <c r="B984" s="758" t="str">
        <f>$B379</f>
        <v>8th Grade Teacher</v>
      </c>
      <c r="C984" s="560"/>
      <c r="D984" s="429"/>
      <c r="G984" s="1290">
        <f t="shared" si="355"/>
        <v>0</v>
      </c>
      <c r="H984" s="1290">
        <f t="shared" si="355"/>
        <v>0</v>
      </c>
      <c r="I984" s="1290">
        <f t="shared" si="355"/>
        <v>0</v>
      </c>
      <c r="J984" s="1290">
        <f t="shared" si="355"/>
        <v>0</v>
      </c>
      <c r="K984" s="1290">
        <f t="shared" si="355"/>
        <v>0</v>
      </c>
      <c r="L984" s="1290">
        <f t="shared" si="355"/>
        <v>0</v>
      </c>
      <c r="M984" s="1290">
        <f t="shared" si="355"/>
        <v>0</v>
      </c>
      <c r="N984" s="168"/>
      <c r="R984" s="282"/>
      <c r="S984" s="282"/>
      <c r="T984" s="282"/>
      <c r="U984" s="282"/>
      <c r="V984" s="282"/>
      <c r="W984" s="282"/>
      <c r="X984" s="282"/>
      <c r="Y984" s="282"/>
      <c r="Z984" s="282"/>
      <c r="AA984" s="282"/>
    </row>
    <row r="985" spans="1:27" s="428" customFormat="1" outlineLevel="2" x14ac:dyDescent="0.25">
      <c r="A985" s="276">
        <f t="shared" si="354"/>
        <v>536</v>
      </c>
      <c r="B985" s="758">
        <f>$B380</f>
        <v>0</v>
      </c>
      <c r="C985" s="560"/>
      <c r="D985" s="429"/>
      <c r="G985" s="1290">
        <f t="shared" si="355"/>
        <v>0</v>
      </c>
      <c r="H985" s="1290">
        <f t="shared" si="355"/>
        <v>0</v>
      </c>
      <c r="I985" s="1290">
        <f t="shared" si="355"/>
        <v>0</v>
      </c>
      <c r="J985" s="1290">
        <f t="shared" si="355"/>
        <v>0</v>
      </c>
      <c r="K985" s="1290">
        <f t="shared" si="355"/>
        <v>0</v>
      </c>
      <c r="L985" s="1290">
        <f t="shared" si="355"/>
        <v>0</v>
      </c>
      <c r="M985" s="1290">
        <f t="shared" si="355"/>
        <v>0</v>
      </c>
      <c r="N985" s="168"/>
      <c r="R985" s="282"/>
      <c r="S985" s="282"/>
      <c r="T985" s="282"/>
      <c r="U985" s="282"/>
      <c r="V985" s="282"/>
      <c r="W985" s="282"/>
      <c r="X985" s="282"/>
      <c r="Y985" s="282"/>
      <c r="Z985" s="282"/>
      <c r="AA985" s="282"/>
    </row>
    <row r="986" spans="1:27" s="428" customFormat="1" outlineLevel="2" x14ac:dyDescent="0.25">
      <c r="A986" s="276">
        <f t="shared" si="354"/>
        <v>537</v>
      </c>
      <c r="B986" s="758"/>
      <c r="C986" s="560"/>
      <c r="D986" s="429"/>
      <c r="G986" s="1290"/>
      <c r="H986" s="1290"/>
      <c r="I986" s="1290"/>
      <c r="J986" s="1290"/>
      <c r="K986" s="1290"/>
      <c r="L986" s="1290"/>
      <c r="M986" s="1290"/>
      <c r="N986" s="168"/>
      <c r="R986" s="282"/>
      <c r="S986" s="282"/>
      <c r="T986" s="282"/>
      <c r="U986" s="282"/>
      <c r="V986" s="282"/>
      <c r="W986" s="282"/>
      <c r="X986" s="282"/>
      <c r="Y986" s="282"/>
      <c r="Z986" s="282"/>
      <c r="AA986" s="282"/>
    </row>
    <row r="987" spans="1:27" s="428" customFormat="1" outlineLevel="2" x14ac:dyDescent="0.25">
      <c r="A987" s="276">
        <f t="shared" si="354"/>
        <v>538</v>
      </c>
      <c r="B987" s="758" t="str">
        <f>$B382</f>
        <v>PE teacher</v>
      </c>
      <c r="C987" s="560"/>
      <c r="D987" s="429"/>
      <c r="G987" s="1290">
        <f t="shared" ref="G987:M991" si="356">G382*$C$92</f>
        <v>0</v>
      </c>
      <c r="H987" s="1290">
        <f t="shared" si="356"/>
        <v>0</v>
      </c>
      <c r="I987" s="1290">
        <f t="shared" si="356"/>
        <v>0</v>
      </c>
      <c r="J987" s="1290">
        <f t="shared" si="356"/>
        <v>0</v>
      </c>
      <c r="K987" s="1290">
        <f t="shared" si="356"/>
        <v>0</v>
      </c>
      <c r="L987" s="1290">
        <f t="shared" si="356"/>
        <v>0</v>
      </c>
      <c r="M987" s="1290">
        <f t="shared" si="356"/>
        <v>0</v>
      </c>
      <c r="N987" s="168"/>
      <c r="R987" s="282"/>
      <c r="S987" s="282"/>
      <c r="T987" s="282"/>
      <c r="U987" s="282"/>
      <c r="V987" s="282"/>
      <c r="W987" s="282"/>
      <c r="X987" s="282"/>
      <c r="Y987" s="282"/>
      <c r="Z987" s="282"/>
      <c r="AA987" s="282"/>
    </row>
    <row r="988" spans="1:27" s="428" customFormat="1" outlineLevel="2" x14ac:dyDescent="0.25">
      <c r="A988" s="276">
        <f t="shared" si="354"/>
        <v>539</v>
      </c>
      <c r="B988" s="758" t="str">
        <f>$B383</f>
        <v>PE teacher</v>
      </c>
      <c r="C988" s="560"/>
      <c r="D988" s="429"/>
      <c r="G988" s="1290">
        <f t="shared" si="356"/>
        <v>0</v>
      </c>
      <c r="H988" s="1290">
        <f t="shared" si="356"/>
        <v>0</v>
      </c>
      <c r="I988" s="1290">
        <f t="shared" si="356"/>
        <v>0</v>
      </c>
      <c r="J988" s="1290">
        <f t="shared" si="356"/>
        <v>0</v>
      </c>
      <c r="K988" s="1290">
        <f t="shared" si="356"/>
        <v>0</v>
      </c>
      <c r="L988" s="1290">
        <f t="shared" si="356"/>
        <v>0</v>
      </c>
      <c r="M988" s="1290">
        <f t="shared" si="356"/>
        <v>0</v>
      </c>
      <c r="N988" s="168"/>
      <c r="R988" s="282"/>
      <c r="S988" s="282"/>
      <c r="T988" s="282"/>
      <c r="U988" s="282"/>
      <c r="V988" s="282"/>
      <c r="W988" s="282"/>
      <c r="X988" s="282"/>
      <c r="Y988" s="282"/>
      <c r="Z988" s="282"/>
      <c r="AA988" s="282"/>
    </row>
    <row r="989" spans="1:27" s="428" customFormat="1" outlineLevel="2" x14ac:dyDescent="0.25">
      <c r="A989" s="276">
        <f t="shared" si="354"/>
        <v>540</v>
      </c>
      <c r="B989" s="758" t="str">
        <f>$B384</f>
        <v>Grade Level Teacher</v>
      </c>
      <c r="C989" s="560"/>
      <c r="D989" s="429"/>
      <c r="G989" s="1290">
        <f t="shared" si="356"/>
        <v>0</v>
      </c>
      <c r="H989" s="1290">
        <f t="shared" si="356"/>
        <v>0</v>
      </c>
      <c r="I989" s="1290">
        <f t="shared" si="356"/>
        <v>0</v>
      </c>
      <c r="J989" s="1290">
        <f t="shared" si="356"/>
        <v>0</v>
      </c>
      <c r="K989" s="1290">
        <f t="shared" si="356"/>
        <v>0</v>
      </c>
      <c r="L989" s="1290">
        <f t="shared" si="356"/>
        <v>0</v>
      </c>
      <c r="M989" s="1290">
        <f t="shared" si="356"/>
        <v>0</v>
      </c>
      <c r="N989" s="168"/>
      <c r="R989" s="282"/>
      <c r="S989" s="282"/>
      <c r="T989" s="282"/>
      <c r="U989" s="282"/>
      <c r="V989" s="282"/>
      <c r="W989" s="282"/>
      <c r="X989" s="282"/>
      <c r="Y989" s="282"/>
      <c r="Z989" s="282"/>
      <c r="AA989" s="282"/>
    </row>
    <row r="990" spans="1:27" s="428" customFormat="1" outlineLevel="2" x14ac:dyDescent="0.25">
      <c r="A990" s="276">
        <f t="shared" si="354"/>
        <v>541</v>
      </c>
      <c r="B990" s="758" t="str">
        <f>$B385</f>
        <v>Grade Level Teacher</v>
      </c>
      <c r="C990" s="560"/>
      <c r="D990" s="429"/>
      <c r="G990" s="1290">
        <f t="shared" si="356"/>
        <v>0</v>
      </c>
      <c r="H990" s="1290">
        <f t="shared" si="356"/>
        <v>0</v>
      </c>
      <c r="I990" s="1290">
        <f t="shared" si="356"/>
        <v>0</v>
      </c>
      <c r="J990" s="1290">
        <f t="shared" si="356"/>
        <v>0</v>
      </c>
      <c r="K990" s="1290">
        <f t="shared" si="356"/>
        <v>0</v>
      </c>
      <c r="L990" s="1290">
        <f t="shared" si="356"/>
        <v>0</v>
      </c>
      <c r="M990" s="1290">
        <f t="shared" si="356"/>
        <v>0</v>
      </c>
      <c r="N990" s="168"/>
      <c r="R990" s="282"/>
      <c r="S990" s="282"/>
      <c r="T990" s="282"/>
      <c r="U990" s="282"/>
      <c r="V990" s="282"/>
      <c r="W990" s="282"/>
      <c r="X990" s="282"/>
      <c r="Y990" s="282"/>
      <c r="Z990" s="282"/>
      <c r="AA990" s="282"/>
    </row>
    <row r="991" spans="1:27" s="428" customFormat="1" outlineLevel="2" x14ac:dyDescent="0.25">
      <c r="A991" s="276">
        <f t="shared" si="354"/>
        <v>542</v>
      </c>
      <c r="B991" s="758" t="str">
        <f>$B386</f>
        <v>Grade Level Teacher</v>
      </c>
      <c r="C991" s="560"/>
      <c r="D991" s="429"/>
      <c r="G991" s="1290">
        <f t="shared" si="356"/>
        <v>0</v>
      </c>
      <c r="H991" s="1290">
        <f t="shared" si="356"/>
        <v>0</v>
      </c>
      <c r="I991" s="1290">
        <f t="shared" si="356"/>
        <v>0</v>
      </c>
      <c r="J991" s="1290">
        <f t="shared" si="356"/>
        <v>0</v>
      </c>
      <c r="K991" s="1290">
        <f t="shared" si="356"/>
        <v>0</v>
      </c>
      <c r="L991" s="1290">
        <f t="shared" si="356"/>
        <v>0</v>
      </c>
      <c r="M991" s="1290">
        <f t="shared" si="356"/>
        <v>0</v>
      </c>
      <c r="N991" s="168"/>
      <c r="R991" s="282"/>
      <c r="S991" s="282"/>
      <c r="T991" s="282"/>
      <c r="U991" s="282"/>
      <c r="V991" s="282"/>
      <c r="W991" s="282"/>
      <c r="X991" s="282"/>
      <c r="Y991" s="282"/>
      <c r="Z991" s="282"/>
      <c r="AA991" s="282"/>
    </row>
    <row r="992" spans="1:27" s="428" customFormat="1" outlineLevel="2" x14ac:dyDescent="0.25">
      <c r="A992" s="276">
        <f t="shared" si="354"/>
        <v>543</v>
      </c>
      <c r="B992" s="758"/>
      <c r="C992" s="560"/>
      <c r="D992" s="429"/>
      <c r="G992" s="1290"/>
      <c r="H992" s="1290"/>
      <c r="I992" s="1290"/>
      <c r="J992" s="1290"/>
      <c r="K992" s="1290"/>
      <c r="L992" s="1290"/>
      <c r="M992" s="1290"/>
      <c r="N992" s="168"/>
      <c r="R992" s="282"/>
      <c r="S992" s="282"/>
      <c r="T992" s="282"/>
      <c r="U992" s="282"/>
      <c r="V992" s="282"/>
      <c r="W992" s="282"/>
      <c r="X992" s="282"/>
      <c r="Y992" s="282"/>
      <c r="Z992" s="282"/>
      <c r="AA992" s="282"/>
    </row>
    <row r="993" spans="1:27" s="428" customFormat="1" outlineLevel="2" x14ac:dyDescent="0.25">
      <c r="A993" s="276">
        <f t="shared" si="354"/>
        <v>544</v>
      </c>
      <c r="B993" s="758" t="str">
        <f>$B388</f>
        <v>STEAM Teacher</v>
      </c>
      <c r="C993" s="560"/>
      <c r="D993" s="429"/>
      <c r="G993" s="1290">
        <f t="shared" ref="G993:M997" si="357">G388*$C$92</f>
        <v>0</v>
      </c>
      <c r="H993" s="1290">
        <f t="shared" si="357"/>
        <v>0</v>
      </c>
      <c r="I993" s="1290">
        <f t="shared" si="357"/>
        <v>0</v>
      </c>
      <c r="J993" s="1290">
        <f t="shared" si="357"/>
        <v>0</v>
      </c>
      <c r="K993" s="1290">
        <f t="shared" si="357"/>
        <v>0</v>
      </c>
      <c r="L993" s="1290">
        <f t="shared" si="357"/>
        <v>0</v>
      </c>
      <c r="M993" s="1290">
        <f t="shared" si="357"/>
        <v>0</v>
      </c>
      <c r="N993" s="168"/>
      <c r="R993" s="282"/>
      <c r="S993" s="282"/>
      <c r="T993" s="282"/>
      <c r="U993" s="282"/>
      <c r="V993" s="282"/>
      <c r="W993" s="282"/>
      <c r="X993" s="282"/>
      <c r="Y993" s="282"/>
      <c r="Z993" s="282"/>
      <c r="AA993" s="282"/>
    </row>
    <row r="994" spans="1:27" s="428" customFormat="1" outlineLevel="2" x14ac:dyDescent="0.25">
      <c r="A994" s="276">
        <f t="shared" si="354"/>
        <v>545</v>
      </c>
      <c r="B994" s="758" t="str">
        <f>$B389</f>
        <v>STEAM Teacher</v>
      </c>
      <c r="C994" s="560"/>
      <c r="D994" s="429"/>
      <c r="G994" s="1290">
        <f t="shared" si="357"/>
        <v>0</v>
      </c>
      <c r="H994" s="1290">
        <f t="shared" si="357"/>
        <v>0</v>
      </c>
      <c r="I994" s="1290">
        <f t="shared" si="357"/>
        <v>0</v>
      </c>
      <c r="J994" s="1290">
        <f t="shared" si="357"/>
        <v>0</v>
      </c>
      <c r="K994" s="1290">
        <f t="shared" si="357"/>
        <v>0</v>
      </c>
      <c r="L994" s="1290">
        <f t="shared" si="357"/>
        <v>0</v>
      </c>
      <c r="M994" s="1290">
        <f t="shared" si="357"/>
        <v>0</v>
      </c>
      <c r="N994" s="168"/>
      <c r="R994" s="282"/>
      <c r="S994" s="282"/>
      <c r="T994" s="282"/>
      <c r="U994" s="282"/>
      <c r="V994" s="282"/>
      <c r="W994" s="282"/>
      <c r="X994" s="282"/>
      <c r="Y994" s="282"/>
      <c r="Z994" s="282"/>
      <c r="AA994" s="282"/>
    </row>
    <row r="995" spans="1:27" s="428" customFormat="1" outlineLevel="2" x14ac:dyDescent="0.25">
      <c r="A995" s="276">
        <f t="shared" si="354"/>
        <v>546</v>
      </c>
      <c r="B995" s="758" t="str">
        <f>$B390</f>
        <v>Grade Level Teacher</v>
      </c>
      <c r="C995" s="560"/>
      <c r="D995" s="429"/>
      <c r="G995" s="1290">
        <f t="shared" si="357"/>
        <v>0</v>
      </c>
      <c r="H995" s="1290">
        <f t="shared" si="357"/>
        <v>0</v>
      </c>
      <c r="I995" s="1290">
        <f t="shared" si="357"/>
        <v>0</v>
      </c>
      <c r="J995" s="1290">
        <f t="shared" si="357"/>
        <v>0</v>
      </c>
      <c r="K995" s="1290">
        <f t="shared" si="357"/>
        <v>0</v>
      </c>
      <c r="L995" s="1290">
        <f t="shared" si="357"/>
        <v>0</v>
      </c>
      <c r="M995" s="1290">
        <f t="shared" si="357"/>
        <v>0</v>
      </c>
      <c r="N995" s="168"/>
      <c r="R995" s="282"/>
      <c r="S995" s="282"/>
      <c r="T995" s="282"/>
      <c r="U995" s="282"/>
      <c r="V995" s="282"/>
      <c r="W995" s="282"/>
      <c r="X995" s="282"/>
      <c r="Y995" s="282"/>
      <c r="Z995" s="282"/>
      <c r="AA995" s="282"/>
    </row>
    <row r="996" spans="1:27" s="428" customFormat="1" outlineLevel="2" x14ac:dyDescent="0.25">
      <c r="A996" s="276">
        <f t="shared" si="354"/>
        <v>547</v>
      </c>
      <c r="B996" s="758" t="str">
        <f>$B391</f>
        <v>Grade Level Teacher</v>
      </c>
      <c r="C996" s="560"/>
      <c r="D996" s="429"/>
      <c r="G996" s="1290">
        <f t="shared" si="357"/>
        <v>0</v>
      </c>
      <c r="H996" s="1290">
        <f t="shared" si="357"/>
        <v>0</v>
      </c>
      <c r="I996" s="1290">
        <f t="shared" si="357"/>
        <v>0</v>
      </c>
      <c r="J996" s="1290">
        <f t="shared" si="357"/>
        <v>0</v>
      </c>
      <c r="K996" s="1290">
        <f t="shared" si="357"/>
        <v>0</v>
      </c>
      <c r="L996" s="1290">
        <f t="shared" si="357"/>
        <v>0</v>
      </c>
      <c r="M996" s="1290">
        <f t="shared" si="357"/>
        <v>0</v>
      </c>
      <c r="N996" s="168"/>
      <c r="R996" s="282"/>
      <c r="S996" s="282"/>
      <c r="T996" s="282"/>
      <c r="U996" s="282"/>
      <c r="V996" s="282"/>
      <c r="W996" s="282"/>
      <c r="X996" s="282"/>
      <c r="Y996" s="282"/>
      <c r="Z996" s="282"/>
      <c r="AA996" s="282"/>
    </row>
    <row r="997" spans="1:27" s="428" customFormat="1" outlineLevel="2" x14ac:dyDescent="0.25">
      <c r="A997" s="276">
        <f t="shared" si="354"/>
        <v>548</v>
      </c>
      <c r="B997" s="758" t="str">
        <f>$B392</f>
        <v>Grade Level Teacher</v>
      </c>
      <c r="C997" s="560"/>
      <c r="D997" s="429"/>
      <c r="G997" s="1290">
        <f t="shared" si="357"/>
        <v>0</v>
      </c>
      <c r="H997" s="1290">
        <f t="shared" si="357"/>
        <v>0</v>
      </c>
      <c r="I997" s="1290">
        <f t="shared" si="357"/>
        <v>0</v>
      </c>
      <c r="J997" s="1290">
        <f t="shared" si="357"/>
        <v>0</v>
      </c>
      <c r="K997" s="1290">
        <f t="shared" si="357"/>
        <v>0</v>
      </c>
      <c r="L997" s="1290">
        <f t="shared" si="357"/>
        <v>0</v>
      </c>
      <c r="M997" s="1290">
        <f t="shared" si="357"/>
        <v>0</v>
      </c>
      <c r="N997" s="168"/>
      <c r="R997" s="282"/>
      <c r="S997" s="282"/>
      <c r="T997" s="282"/>
      <c r="U997" s="282"/>
      <c r="V997" s="282"/>
      <c r="W997" s="282"/>
      <c r="X997" s="282"/>
      <c r="Y997" s="282"/>
      <c r="Z997" s="282"/>
      <c r="AA997" s="282"/>
    </row>
    <row r="998" spans="1:27" s="431" customFormat="1" outlineLevel="2" x14ac:dyDescent="0.25">
      <c r="A998" s="276">
        <f t="shared" si="354"/>
        <v>549</v>
      </c>
      <c r="B998" s="758"/>
      <c r="C998" s="561"/>
      <c r="D998" s="428"/>
      <c r="G998" s="1290"/>
      <c r="H998" s="1290"/>
      <c r="I998" s="1290"/>
      <c r="J998" s="1290"/>
      <c r="K998" s="1290"/>
      <c r="L998" s="1290"/>
      <c r="M998" s="1290"/>
      <c r="N998" s="141"/>
      <c r="R998" s="282"/>
      <c r="S998" s="282"/>
      <c r="T998" s="282"/>
      <c r="U998" s="282"/>
      <c r="V998" s="282"/>
      <c r="W998" s="282"/>
      <c r="X998" s="282"/>
      <c r="Y998" s="282"/>
      <c r="Z998" s="282"/>
      <c r="AA998" s="282"/>
    </row>
    <row r="999" spans="1:27" s="428" customFormat="1" outlineLevel="2" x14ac:dyDescent="0.25">
      <c r="A999" s="276">
        <f t="shared" si="354"/>
        <v>550</v>
      </c>
      <c r="B999" s="758" t="str">
        <f>$B394</f>
        <v>Spanish Teacher</v>
      </c>
      <c r="C999" s="560"/>
      <c r="D999" s="429"/>
      <c r="G999" s="1290">
        <f t="shared" ref="G999:M1003" si="358">G394*$C$92</f>
        <v>0</v>
      </c>
      <c r="H999" s="1290">
        <f t="shared" si="358"/>
        <v>0</v>
      </c>
      <c r="I999" s="1290">
        <f t="shared" si="358"/>
        <v>0</v>
      </c>
      <c r="J999" s="1290">
        <f t="shared" si="358"/>
        <v>0</v>
      </c>
      <c r="K999" s="1290">
        <f t="shared" si="358"/>
        <v>0</v>
      </c>
      <c r="L999" s="1290">
        <f t="shared" si="358"/>
        <v>0</v>
      </c>
      <c r="M999" s="1290">
        <f t="shared" si="358"/>
        <v>0</v>
      </c>
      <c r="N999" s="168"/>
      <c r="R999" s="282"/>
      <c r="S999" s="282"/>
      <c r="T999" s="282"/>
      <c r="U999" s="282"/>
      <c r="V999" s="282"/>
      <c r="W999" s="282"/>
      <c r="X999" s="282"/>
      <c r="Y999" s="282"/>
      <c r="Z999" s="282"/>
      <c r="AA999" s="282"/>
    </row>
    <row r="1000" spans="1:27" s="428" customFormat="1" outlineLevel="2" x14ac:dyDescent="0.25">
      <c r="A1000" s="276">
        <f t="shared" si="354"/>
        <v>551</v>
      </c>
      <c r="B1000" s="758" t="str">
        <f>$B395</f>
        <v>Art Teacher</v>
      </c>
      <c r="C1000" s="560"/>
      <c r="D1000" s="429"/>
      <c r="G1000" s="1290">
        <f t="shared" si="358"/>
        <v>0</v>
      </c>
      <c r="H1000" s="1290">
        <f t="shared" si="358"/>
        <v>0</v>
      </c>
      <c r="I1000" s="1290">
        <f t="shared" si="358"/>
        <v>0</v>
      </c>
      <c r="J1000" s="1290">
        <f t="shared" si="358"/>
        <v>0</v>
      </c>
      <c r="K1000" s="1290">
        <f t="shared" si="358"/>
        <v>0</v>
      </c>
      <c r="L1000" s="1290">
        <f t="shared" si="358"/>
        <v>0</v>
      </c>
      <c r="M1000" s="1290">
        <f t="shared" si="358"/>
        <v>0</v>
      </c>
      <c r="N1000" s="168"/>
      <c r="R1000" s="282"/>
      <c r="S1000" s="282"/>
      <c r="T1000" s="282"/>
      <c r="U1000" s="282"/>
      <c r="V1000" s="282"/>
      <c r="W1000" s="282"/>
      <c r="X1000" s="282"/>
      <c r="Y1000" s="282"/>
      <c r="Z1000" s="282"/>
      <c r="AA1000" s="282"/>
    </row>
    <row r="1001" spans="1:27" s="428" customFormat="1" outlineLevel="2" x14ac:dyDescent="0.25">
      <c r="A1001" s="276">
        <f t="shared" si="354"/>
        <v>552</v>
      </c>
      <c r="B1001" s="758" t="str">
        <f>$B396</f>
        <v>Grade Level Teacher</v>
      </c>
      <c r="C1001" s="560"/>
      <c r="D1001" s="429"/>
      <c r="G1001" s="1290">
        <f t="shared" si="358"/>
        <v>0</v>
      </c>
      <c r="H1001" s="1290">
        <f t="shared" si="358"/>
        <v>0</v>
      </c>
      <c r="I1001" s="1290">
        <f t="shared" si="358"/>
        <v>0</v>
      </c>
      <c r="J1001" s="1290">
        <f t="shared" si="358"/>
        <v>0</v>
      </c>
      <c r="K1001" s="1290">
        <f t="shared" si="358"/>
        <v>0</v>
      </c>
      <c r="L1001" s="1290">
        <f t="shared" si="358"/>
        <v>0</v>
      </c>
      <c r="M1001" s="1290">
        <f t="shared" si="358"/>
        <v>0</v>
      </c>
      <c r="N1001" s="168"/>
      <c r="R1001" s="282"/>
      <c r="S1001" s="282"/>
      <c r="T1001" s="282"/>
      <c r="U1001" s="282"/>
      <c r="V1001" s="282"/>
      <c r="W1001" s="282"/>
      <c r="X1001" s="282"/>
      <c r="Y1001" s="282"/>
      <c r="Z1001" s="282"/>
      <c r="AA1001" s="282"/>
    </row>
    <row r="1002" spans="1:27" s="428" customFormat="1" outlineLevel="2" x14ac:dyDescent="0.25">
      <c r="A1002" s="276">
        <f t="shared" si="354"/>
        <v>553</v>
      </c>
      <c r="B1002" s="758" t="str">
        <f>$B397</f>
        <v>Grade Level Teacher</v>
      </c>
      <c r="C1002" s="560"/>
      <c r="D1002" s="429"/>
      <c r="G1002" s="1290">
        <f t="shared" si="358"/>
        <v>0</v>
      </c>
      <c r="H1002" s="1290">
        <f t="shared" si="358"/>
        <v>0</v>
      </c>
      <c r="I1002" s="1290">
        <f t="shared" si="358"/>
        <v>0</v>
      </c>
      <c r="J1002" s="1290">
        <f t="shared" si="358"/>
        <v>0</v>
      </c>
      <c r="K1002" s="1290">
        <f t="shared" si="358"/>
        <v>0</v>
      </c>
      <c r="L1002" s="1290">
        <f t="shared" si="358"/>
        <v>0</v>
      </c>
      <c r="M1002" s="1290">
        <f t="shared" si="358"/>
        <v>0</v>
      </c>
      <c r="N1002" s="168"/>
      <c r="R1002" s="282"/>
      <c r="S1002" s="282"/>
      <c r="T1002" s="282"/>
      <c r="U1002" s="282"/>
      <c r="V1002" s="282"/>
      <c r="W1002" s="282"/>
      <c r="X1002" s="282"/>
      <c r="Y1002" s="282"/>
      <c r="Z1002" s="282"/>
      <c r="AA1002" s="282"/>
    </row>
    <row r="1003" spans="1:27" s="428" customFormat="1" outlineLevel="2" x14ac:dyDescent="0.25">
      <c r="A1003" s="276">
        <f t="shared" si="354"/>
        <v>554</v>
      </c>
      <c r="B1003" s="758" t="str">
        <f>$B398</f>
        <v>Grade Level Teacher</v>
      </c>
      <c r="C1003" s="560"/>
      <c r="D1003" s="429"/>
      <c r="G1003" s="1290">
        <f t="shared" si="358"/>
        <v>0</v>
      </c>
      <c r="H1003" s="1290">
        <f t="shared" si="358"/>
        <v>0</v>
      </c>
      <c r="I1003" s="1290">
        <f t="shared" si="358"/>
        <v>0</v>
      </c>
      <c r="J1003" s="1290">
        <f t="shared" si="358"/>
        <v>0</v>
      </c>
      <c r="K1003" s="1290">
        <f t="shared" si="358"/>
        <v>0</v>
      </c>
      <c r="L1003" s="1290">
        <f t="shared" si="358"/>
        <v>0</v>
      </c>
      <c r="M1003" s="1290">
        <f t="shared" si="358"/>
        <v>0</v>
      </c>
      <c r="N1003" s="168"/>
      <c r="R1003" s="282"/>
      <c r="S1003" s="282"/>
      <c r="T1003" s="282"/>
      <c r="U1003" s="282"/>
      <c r="V1003" s="282"/>
      <c r="W1003" s="282"/>
      <c r="X1003" s="282"/>
      <c r="Y1003" s="282"/>
      <c r="Z1003" s="282"/>
      <c r="AA1003" s="282"/>
    </row>
    <row r="1004" spans="1:27" s="431" customFormat="1" outlineLevel="2" x14ac:dyDescent="0.25">
      <c r="A1004" s="276">
        <f t="shared" si="354"/>
        <v>555</v>
      </c>
      <c r="B1004" s="758"/>
      <c r="C1004" s="561"/>
      <c r="D1004" s="428"/>
      <c r="G1004" s="1290"/>
      <c r="H1004" s="1290"/>
      <c r="I1004" s="1290"/>
      <c r="J1004" s="1290"/>
      <c r="K1004" s="1290"/>
      <c r="L1004" s="1290"/>
      <c r="M1004" s="1290"/>
      <c r="N1004" s="141"/>
      <c r="R1004" s="282"/>
      <c r="S1004" s="282"/>
      <c r="T1004" s="282"/>
      <c r="U1004" s="282"/>
      <c r="V1004" s="282"/>
      <c r="W1004" s="282"/>
      <c r="X1004" s="282"/>
      <c r="Y1004" s="282"/>
      <c r="Z1004" s="282"/>
      <c r="AA1004" s="282"/>
    </row>
    <row r="1005" spans="1:27" s="428" customFormat="1" outlineLevel="2" x14ac:dyDescent="0.25">
      <c r="A1005" s="276">
        <f t="shared" si="354"/>
        <v>556</v>
      </c>
      <c r="B1005" s="758" t="str">
        <f>$B400</f>
        <v>Grade Level Teacher</v>
      </c>
      <c r="C1005" s="560"/>
      <c r="D1005" s="429"/>
      <c r="G1005" s="1290">
        <f t="shared" ref="G1005:M1009" si="359">G400*$C$92</f>
        <v>0</v>
      </c>
      <c r="H1005" s="1290">
        <f t="shared" si="359"/>
        <v>0</v>
      </c>
      <c r="I1005" s="1290">
        <f t="shared" si="359"/>
        <v>0</v>
      </c>
      <c r="J1005" s="1290">
        <f t="shared" si="359"/>
        <v>0</v>
      </c>
      <c r="K1005" s="1290">
        <f t="shared" si="359"/>
        <v>0</v>
      </c>
      <c r="L1005" s="1290">
        <f t="shared" si="359"/>
        <v>0</v>
      </c>
      <c r="M1005" s="1290">
        <f t="shared" si="359"/>
        <v>0</v>
      </c>
      <c r="N1005" s="168"/>
      <c r="R1005" s="282"/>
      <c r="S1005" s="282"/>
      <c r="T1005" s="282"/>
      <c r="U1005" s="282"/>
      <c r="V1005" s="282"/>
      <c r="W1005" s="282"/>
      <c r="X1005" s="282"/>
      <c r="Y1005" s="282"/>
      <c r="Z1005" s="282"/>
      <c r="AA1005" s="282"/>
    </row>
    <row r="1006" spans="1:27" s="428" customFormat="1" outlineLevel="2" x14ac:dyDescent="0.25">
      <c r="A1006" s="276">
        <f t="shared" si="354"/>
        <v>557</v>
      </c>
      <c r="B1006" s="758" t="str">
        <f>$B401</f>
        <v>Grade Level Teacher</v>
      </c>
      <c r="C1006" s="560"/>
      <c r="D1006" s="429"/>
      <c r="G1006" s="1290">
        <f t="shared" si="359"/>
        <v>0</v>
      </c>
      <c r="H1006" s="1290">
        <f t="shared" si="359"/>
        <v>0</v>
      </c>
      <c r="I1006" s="1290">
        <f t="shared" si="359"/>
        <v>0</v>
      </c>
      <c r="J1006" s="1290">
        <f t="shared" si="359"/>
        <v>0</v>
      </c>
      <c r="K1006" s="1290">
        <f t="shared" si="359"/>
        <v>0</v>
      </c>
      <c r="L1006" s="1290">
        <f t="shared" si="359"/>
        <v>0</v>
      </c>
      <c r="M1006" s="1290">
        <f t="shared" si="359"/>
        <v>0</v>
      </c>
      <c r="N1006" s="168"/>
      <c r="R1006" s="282"/>
      <c r="S1006" s="282"/>
      <c r="T1006" s="282"/>
      <c r="U1006" s="282"/>
      <c r="V1006" s="282"/>
      <c r="W1006" s="282"/>
      <c r="X1006" s="282"/>
      <c r="Y1006" s="282"/>
      <c r="Z1006" s="282"/>
      <c r="AA1006" s="282"/>
    </row>
    <row r="1007" spans="1:27" s="428" customFormat="1" outlineLevel="2" x14ac:dyDescent="0.25">
      <c r="A1007" s="276">
        <f t="shared" si="354"/>
        <v>558</v>
      </c>
      <c r="B1007" s="758" t="str">
        <f>$B402</f>
        <v>Grade Level Teacher</v>
      </c>
      <c r="C1007" s="560"/>
      <c r="D1007" s="429"/>
      <c r="G1007" s="1290">
        <f t="shared" si="359"/>
        <v>0</v>
      </c>
      <c r="H1007" s="1290">
        <f t="shared" si="359"/>
        <v>0</v>
      </c>
      <c r="I1007" s="1290">
        <f t="shared" si="359"/>
        <v>0</v>
      </c>
      <c r="J1007" s="1290">
        <f t="shared" si="359"/>
        <v>0</v>
      </c>
      <c r="K1007" s="1290">
        <f t="shared" si="359"/>
        <v>0</v>
      </c>
      <c r="L1007" s="1290">
        <f t="shared" si="359"/>
        <v>0</v>
      </c>
      <c r="M1007" s="1290">
        <f t="shared" si="359"/>
        <v>0</v>
      </c>
      <c r="N1007" s="168"/>
      <c r="R1007" s="282"/>
      <c r="S1007" s="282"/>
      <c r="T1007" s="282"/>
      <c r="U1007" s="282"/>
      <c r="V1007" s="282"/>
      <c r="W1007" s="282"/>
      <c r="X1007" s="282"/>
      <c r="Y1007" s="282"/>
      <c r="Z1007" s="282"/>
      <c r="AA1007" s="282"/>
    </row>
    <row r="1008" spans="1:27" s="428" customFormat="1" outlineLevel="2" x14ac:dyDescent="0.25">
      <c r="A1008" s="276">
        <f t="shared" si="354"/>
        <v>559</v>
      </c>
      <c r="B1008" s="758" t="str">
        <f>$B403</f>
        <v>Grade Level Teacher</v>
      </c>
      <c r="C1008" s="560"/>
      <c r="D1008" s="429"/>
      <c r="G1008" s="1290">
        <f t="shared" si="359"/>
        <v>0</v>
      </c>
      <c r="H1008" s="1290">
        <f t="shared" si="359"/>
        <v>0</v>
      </c>
      <c r="I1008" s="1290">
        <f t="shared" si="359"/>
        <v>0</v>
      </c>
      <c r="J1008" s="1290">
        <f t="shared" si="359"/>
        <v>0</v>
      </c>
      <c r="K1008" s="1290">
        <f t="shared" si="359"/>
        <v>0</v>
      </c>
      <c r="L1008" s="1290">
        <f t="shared" si="359"/>
        <v>0</v>
      </c>
      <c r="M1008" s="1290">
        <f t="shared" si="359"/>
        <v>0</v>
      </c>
      <c r="N1008" s="168"/>
      <c r="R1008" s="282"/>
      <c r="S1008" s="282"/>
      <c r="T1008" s="282"/>
      <c r="U1008" s="282"/>
      <c r="V1008" s="282"/>
      <c r="W1008" s="282"/>
      <c r="X1008" s="282"/>
      <c r="Y1008" s="282"/>
      <c r="Z1008" s="282"/>
      <c r="AA1008" s="282"/>
    </row>
    <row r="1009" spans="1:27" s="428" customFormat="1" outlineLevel="2" x14ac:dyDescent="0.25">
      <c r="A1009" s="276">
        <f t="shared" si="354"/>
        <v>560</v>
      </c>
      <c r="B1009" s="758" t="str">
        <f>$B404</f>
        <v>Grade Level Teacher</v>
      </c>
      <c r="C1009" s="560"/>
      <c r="D1009" s="429"/>
      <c r="G1009" s="1290">
        <f t="shared" si="359"/>
        <v>0</v>
      </c>
      <c r="H1009" s="1290">
        <f t="shared" si="359"/>
        <v>0</v>
      </c>
      <c r="I1009" s="1290">
        <f t="shared" si="359"/>
        <v>0</v>
      </c>
      <c r="J1009" s="1290">
        <f t="shared" si="359"/>
        <v>0</v>
      </c>
      <c r="K1009" s="1290">
        <f t="shared" si="359"/>
        <v>0</v>
      </c>
      <c r="L1009" s="1290">
        <f t="shared" si="359"/>
        <v>0</v>
      </c>
      <c r="M1009" s="1290">
        <f t="shared" si="359"/>
        <v>0</v>
      </c>
      <c r="N1009" s="168"/>
      <c r="R1009" s="282"/>
      <c r="S1009" s="282"/>
      <c r="T1009" s="282"/>
      <c r="U1009" s="282"/>
      <c r="V1009" s="282"/>
      <c r="W1009" s="282"/>
      <c r="X1009" s="282"/>
      <c r="Y1009" s="282"/>
      <c r="Z1009" s="282"/>
      <c r="AA1009" s="282"/>
    </row>
    <row r="1010" spans="1:27" s="428" customFormat="1" outlineLevel="2" x14ac:dyDescent="0.25">
      <c r="A1010" s="276">
        <f t="shared" si="354"/>
        <v>561</v>
      </c>
      <c r="B1010" s="758"/>
      <c r="C1010" s="560"/>
      <c r="D1010" s="429"/>
      <c r="G1010" s="1290"/>
      <c r="H1010" s="1290"/>
      <c r="I1010" s="1290"/>
      <c r="J1010" s="1290"/>
      <c r="K1010" s="1290"/>
      <c r="L1010" s="1290"/>
      <c r="M1010" s="1290"/>
      <c r="N1010" s="168"/>
      <c r="R1010" s="282"/>
      <c r="S1010" s="282"/>
      <c r="T1010" s="282"/>
      <c r="U1010" s="282"/>
      <c r="V1010" s="282"/>
      <c r="W1010" s="282"/>
      <c r="X1010" s="282"/>
      <c r="Y1010" s="282"/>
      <c r="Z1010" s="282"/>
      <c r="AA1010" s="282"/>
    </row>
    <row r="1011" spans="1:27" s="428" customFormat="1" outlineLevel="2" x14ac:dyDescent="0.25">
      <c r="A1011" s="276">
        <f t="shared" si="354"/>
        <v>562</v>
      </c>
      <c r="B1011" s="758" t="str">
        <f>$B406</f>
        <v>Grade Level Teacher</v>
      </c>
      <c r="C1011" s="560"/>
      <c r="D1011" s="429"/>
      <c r="G1011" s="1290">
        <f t="shared" ref="G1011:M1015" si="360">G406*$C$92</f>
        <v>0</v>
      </c>
      <c r="H1011" s="1290">
        <f t="shared" si="360"/>
        <v>0</v>
      </c>
      <c r="I1011" s="1290">
        <f t="shared" si="360"/>
        <v>0</v>
      </c>
      <c r="J1011" s="1290">
        <f t="shared" si="360"/>
        <v>0</v>
      </c>
      <c r="K1011" s="1290">
        <f t="shared" si="360"/>
        <v>0</v>
      </c>
      <c r="L1011" s="1290">
        <f t="shared" si="360"/>
        <v>0</v>
      </c>
      <c r="M1011" s="1290">
        <f t="shared" si="360"/>
        <v>0</v>
      </c>
      <c r="N1011" s="168"/>
      <c r="R1011" s="282"/>
      <c r="S1011" s="282"/>
      <c r="T1011" s="282"/>
      <c r="U1011" s="282"/>
      <c r="V1011" s="282"/>
      <c r="W1011" s="282"/>
      <c r="X1011" s="282"/>
      <c r="Y1011" s="282"/>
      <c r="Z1011" s="282"/>
      <c r="AA1011" s="282"/>
    </row>
    <row r="1012" spans="1:27" s="428" customFormat="1" outlineLevel="2" x14ac:dyDescent="0.25">
      <c r="A1012" s="276">
        <f t="shared" ref="A1012:A1027" si="361">ROW(A563)</f>
        <v>563</v>
      </c>
      <c r="B1012" s="758" t="str">
        <f>$B407</f>
        <v>Grade Level Teacher</v>
      </c>
      <c r="C1012" s="560"/>
      <c r="D1012" s="429"/>
      <c r="G1012" s="1290">
        <f t="shared" si="360"/>
        <v>0</v>
      </c>
      <c r="H1012" s="1290">
        <f t="shared" si="360"/>
        <v>0</v>
      </c>
      <c r="I1012" s="1290">
        <f t="shared" si="360"/>
        <v>0</v>
      </c>
      <c r="J1012" s="1290">
        <f t="shared" si="360"/>
        <v>0</v>
      </c>
      <c r="K1012" s="1290">
        <f t="shared" si="360"/>
        <v>0</v>
      </c>
      <c r="L1012" s="1290">
        <f t="shared" si="360"/>
        <v>0</v>
      </c>
      <c r="M1012" s="1290">
        <f t="shared" si="360"/>
        <v>0</v>
      </c>
      <c r="N1012" s="168"/>
      <c r="R1012" s="282"/>
      <c r="S1012" s="282"/>
      <c r="T1012" s="282"/>
      <c r="U1012" s="282"/>
      <c r="V1012" s="282"/>
      <c r="W1012" s="282"/>
      <c r="X1012" s="282"/>
      <c r="Y1012" s="282"/>
      <c r="Z1012" s="282"/>
      <c r="AA1012" s="282"/>
    </row>
    <row r="1013" spans="1:27" s="428" customFormat="1" outlineLevel="2" x14ac:dyDescent="0.25">
      <c r="A1013" s="276">
        <f t="shared" si="361"/>
        <v>564</v>
      </c>
      <c r="B1013" s="758" t="str">
        <f>$B408</f>
        <v>Grade Level Teacher</v>
      </c>
      <c r="C1013" s="560"/>
      <c r="D1013" s="429"/>
      <c r="G1013" s="1290">
        <f t="shared" si="360"/>
        <v>0</v>
      </c>
      <c r="H1013" s="1290">
        <f t="shared" si="360"/>
        <v>0</v>
      </c>
      <c r="I1013" s="1290">
        <f t="shared" si="360"/>
        <v>0</v>
      </c>
      <c r="J1013" s="1290">
        <f t="shared" si="360"/>
        <v>0</v>
      </c>
      <c r="K1013" s="1290">
        <f t="shared" si="360"/>
        <v>0</v>
      </c>
      <c r="L1013" s="1290">
        <f t="shared" si="360"/>
        <v>0</v>
      </c>
      <c r="M1013" s="1290">
        <f t="shared" si="360"/>
        <v>0</v>
      </c>
      <c r="N1013" s="168"/>
      <c r="R1013" s="282"/>
      <c r="S1013" s="282"/>
      <c r="T1013" s="282"/>
      <c r="U1013" s="282"/>
      <c r="V1013" s="282"/>
      <c r="W1013" s="282"/>
      <c r="X1013" s="282"/>
      <c r="Y1013" s="282"/>
      <c r="Z1013" s="282"/>
      <c r="AA1013" s="282"/>
    </row>
    <row r="1014" spans="1:27" s="428" customFormat="1" outlineLevel="2" x14ac:dyDescent="0.25">
      <c r="A1014" s="276">
        <f t="shared" si="361"/>
        <v>565</v>
      </c>
      <c r="B1014" s="758" t="str">
        <f>$B409</f>
        <v>Grade Level Teacher</v>
      </c>
      <c r="C1014" s="560"/>
      <c r="D1014" s="429"/>
      <c r="G1014" s="1290">
        <f t="shared" si="360"/>
        <v>0</v>
      </c>
      <c r="H1014" s="1290">
        <f t="shared" si="360"/>
        <v>0</v>
      </c>
      <c r="I1014" s="1290">
        <f t="shared" si="360"/>
        <v>0</v>
      </c>
      <c r="J1014" s="1290">
        <f t="shared" si="360"/>
        <v>0</v>
      </c>
      <c r="K1014" s="1290">
        <f t="shared" si="360"/>
        <v>0</v>
      </c>
      <c r="L1014" s="1290">
        <f t="shared" si="360"/>
        <v>0</v>
      </c>
      <c r="M1014" s="1290">
        <f t="shared" si="360"/>
        <v>0</v>
      </c>
      <c r="N1014" s="168"/>
      <c r="R1014" s="282"/>
      <c r="S1014" s="282"/>
      <c r="T1014" s="282"/>
      <c r="U1014" s="282"/>
      <c r="V1014" s="282"/>
      <c r="W1014" s="282"/>
      <c r="X1014" s="282"/>
      <c r="Y1014" s="282"/>
      <c r="Z1014" s="282"/>
      <c r="AA1014" s="282"/>
    </row>
    <row r="1015" spans="1:27" s="428" customFormat="1" outlineLevel="2" x14ac:dyDescent="0.25">
      <c r="A1015" s="276">
        <f t="shared" si="361"/>
        <v>566</v>
      </c>
      <c r="B1015" s="758" t="str">
        <f>$B410</f>
        <v>Grade Level Teacher</v>
      </c>
      <c r="C1015" s="560"/>
      <c r="D1015" s="429"/>
      <c r="G1015" s="1290">
        <f t="shared" si="360"/>
        <v>0</v>
      </c>
      <c r="H1015" s="1290">
        <f t="shared" si="360"/>
        <v>0</v>
      </c>
      <c r="I1015" s="1290">
        <f t="shared" si="360"/>
        <v>0</v>
      </c>
      <c r="J1015" s="1290">
        <f t="shared" si="360"/>
        <v>0</v>
      </c>
      <c r="K1015" s="1290">
        <f t="shared" si="360"/>
        <v>0</v>
      </c>
      <c r="L1015" s="1290">
        <f t="shared" si="360"/>
        <v>0</v>
      </c>
      <c r="M1015" s="1290">
        <f t="shared" si="360"/>
        <v>0</v>
      </c>
      <c r="N1015" s="168"/>
      <c r="R1015" s="282"/>
      <c r="S1015" s="282"/>
      <c r="T1015" s="282"/>
      <c r="U1015" s="282"/>
      <c r="V1015" s="282"/>
      <c r="W1015" s="282"/>
      <c r="X1015" s="282"/>
      <c r="Y1015" s="282"/>
      <c r="Z1015" s="282"/>
      <c r="AA1015" s="282"/>
    </row>
    <row r="1016" spans="1:27" s="428" customFormat="1" outlineLevel="2" x14ac:dyDescent="0.25">
      <c r="A1016" s="276">
        <f t="shared" si="361"/>
        <v>567</v>
      </c>
      <c r="B1016" s="758"/>
      <c r="C1016" s="560"/>
      <c r="D1016" s="429"/>
      <c r="G1016" s="1290"/>
      <c r="H1016" s="1290"/>
      <c r="I1016" s="1290"/>
      <c r="J1016" s="1290"/>
      <c r="K1016" s="1290"/>
      <c r="L1016" s="1290"/>
      <c r="M1016" s="1290"/>
      <c r="N1016" s="168"/>
      <c r="R1016" s="282"/>
      <c r="S1016" s="282"/>
      <c r="T1016" s="282"/>
      <c r="U1016" s="282"/>
      <c r="V1016" s="282"/>
      <c r="W1016" s="282"/>
      <c r="X1016" s="282"/>
      <c r="Y1016" s="282"/>
      <c r="Z1016" s="282"/>
      <c r="AA1016" s="282"/>
    </row>
    <row r="1017" spans="1:27" s="428" customFormat="1" outlineLevel="2" x14ac:dyDescent="0.25">
      <c r="A1017" s="276">
        <f t="shared" si="361"/>
        <v>568</v>
      </c>
      <c r="B1017" s="758" t="str">
        <f>$B412</f>
        <v>Grade Level Teacher</v>
      </c>
      <c r="C1017" s="560"/>
      <c r="D1017" s="429"/>
      <c r="G1017" s="1290">
        <f t="shared" ref="G1017:M1021" si="362">G412*$C$92</f>
        <v>0</v>
      </c>
      <c r="H1017" s="1290">
        <f t="shared" si="362"/>
        <v>0</v>
      </c>
      <c r="I1017" s="1290">
        <f t="shared" si="362"/>
        <v>0</v>
      </c>
      <c r="J1017" s="1290">
        <f t="shared" si="362"/>
        <v>0</v>
      </c>
      <c r="K1017" s="1290">
        <f t="shared" si="362"/>
        <v>0</v>
      </c>
      <c r="L1017" s="1290">
        <f t="shared" si="362"/>
        <v>0</v>
      </c>
      <c r="M1017" s="1290">
        <f t="shared" si="362"/>
        <v>0</v>
      </c>
      <c r="N1017" s="168"/>
      <c r="R1017" s="282"/>
      <c r="S1017" s="282"/>
      <c r="T1017" s="282"/>
      <c r="U1017" s="282"/>
      <c r="V1017" s="282"/>
      <c r="W1017" s="282"/>
      <c r="X1017" s="282"/>
      <c r="Y1017" s="282"/>
      <c r="Z1017" s="282"/>
      <c r="AA1017" s="282"/>
    </row>
    <row r="1018" spans="1:27" s="428" customFormat="1" outlineLevel="2" x14ac:dyDescent="0.25">
      <c r="A1018" s="276">
        <f t="shared" si="361"/>
        <v>569</v>
      </c>
      <c r="B1018" s="758" t="str">
        <f>$B413</f>
        <v>Grade Level Teacher</v>
      </c>
      <c r="C1018" s="560"/>
      <c r="D1018" s="429"/>
      <c r="G1018" s="1290">
        <f t="shared" si="362"/>
        <v>0</v>
      </c>
      <c r="H1018" s="1290">
        <f t="shared" si="362"/>
        <v>0</v>
      </c>
      <c r="I1018" s="1290">
        <f t="shared" si="362"/>
        <v>0</v>
      </c>
      <c r="J1018" s="1290">
        <f t="shared" si="362"/>
        <v>0</v>
      </c>
      <c r="K1018" s="1290">
        <f t="shared" si="362"/>
        <v>0</v>
      </c>
      <c r="L1018" s="1290">
        <f t="shared" si="362"/>
        <v>0</v>
      </c>
      <c r="M1018" s="1290">
        <f t="shared" si="362"/>
        <v>0</v>
      </c>
      <c r="N1018" s="168"/>
      <c r="R1018" s="282"/>
      <c r="S1018" s="282"/>
      <c r="T1018" s="282"/>
      <c r="U1018" s="282"/>
      <c r="V1018" s="282"/>
      <c r="W1018" s="282"/>
      <c r="X1018" s="282"/>
      <c r="Y1018" s="282"/>
      <c r="Z1018" s="282"/>
      <c r="AA1018" s="282"/>
    </row>
    <row r="1019" spans="1:27" s="428" customFormat="1" outlineLevel="2" x14ac:dyDescent="0.25">
      <c r="A1019" s="276">
        <f t="shared" si="361"/>
        <v>570</v>
      </c>
      <c r="B1019" s="758" t="str">
        <f>$B414</f>
        <v>Grade Level Teacher</v>
      </c>
      <c r="C1019" s="560"/>
      <c r="D1019" s="429"/>
      <c r="G1019" s="1290">
        <f t="shared" si="362"/>
        <v>0</v>
      </c>
      <c r="H1019" s="1290">
        <f t="shared" si="362"/>
        <v>0</v>
      </c>
      <c r="I1019" s="1290">
        <f t="shared" si="362"/>
        <v>0</v>
      </c>
      <c r="J1019" s="1290">
        <f t="shared" si="362"/>
        <v>0</v>
      </c>
      <c r="K1019" s="1290">
        <f t="shared" si="362"/>
        <v>0</v>
      </c>
      <c r="L1019" s="1290">
        <f t="shared" si="362"/>
        <v>0</v>
      </c>
      <c r="M1019" s="1290">
        <f t="shared" si="362"/>
        <v>0</v>
      </c>
      <c r="N1019" s="168"/>
      <c r="R1019" s="282"/>
      <c r="S1019" s="282"/>
      <c r="T1019" s="282"/>
      <c r="U1019" s="282"/>
      <c r="V1019" s="282"/>
      <c r="W1019" s="282"/>
      <c r="X1019" s="282"/>
      <c r="Y1019" s="282"/>
      <c r="Z1019" s="282"/>
      <c r="AA1019" s="282"/>
    </row>
    <row r="1020" spans="1:27" s="428" customFormat="1" outlineLevel="2" x14ac:dyDescent="0.25">
      <c r="A1020" s="276">
        <f t="shared" si="361"/>
        <v>571</v>
      </c>
      <c r="B1020" s="758" t="str">
        <f>$B415</f>
        <v>Grade Level Teacher</v>
      </c>
      <c r="C1020" s="560"/>
      <c r="D1020" s="429"/>
      <c r="G1020" s="1290">
        <f t="shared" si="362"/>
        <v>0</v>
      </c>
      <c r="H1020" s="1290">
        <f t="shared" si="362"/>
        <v>0</v>
      </c>
      <c r="I1020" s="1290">
        <f t="shared" si="362"/>
        <v>0</v>
      </c>
      <c r="J1020" s="1290">
        <f t="shared" si="362"/>
        <v>0</v>
      </c>
      <c r="K1020" s="1290">
        <f t="shared" si="362"/>
        <v>0</v>
      </c>
      <c r="L1020" s="1290">
        <f t="shared" si="362"/>
        <v>0</v>
      </c>
      <c r="M1020" s="1290">
        <f t="shared" si="362"/>
        <v>0</v>
      </c>
      <c r="N1020" s="168"/>
      <c r="R1020" s="282"/>
      <c r="S1020" s="282"/>
      <c r="T1020" s="282"/>
      <c r="U1020" s="282"/>
      <c r="V1020" s="282"/>
      <c r="W1020" s="282"/>
      <c r="X1020" s="282"/>
      <c r="Y1020" s="282"/>
      <c r="Z1020" s="282"/>
      <c r="AA1020" s="282"/>
    </row>
    <row r="1021" spans="1:27" s="428" customFormat="1" outlineLevel="2" x14ac:dyDescent="0.25">
      <c r="A1021" s="276">
        <f t="shared" si="361"/>
        <v>572</v>
      </c>
      <c r="B1021" s="758" t="str">
        <f>$B416</f>
        <v>Grade Level Teacher</v>
      </c>
      <c r="C1021" s="560"/>
      <c r="D1021" s="429"/>
      <c r="G1021" s="1290">
        <f t="shared" si="362"/>
        <v>0</v>
      </c>
      <c r="H1021" s="1290">
        <f t="shared" si="362"/>
        <v>0</v>
      </c>
      <c r="I1021" s="1290">
        <f t="shared" si="362"/>
        <v>0</v>
      </c>
      <c r="J1021" s="1290">
        <f t="shared" si="362"/>
        <v>0</v>
      </c>
      <c r="K1021" s="1290">
        <f t="shared" si="362"/>
        <v>0</v>
      </c>
      <c r="L1021" s="1290">
        <f t="shared" si="362"/>
        <v>0</v>
      </c>
      <c r="M1021" s="1290">
        <f t="shared" si="362"/>
        <v>0</v>
      </c>
      <c r="N1021" s="168"/>
      <c r="R1021" s="282"/>
      <c r="S1021" s="282"/>
      <c r="T1021" s="282"/>
      <c r="U1021" s="282"/>
      <c r="V1021" s="282"/>
      <c r="W1021" s="282"/>
      <c r="X1021" s="282"/>
      <c r="Y1021" s="282"/>
      <c r="Z1021" s="282"/>
      <c r="AA1021" s="282"/>
    </row>
    <row r="1022" spans="1:27" s="431" customFormat="1" outlineLevel="2" x14ac:dyDescent="0.25">
      <c r="A1022" s="276">
        <f t="shared" si="361"/>
        <v>573</v>
      </c>
      <c r="B1022" s="428"/>
      <c r="C1022" s="561"/>
      <c r="D1022" s="428"/>
      <c r="G1022" s="1290"/>
      <c r="H1022" s="1290"/>
      <c r="I1022" s="1290"/>
      <c r="J1022" s="1290"/>
      <c r="K1022" s="1290"/>
      <c r="L1022" s="1290"/>
      <c r="M1022" s="1290"/>
      <c r="N1022" s="141"/>
      <c r="R1022" s="282"/>
      <c r="S1022" s="282"/>
      <c r="T1022" s="282"/>
      <c r="U1022" s="282"/>
      <c r="V1022" s="282"/>
      <c r="W1022" s="282"/>
      <c r="X1022" s="282"/>
      <c r="Y1022" s="282"/>
      <c r="Z1022" s="282"/>
      <c r="AA1022" s="282"/>
    </row>
    <row r="1023" spans="1:27" s="431" customFormat="1" outlineLevel="2" x14ac:dyDescent="0.25">
      <c r="A1023" s="276">
        <f t="shared" si="361"/>
        <v>574</v>
      </c>
      <c r="B1023" s="701" t="s">
        <v>101</v>
      </c>
      <c r="C1023" s="733"/>
      <c r="D1023" s="701"/>
      <c r="E1023" s="750"/>
      <c r="F1023" s="750"/>
      <c r="G1023" s="1291">
        <f t="shared" ref="G1023:M1023" si="363">SUM(G916:G1021)</f>
        <v>0</v>
      </c>
      <c r="H1023" s="1291">
        <f t="shared" si="363"/>
        <v>37382.400000000001</v>
      </c>
      <c r="I1023" s="1291">
        <f t="shared" si="363"/>
        <v>73321.991999999984</v>
      </c>
      <c r="J1023" s="1291">
        <f t="shared" si="363"/>
        <v>101489.9376</v>
      </c>
      <c r="K1023" s="1291">
        <f t="shared" si="363"/>
        <v>134562.77368800004</v>
      </c>
      <c r="L1023" s="1291">
        <f t="shared" si="363"/>
        <v>155083.85892989996</v>
      </c>
      <c r="M1023" s="1291">
        <f t="shared" si="363"/>
        <v>169199.52896630784</v>
      </c>
      <c r="N1023" s="141"/>
      <c r="R1023" s="282"/>
      <c r="S1023" s="282"/>
      <c r="T1023" s="282"/>
      <c r="U1023" s="282"/>
      <c r="V1023" s="282"/>
      <c r="W1023" s="282"/>
      <c r="X1023" s="282"/>
      <c r="Y1023" s="282"/>
      <c r="Z1023" s="282"/>
      <c r="AA1023" s="282"/>
    </row>
    <row r="1024" spans="1:27" s="431" customFormat="1" outlineLevel="2" x14ac:dyDescent="0.25">
      <c r="A1024" s="276">
        <f t="shared" si="361"/>
        <v>575</v>
      </c>
      <c r="B1024" s="428"/>
      <c r="C1024" s="561"/>
      <c r="D1024" s="428"/>
      <c r="G1024" s="1290"/>
      <c r="H1024" s="1290"/>
      <c r="I1024" s="1290"/>
      <c r="J1024" s="1290"/>
      <c r="K1024" s="1290"/>
      <c r="L1024" s="1290"/>
      <c r="M1024" s="1290"/>
      <c r="N1024" s="141"/>
      <c r="R1024" s="282"/>
      <c r="S1024" s="282"/>
      <c r="T1024" s="282"/>
      <c r="U1024" s="282"/>
      <c r="V1024" s="282"/>
      <c r="W1024" s="282"/>
      <c r="X1024" s="282"/>
      <c r="Y1024" s="282"/>
      <c r="Z1024" s="282"/>
      <c r="AA1024" s="282"/>
    </row>
    <row r="1025" spans="1:27" s="431" customFormat="1" outlineLevel="2" x14ac:dyDescent="0.25">
      <c r="A1025" s="276">
        <f t="shared" si="361"/>
        <v>576</v>
      </c>
      <c r="B1025" s="428"/>
      <c r="C1025" s="561"/>
      <c r="D1025" s="428"/>
      <c r="G1025" s="1290"/>
      <c r="H1025" s="1290"/>
      <c r="I1025" s="1290"/>
      <c r="J1025" s="1290"/>
      <c r="K1025" s="1290"/>
      <c r="L1025" s="1290"/>
      <c r="M1025" s="1290"/>
      <c r="N1025" s="141"/>
      <c r="R1025" s="282"/>
      <c r="S1025" s="282"/>
      <c r="T1025" s="282"/>
      <c r="U1025" s="282"/>
      <c r="V1025" s="282"/>
      <c r="W1025" s="282"/>
      <c r="X1025" s="282"/>
      <c r="Y1025" s="282"/>
      <c r="Z1025" s="282"/>
      <c r="AA1025" s="282"/>
    </row>
    <row r="1026" spans="1:27" s="431" customFormat="1" outlineLevel="1" x14ac:dyDescent="0.25">
      <c r="A1026" s="276">
        <f t="shared" si="361"/>
        <v>577</v>
      </c>
      <c r="B1026" s="748" t="s">
        <v>741</v>
      </c>
      <c r="C1026" s="749"/>
      <c r="D1026" s="748"/>
      <c r="E1026" s="750"/>
      <c r="F1026" s="750"/>
      <c r="G1026" s="1292">
        <f t="shared" ref="G1026:M1026" si="364">G1023+G914+G890</f>
        <v>0</v>
      </c>
      <c r="H1026" s="1292">
        <f t="shared" si="364"/>
        <v>60662.400000000001</v>
      </c>
      <c r="I1026" s="1292">
        <f t="shared" si="364"/>
        <v>109164.75599999999</v>
      </c>
      <c r="J1026" s="1292">
        <f t="shared" si="364"/>
        <v>150041.38955999998</v>
      </c>
      <c r="K1026" s="1292">
        <f t="shared" si="364"/>
        <v>197431.72890600003</v>
      </c>
      <c r="L1026" s="1292">
        <f t="shared" si="364"/>
        <v>225483.08438482796</v>
      </c>
      <c r="M1026" s="1292">
        <f t="shared" si="364"/>
        <v>247619.55114159078</v>
      </c>
      <c r="N1026" s="141"/>
      <c r="R1026" s="282"/>
      <c r="S1026" s="282"/>
      <c r="T1026" s="282"/>
      <c r="U1026" s="282"/>
      <c r="V1026" s="282"/>
      <c r="W1026" s="282"/>
      <c r="X1026" s="282"/>
      <c r="Y1026" s="282"/>
      <c r="Z1026" s="282"/>
      <c r="AA1026" s="282"/>
    </row>
    <row r="1027" spans="1:27" s="221" customFormat="1" outlineLevel="1" x14ac:dyDescent="0.25">
      <c r="A1027" s="276">
        <f t="shared" si="361"/>
        <v>578</v>
      </c>
      <c r="B1027" s="244"/>
      <c r="C1027" s="563"/>
      <c r="D1027" s="244"/>
      <c r="G1027" s="150"/>
      <c r="H1027" s="1293"/>
      <c r="I1027" s="1293"/>
      <c r="J1027" s="1293"/>
      <c r="K1027" s="1293"/>
      <c r="L1027" s="1293"/>
      <c r="M1027" s="1293"/>
      <c r="N1027" s="150"/>
      <c r="R1027" s="282"/>
      <c r="S1027" s="282"/>
      <c r="T1027" s="282"/>
      <c r="U1027" s="282"/>
      <c r="V1027" s="282"/>
      <c r="W1027" s="282"/>
      <c r="X1027" s="282"/>
      <c r="Y1027" s="282"/>
      <c r="Z1027" s="282"/>
      <c r="AA1027" s="282"/>
    </row>
    <row r="1028" spans="1:27" s="282" customFormat="1" outlineLevel="2" x14ac:dyDescent="0.25">
      <c r="A1028" s="276">
        <f>ROW()</f>
        <v>1028</v>
      </c>
      <c r="B1028" s="511" t="s">
        <v>232</v>
      </c>
      <c r="C1028" s="1383"/>
      <c r="D1028" s="1384"/>
      <c r="E1028" s="1385"/>
      <c r="F1028" s="1385"/>
      <c r="G1028" s="1382"/>
      <c r="H1028" s="1382"/>
      <c r="I1028" s="1382"/>
      <c r="J1028" s="1382"/>
      <c r="K1028" s="1382"/>
      <c r="L1028" s="1382"/>
      <c r="M1028" s="1382"/>
      <c r="N1028" s="168"/>
    </row>
    <row r="1029" spans="1:27" s="282" customFormat="1" outlineLevel="2" x14ac:dyDescent="0.25">
      <c r="A1029" s="276">
        <f>ROW()</f>
        <v>1029</v>
      </c>
      <c r="C1029" s="563"/>
      <c r="D1029" s="421"/>
      <c r="G1029" s="1294"/>
      <c r="H1029" s="1054"/>
      <c r="I1029" s="1054"/>
      <c r="J1029" s="1054"/>
      <c r="K1029" s="1054"/>
      <c r="L1029" s="1054"/>
      <c r="M1029" s="1054"/>
      <c r="N1029" s="168"/>
    </row>
    <row r="1030" spans="1:27" outlineLevel="2" x14ac:dyDescent="0.25">
      <c r="A1030" s="276">
        <f>ROW()</f>
        <v>1030</v>
      </c>
      <c r="B1030" s="596" t="str">
        <f>$B$113</f>
        <v>Administrators</v>
      </c>
      <c r="C1030" s="723"/>
      <c r="D1030" s="289"/>
      <c r="E1030" s="289"/>
      <c r="F1030" s="289"/>
      <c r="G1030" s="1295"/>
      <c r="H1030" s="1295"/>
      <c r="I1030" s="1295"/>
      <c r="J1030" s="1295"/>
      <c r="K1030" s="1295"/>
      <c r="L1030" s="1295"/>
      <c r="M1030" s="1295"/>
      <c r="N1030" s="141"/>
      <c r="R1030" s="282"/>
      <c r="S1030" s="282"/>
      <c r="T1030" s="282"/>
      <c r="U1030" s="282"/>
      <c r="V1030" s="282"/>
      <c r="W1030" s="282"/>
      <c r="X1030" s="282"/>
      <c r="Y1030" s="282"/>
      <c r="Z1030" s="282"/>
      <c r="AA1030" s="282"/>
    </row>
    <row r="1031" spans="1:27" outlineLevel="2" x14ac:dyDescent="0.25">
      <c r="A1031" s="276">
        <f>ROW()</f>
        <v>1031</v>
      </c>
      <c r="B1031" s="282" t="str">
        <f>$B$114</f>
        <v>Principal</v>
      </c>
      <c r="C1031" s="564" t="s">
        <v>232</v>
      </c>
      <c r="D1031" s="282"/>
      <c r="E1031" s="282"/>
      <c r="F1031" s="282"/>
      <c r="G1031" s="1290">
        <f t="shared" ref="G1031:M1035" si="365">G114*$C$93</f>
        <v>0</v>
      </c>
      <c r="H1031" s="1290">
        <f t="shared" si="365"/>
        <v>0</v>
      </c>
      <c r="I1031" s="1290">
        <f t="shared" si="365"/>
        <v>0</v>
      </c>
      <c r="J1031" s="1290">
        <f t="shared" si="365"/>
        <v>0</v>
      </c>
      <c r="K1031" s="1290">
        <f t="shared" si="365"/>
        <v>0</v>
      </c>
      <c r="L1031" s="1290">
        <f t="shared" si="365"/>
        <v>0</v>
      </c>
      <c r="M1031" s="1290">
        <f t="shared" si="365"/>
        <v>0</v>
      </c>
      <c r="N1031" s="141"/>
      <c r="R1031" s="282"/>
      <c r="S1031" s="282"/>
      <c r="T1031" s="282"/>
      <c r="U1031" s="282"/>
      <c r="V1031" s="282"/>
      <c r="W1031" s="282"/>
      <c r="X1031" s="282"/>
      <c r="Y1031" s="282"/>
      <c r="Z1031" s="282"/>
      <c r="AA1031" s="282"/>
    </row>
    <row r="1032" spans="1:27" outlineLevel="2" x14ac:dyDescent="0.25">
      <c r="A1032" s="276">
        <f>ROW()</f>
        <v>1032</v>
      </c>
      <c r="B1032" s="282" t="str">
        <f>$B$115</f>
        <v>Assistant Principal</v>
      </c>
      <c r="C1032" s="564" t="s">
        <v>232</v>
      </c>
      <c r="D1032" s="282"/>
      <c r="E1032" s="282"/>
      <c r="F1032" s="282"/>
      <c r="G1032" s="1290">
        <f t="shared" si="365"/>
        <v>0</v>
      </c>
      <c r="H1032" s="1290">
        <f t="shared" si="365"/>
        <v>0</v>
      </c>
      <c r="I1032" s="1290">
        <f t="shared" si="365"/>
        <v>0</v>
      </c>
      <c r="J1032" s="1290">
        <f t="shared" si="365"/>
        <v>0</v>
      </c>
      <c r="K1032" s="1290">
        <f t="shared" si="365"/>
        <v>0</v>
      </c>
      <c r="L1032" s="1290">
        <f t="shared" si="365"/>
        <v>0</v>
      </c>
      <c r="M1032" s="1290">
        <f t="shared" si="365"/>
        <v>0</v>
      </c>
      <c r="N1032" s="141"/>
      <c r="R1032" s="282"/>
      <c r="S1032" s="282"/>
      <c r="T1032" s="282"/>
      <c r="U1032" s="282"/>
      <c r="V1032" s="282"/>
      <c r="W1032" s="282"/>
      <c r="X1032" s="282"/>
      <c r="Y1032" s="282"/>
      <c r="Z1032" s="282"/>
      <c r="AA1032" s="282"/>
    </row>
    <row r="1033" spans="1:27" outlineLevel="2" x14ac:dyDescent="0.25">
      <c r="A1033" s="276">
        <f>ROW()</f>
        <v>1033</v>
      </c>
      <c r="B1033" s="282" t="str">
        <f>$B$116</f>
        <v>Assistant Principal</v>
      </c>
      <c r="C1033" s="564" t="s">
        <v>232</v>
      </c>
      <c r="D1033" s="282"/>
      <c r="E1033" s="282"/>
      <c r="F1033" s="282"/>
      <c r="G1033" s="1290">
        <f t="shared" si="365"/>
        <v>0</v>
      </c>
      <c r="H1033" s="1290">
        <f t="shared" si="365"/>
        <v>0</v>
      </c>
      <c r="I1033" s="1290">
        <f t="shared" si="365"/>
        <v>0</v>
      </c>
      <c r="J1033" s="1290">
        <f t="shared" si="365"/>
        <v>0</v>
      </c>
      <c r="K1033" s="1290">
        <f t="shared" si="365"/>
        <v>0</v>
      </c>
      <c r="L1033" s="1290">
        <f t="shared" si="365"/>
        <v>0</v>
      </c>
      <c r="M1033" s="1290">
        <f t="shared" si="365"/>
        <v>0</v>
      </c>
      <c r="N1033" s="141"/>
      <c r="R1033" s="282"/>
      <c r="S1033" s="282"/>
      <c r="T1033" s="282"/>
      <c r="U1033" s="282"/>
      <c r="V1033" s="282"/>
      <c r="W1033" s="282"/>
      <c r="X1033" s="282"/>
      <c r="Y1033" s="282"/>
      <c r="Z1033" s="282"/>
      <c r="AA1033" s="282"/>
    </row>
    <row r="1034" spans="1:27" outlineLevel="2" x14ac:dyDescent="0.25">
      <c r="A1034" s="276">
        <f>ROW()</f>
        <v>1034</v>
      </c>
      <c r="B1034" s="282" t="str">
        <f>$B$117</f>
        <v>Admin 4</v>
      </c>
      <c r="C1034" s="564" t="s">
        <v>232</v>
      </c>
      <c r="D1034" s="282"/>
      <c r="E1034" s="282"/>
      <c r="F1034" s="282"/>
      <c r="G1034" s="1290">
        <f t="shared" si="365"/>
        <v>0</v>
      </c>
      <c r="H1034" s="1290">
        <f t="shared" si="365"/>
        <v>0</v>
      </c>
      <c r="I1034" s="1290">
        <f t="shared" si="365"/>
        <v>0</v>
      </c>
      <c r="J1034" s="1290">
        <f t="shared" si="365"/>
        <v>0</v>
      </c>
      <c r="K1034" s="1290">
        <f t="shared" si="365"/>
        <v>0</v>
      </c>
      <c r="L1034" s="1290">
        <f t="shared" si="365"/>
        <v>0</v>
      </c>
      <c r="M1034" s="1290">
        <f t="shared" si="365"/>
        <v>0</v>
      </c>
      <c r="N1034" s="141"/>
      <c r="R1034" s="282"/>
      <c r="S1034" s="282"/>
      <c r="T1034" s="282"/>
      <c r="U1034" s="282"/>
      <c r="V1034" s="282"/>
      <c r="W1034" s="282"/>
      <c r="X1034" s="282"/>
      <c r="Y1034" s="282"/>
      <c r="Z1034" s="282"/>
      <c r="AA1034" s="282"/>
    </row>
    <row r="1035" spans="1:27" outlineLevel="2" x14ac:dyDescent="0.25">
      <c r="A1035" s="276">
        <f>ROW()</f>
        <v>1035</v>
      </c>
      <c r="B1035" s="282" t="str">
        <f>$B$118</f>
        <v>Admin 5</v>
      </c>
      <c r="C1035" s="564" t="s">
        <v>232</v>
      </c>
      <c r="D1035" s="282"/>
      <c r="E1035" s="282"/>
      <c r="F1035" s="282"/>
      <c r="G1035" s="1290">
        <f t="shared" si="365"/>
        <v>0</v>
      </c>
      <c r="H1035" s="1290">
        <f t="shared" si="365"/>
        <v>0</v>
      </c>
      <c r="I1035" s="1290">
        <f t="shared" si="365"/>
        <v>0</v>
      </c>
      <c r="J1035" s="1290">
        <f t="shared" si="365"/>
        <v>0</v>
      </c>
      <c r="K1035" s="1290">
        <f t="shared" si="365"/>
        <v>0</v>
      </c>
      <c r="L1035" s="1290">
        <f t="shared" si="365"/>
        <v>0</v>
      </c>
      <c r="M1035" s="1290">
        <f t="shared" si="365"/>
        <v>0</v>
      </c>
      <c r="N1035" s="141"/>
      <c r="R1035" s="282"/>
      <c r="S1035" s="282"/>
      <c r="T1035" s="282"/>
      <c r="U1035" s="282"/>
      <c r="V1035" s="282"/>
      <c r="W1035" s="282"/>
      <c r="X1035" s="282"/>
      <c r="Y1035" s="282"/>
      <c r="Z1035" s="282"/>
      <c r="AA1035" s="282"/>
    </row>
    <row r="1036" spans="1:27" outlineLevel="2" x14ac:dyDescent="0.25">
      <c r="A1036" s="276">
        <f>ROW()</f>
        <v>1036</v>
      </c>
      <c r="B1036" s="282"/>
      <c r="C1036" s="564"/>
      <c r="D1036" s="564"/>
      <c r="E1036" s="564"/>
      <c r="F1036" s="564"/>
      <c r="G1036" s="1294"/>
      <c r="H1036" s="1294"/>
      <c r="I1036" s="1290"/>
      <c r="J1036" s="1290"/>
      <c r="K1036" s="1290"/>
      <c r="L1036" s="1290"/>
      <c r="M1036" s="1290"/>
      <c r="N1036" s="141"/>
      <c r="R1036" s="282"/>
      <c r="S1036" s="282"/>
      <c r="T1036" s="282"/>
      <c r="U1036" s="282"/>
      <c r="V1036" s="282"/>
      <c r="W1036" s="282"/>
      <c r="X1036" s="282"/>
      <c r="Y1036" s="282"/>
      <c r="Z1036" s="282"/>
      <c r="AA1036" s="282"/>
    </row>
    <row r="1037" spans="1:27" outlineLevel="2" x14ac:dyDescent="0.25">
      <c r="A1037" s="276">
        <f>ROW()</f>
        <v>1037</v>
      </c>
      <c r="B1037" s="596" t="str">
        <f>$B$122</f>
        <v>Office Staff</v>
      </c>
      <c r="C1037" s="723"/>
      <c r="D1037" s="289"/>
      <c r="E1037" s="289"/>
      <c r="F1037" s="289"/>
      <c r="G1037" s="1295"/>
      <c r="H1037" s="1295"/>
      <c r="I1037" s="1295"/>
      <c r="J1037" s="1295"/>
      <c r="K1037" s="1295"/>
      <c r="L1037" s="1295"/>
      <c r="M1037" s="1295"/>
      <c r="N1037" s="141"/>
      <c r="R1037" s="282"/>
      <c r="S1037" s="282"/>
      <c r="T1037" s="282"/>
      <c r="U1037" s="282"/>
      <c r="V1037" s="282"/>
      <c r="W1037" s="282"/>
      <c r="X1037" s="282"/>
      <c r="Y1037" s="282"/>
      <c r="Z1037" s="282"/>
      <c r="AA1037" s="282"/>
    </row>
    <row r="1038" spans="1:27" outlineLevel="2" x14ac:dyDescent="0.25">
      <c r="A1038" s="276">
        <f>ROW()</f>
        <v>1038</v>
      </c>
      <c r="B1038" s="282" t="str">
        <f>$B$123</f>
        <v>Office Manager</v>
      </c>
      <c r="C1038" s="564" t="s">
        <v>232</v>
      </c>
      <c r="D1038" s="282"/>
      <c r="E1038" s="282"/>
      <c r="F1038" s="282"/>
      <c r="G1038" s="1290">
        <f t="shared" ref="G1038:M1040" si="366">G123*$C$93</f>
        <v>0</v>
      </c>
      <c r="H1038" s="1290">
        <f t="shared" si="366"/>
        <v>0</v>
      </c>
      <c r="I1038" s="1290">
        <f t="shared" si="366"/>
        <v>0</v>
      </c>
      <c r="J1038" s="1290">
        <f t="shared" si="366"/>
        <v>0</v>
      </c>
      <c r="K1038" s="1290">
        <f t="shared" si="366"/>
        <v>0</v>
      </c>
      <c r="L1038" s="1290">
        <f t="shared" si="366"/>
        <v>0</v>
      </c>
      <c r="M1038" s="1290">
        <f t="shared" si="366"/>
        <v>0</v>
      </c>
      <c r="N1038" s="141"/>
      <c r="R1038" s="282"/>
      <c r="S1038" s="282"/>
      <c r="T1038" s="282"/>
      <c r="U1038" s="282"/>
      <c r="V1038" s="282"/>
      <c r="W1038" s="282"/>
      <c r="X1038" s="282"/>
      <c r="Y1038" s="282"/>
      <c r="Z1038" s="282"/>
      <c r="AA1038" s="282"/>
    </row>
    <row r="1039" spans="1:27" outlineLevel="2" x14ac:dyDescent="0.25">
      <c r="A1039" s="276">
        <f>ROW()</f>
        <v>1039</v>
      </c>
      <c r="B1039" s="282" t="str">
        <f>$B$124</f>
        <v>Registrar</v>
      </c>
      <c r="C1039" s="564" t="s">
        <v>232</v>
      </c>
      <c r="D1039" s="282"/>
      <c r="E1039" s="282"/>
      <c r="F1039" s="282"/>
      <c r="G1039" s="1290">
        <f t="shared" si="366"/>
        <v>0</v>
      </c>
      <c r="H1039" s="1290">
        <f t="shared" si="366"/>
        <v>0</v>
      </c>
      <c r="I1039" s="1290">
        <f t="shared" si="366"/>
        <v>0</v>
      </c>
      <c r="J1039" s="1290">
        <f t="shared" si="366"/>
        <v>0</v>
      </c>
      <c r="K1039" s="1290">
        <f t="shared" si="366"/>
        <v>0</v>
      </c>
      <c r="L1039" s="1290">
        <f t="shared" si="366"/>
        <v>0</v>
      </c>
      <c r="M1039" s="1290">
        <f t="shared" si="366"/>
        <v>0</v>
      </c>
      <c r="N1039" s="141"/>
      <c r="R1039" s="282"/>
      <c r="S1039" s="282"/>
      <c r="T1039" s="282"/>
      <c r="U1039" s="282"/>
      <c r="V1039" s="282"/>
      <c r="W1039" s="282"/>
      <c r="X1039" s="282"/>
      <c r="Y1039" s="282"/>
      <c r="Z1039" s="282"/>
      <c r="AA1039" s="282"/>
    </row>
    <row r="1040" spans="1:27" outlineLevel="2" x14ac:dyDescent="0.25">
      <c r="A1040" s="276">
        <f>ROW()</f>
        <v>1040</v>
      </c>
      <c r="B1040" s="282">
        <f>$B$125</f>
        <v>0</v>
      </c>
      <c r="C1040" s="564" t="s">
        <v>232</v>
      </c>
      <c r="D1040" s="282"/>
      <c r="G1040" s="1290">
        <f t="shared" si="366"/>
        <v>0</v>
      </c>
      <c r="H1040" s="1290">
        <f t="shared" si="366"/>
        <v>0</v>
      </c>
      <c r="I1040" s="1290">
        <f t="shared" si="366"/>
        <v>0</v>
      </c>
      <c r="J1040" s="1290">
        <f t="shared" si="366"/>
        <v>0</v>
      </c>
      <c r="K1040" s="1290">
        <f t="shared" si="366"/>
        <v>0</v>
      </c>
      <c r="L1040" s="1290">
        <f t="shared" si="366"/>
        <v>0</v>
      </c>
      <c r="M1040" s="1290">
        <f t="shared" si="366"/>
        <v>0</v>
      </c>
      <c r="N1040" s="141"/>
      <c r="R1040" s="282"/>
      <c r="S1040" s="282"/>
      <c r="T1040" s="282"/>
      <c r="U1040" s="282"/>
      <c r="V1040" s="282"/>
      <c r="W1040" s="282"/>
      <c r="X1040" s="282"/>
      <c r="Y1040" s="282"/>
      <c r="Z1040" s="282"/>
      <c r="AA1040" s="282"/>
    </row>
    <row r="1041" spans="1:27" outlineLevel="2" x14ac:dyDescent="0.25">
      <c r="A1041" s="276">
        <f>ROW()</f>
        <v>1041</v>
      </c>
      <c r="B1041" s="282"/>
      <c r="C1041" s="564"/>
      <c r="D1041" s="282"/>
      <c r="G1041" s="1290"/>
      <c r="H1041" s="1290"/>
      <c r="I1041" s="1290"/>
      <c r="J1041" s="1290"/>
      <c r="K1041" s="1290"/>
      <c r="L1041" s="1290"/>
      <c r="M1041" s="1290"/>
      <c r="N1041" s="141"/>
      <c r="R1041" s="282"/>
      <c r="S1041" s="282"/>
      <c r="T1041" s="282"/>
      <c r="U1041" s="282"/>
      <c r="V1041" s="282"/>
      <c r="W1041" s="282"/>
      <c r="X1041" s="282"/>
      <c r="Y1041" s="282"/>
      <c r="Z1041" s="282"/>
      <c r="AA1041" s="282"/>
    </row>
    <row r="1042" spans="1:27" outlineLevel="2" x14ac:dyDescent="0.25">
      <c r="A1042" s="276">
        <f>ROW()</f>
        <v>1042</v>
      </c>
      <c r="B1042" s="244"/>
      <c r="C1042" s="564"/>
      <c r="D1042" s="282"/>
      <c r="G1042" s="1290"/>
      <c r="H1042" s="1290"/>
      <c r="I1042" s="1290"/>
      <c r="J1042" s="1290"/>
      <c r="K1042" s="1290"/>
      <c r="L1042" s="1290"/>
      <c r="M1042" s="1290"/>
      <c r="N1042" s="141"/>
      <c r="R1042" s="282"/>
      <c r="S1042" s="282"/>
      <c r="T1042" s="282"/>
      <c r="U1042" s="282"/>
      <c r="V1042" s="282"/>
      <c r="W1042" s="282"/>
      <c r="X1042" s="282"/>
      <c r="Y1042" s="282"/>
      <c r="Z1042" s="282"/>
      <c r="AA1042" s="282"/>
    </row>
    <row r="1043" spans="1:27" outlineLevel="2" x14ac:dyDescent="0.25">
      <c r="A1043" s="276">
        <f>ROW()</f>
        <v>1043</v>
      </c>
      <c r="B1043" s="545" t="str">
        <f>$B$128</f>
        <v>Total Administrators and Office Staff</v>
      </c>
      <c r="C1043" s="708"/>
      <c r="D1043" s="545"/>
      <c r="E1043" s="517"/>
      <c r="F1043" s="517"/>
      <c r="G1043" s="1291">
        <f t="shared" ref="G1043:M1043" si="367">SUM(G1031:G1041)</f>
        <v>0</v>
      </c>
      <c r="H1043" s="1291">
        <f t="shared" si="367"/>
        <v>0</v>
      </c>
      <c r="I1043" s="1291">
        <f t="shared" si="367"/>
        <v>0</v>
      </c>
      <c r="J1043" s="1291">
        <f t="shared" si="367"/>
        <v>0</v>
      </c>
      <c r="K1043" s="1291">
        <f t="shared" si="367"/>
        <v>0</v>
      </c>
      <c r="L1043" s="1291">
        <f t="shared" si="367"/>
        <v>0</v>
      </c>
      <c r="M1043" s="1291">
        <f t="shared" si="367"/>
        <v>0</v>
      </c>
      <c r="N1043" s="141"/>
      <c r="R1043" s="282"/>
      <c r="S1043" s="282"/>
      <c r="T1043" s="282"/>
      <c r="U1043" s="282"/>
      <c r="V1043" s="282"/>
      <c r="W1043" s="282"/>
      <c r="X1043" s="282"/>
      <c r="Y1043" s="282"/>
      <c r="Z1043" s="282"/>
      <c r="AA1043" s="282"/>
    </row>
    <row r="1044" spans="1:27" outlineLevel="2" x14ac:dyDescent="0.25">
      <c r="A1044" s="276">
        <f>ROW()</f>
        <v>1044</v>
      </c>
      <c r="B1044" s="244"/>
      <c r="C1044" s="564"/>
      <c r="D1044" s="282"/>
      <c r="G1044" s="1290"/>
      <c r="H1044" s="1290"/>
      <c r="I1044" s="1290"/>
      <c r="J1044" s="1290"/>
      <c r="K1044" s="1290"/>
      <c r="L1044" s="1290"/>
      <c r="M1044" s="1290"/>
      <c r="N1044" s="141"/>
      <c r="R1044" s="282"/>
      <c r="S1044" s="282"/>
      <c r="T1044" s="282"/>
      <c r="U1044" s="282"/>
      <c r="V1044" s="282"/>
      <c r="W1044" s="282"/>
      <c r="X1044" s="282"/>
      <c r="Y1044" s="282"/>
      <c r="Z1044" s="282"/>
      <c r="AA1044" s="282"/>
    </row>
    <row r="1045" spans="1:27" outlineLevel="2" x14ac:dyDescent="0.25">
      <c r="A1045" s="276"/>
      <c r="B1045" s="596" t="str">
        <f>$B$130</f>
        <v>Special Education (SPED) Teachers</v>
      </c>
      <c r="C1045" s="723"/>
      <c r="D1045" s="289"/>
      <c r="E1045" s="289"/>
      <c r="F1045" s="289"/>
      <c r="G1045" s="1295"/>
      <c r="H1045" s="1295"/>
      <c r="I1045" s="1295"/>
      <c r="J1045" s="1295"/>
      <c r="K1045" s="1295"/>
      <c r="L1045" s="1295"/>
      <c r="M1045" s="1295"/>
      <c r="N1045" s="141"/>
      <c r="R1045" s="282"/>
      <c r="S1045" s="282"/>
      <c r="T1045" s="282"/>
      <c r="U1045" s="282"/>
      <c r="V1045" s="282"/>
      <c r="W1045" s="282"/>
      <c r="X1045" s="282"/>
      <c r="Y1045" s="282"/>
      <c r="Z1045" s="282"/>
      <c r="AA1045" s="282"/>
    </row>
    <row r="1046" spans="1:27" outlineLevel="2" x14ac:dyDescent="0.25">
      <c r="A1046" s="276">
        <f t="shared" ref="A1046:A1082" si="368">ROW(A131)</f>
        <v>131</v>
      </c>
      <c r="B1046" s="282" t="str">
        <f>$B$131</f>
        <v>Special Education (SPED) Teacher</v>
      </c>
      <c r="C1046" s="564" t="s">
        <v>232</v>
      </c>
      <c r="D1046" s="282"/>
      <c r="E1046" s="282"/>
      <c r="F1046" s="282"/>
      <c r="G1046" s="1290">
        <f t="shared" ref="G1046:M1053" si="369">G131*$C$93</f>
        <v>0</v>
      </c>
      <c r="H1046" s="1290">
        <f t="shared" si="369"/>
        <v>0</v>
      </c>
      <c r="I1046" s="1290">
        <f t="shared" si="369"/>
        <v>0</v>
      </c>
      <c r="J1046" s="1290">
        <f t="shared" si="369"/>
        <v>0</v>
      </c>
      <c r="K1046" s="1290">
        <f t="shared" si="369"/>
        <v>0</v>
      </c>
      <c r="L1046" s="1290">
        <f t="shared" si="369"/>
        <v>0</v>
      </c>
      <c r="M1046" s="1290">
        <f t="shared" si="369"/>
        <v>0</v>
      </c>
      <c r="N1046" s="141"/>
      <c r="R1046" s="282"/>
      <c r="S1046" s="282"/>
      <c r="T1046" s="282"/>
      <c r="U1046" s="282"/>
      <c r="V1046" s="282"/>
      <c r="W1046" s="282"/>
      <c r="X1046" s="282"/>
      <c r="Y1046" s="282"/>
      <c r="Z1046" s="282"/>
      <c r="AA1046" s="282"/>
    </row>
    <row r="1047" spans="1:27" outlineLevel="2" x14ac:dyDescent="0.25">
      <c r="A1047" s="276">
        <f t="shared" si="368"/>
        <v>132</v>
      </c>
      <c r="B1047" s="282" t="str">
        <f>$B$132</f>
        <v>Special Education (SPED) Teacher</v>
      </c>
      <c r="C1047" s="564" t="s">
        <v>232</v>
      </c>
      <c r="D1047" s="282"/>
      <c r="E1047" s="282"/>
      <c r="F1047" s="282"/>
      <c r="G1047" s="1290">
        <f t="shared" si="369"/>
        <v>0</v>
      </c>
      <c r="H1047" s="1290">
        <f t="shared" si="369"/>
        <v>0</v>
      </c>
      <c r="I1047" s="1290">
        <f t="shared" si="369"/>
        <v>0</v>
      </c>
      <c r="J1047" s="1290">
        <f t="shared" si="369"/>
        <v>0</v>
      </c>
      <c r="K1047" s="1290">
        <f t="shared" si="369"/>
        <v>0</v>
      </c>
      <c r="L1047" s="1290">
        <f t="shared" si="369"/>
        <v>0</v>
      </c>
      <c r="M1047" s="1290">
        <f t="shared" si="369"/>
        <v>0</v>
      </c>
      <c r="N1047" s="141"/>
      <c r="R1047" s="282"/>
      <c r="S1047" s="282"/>
      <c r="T1047" s="282"/>
      <c r="U1047" s="282"/>
      <c r="V1047" s="282"/>
      <c r="W1047" s="282"/>
      <c r="X1047" s="282"/>
      <c r="Y1047" s="282"/>
      <c r="Z1047" s="282"/>
      <c r="AA1047" s="282"/>
    </row>
    <row r="1048" spans="1:27" outlineLevel="2" x14ac:dyDescent="0.25">
      <c r="A1048" s="276">
        <f t="shared" si="368"/>
        <v>133</v>
      </c>
      <c r="B1048" s="282" t="str">
        <f>$B$133</f>
        <v>Special Education (SPED) Teacher</v>
      </c>
      <c r="C1048" s="564" t="s">
        <v>232</v>
      </c>
      <c r="D1048" s="282"/>
      <c r="E1048" s="282"/>
      <c r="F1048" s="282"/>
      <c r="G1048" s="1290">
        <f t="shared" si="369"/>
        <v>0</v>
      </c>
      <c r="H1048" s="1290">
        <f t="shared" si="369"/>
        <v>0</v>
      </c>
      <c r="I1048" s="1290">
        <f t="shared" si="369"/>
        <v>0</v>
      </c>
      <c r="J1048" s="1290">
        <f t="shared" si="369"/>
        <v>0</v>
      </c>
      <c r="K1048" s="1290">
        <f t="shared" si="369"/>
        <v>0</v>
      </c>
      <c r="L1048" s="1290">
        <f t="shared" si="369"/>
        <v>0</v>
      </c>
      <c r="M1048" s="1290">
        <f t="shared" si="369"/>
        <v>0</v>
      </c>
      <c r="N1048" s="141"/>
      <c r="R1048" s="282"/>
      <c r="S1048" s="282"/>
      <c r="T1048" s="282"/>
      <c r="U1048" s="282"/>
      <c r="V1048" s="282"/>
      <c r="W1048" s="282"/>
      <c r="X1048" s="282"/>
      <c r="Y1048" s="282"/>
      <c r="Z1048" s="282"/>
      <c r="AA1048" s="282"/>
    </row>
    <row r="1049" spans="1:27" outlineLevel="2" x14ac:dyDescent="0.25">
      <c r="A1049" s="276">
        <f t="shared" si="368"/>
        <v>134</v>
      </c>
      <c r="B1049" s="282" t="str">
        <f>$B$134</f>
        <v>Special Education (SPED) Teacher</v>
      </c>
      <c r="C1049" s="564" t="s">
        <v>232</v>
      </c>
      <c r="D1049" s="282"/>
      <c r="E1049" s="282"/>
      <c r="F1049" s="282"/>
      <c r="G1049" s="1290">
        <f t="shared" si="369"/>
        <v>0</v>
      </c>
      <c r="H1049" s="1290">
        <f t="shared" si="369"/>
        <v>0</v>
      </c>
      <c r="I1049" s="1290">
        <f t="shared" si="369"/>
        <v>0</v>
      </c>
      <c r="J1049" s="1290">
        <f t="shared" si="369"/>
        <v>0</v>
      </c>
      <c r="K1049" s="1290">
        <f t="shared" si="369"/>
        <v>0</v>
      </c>
      <c r="L1049" s="1290">
        <f t="shared" si="369"/>
        <v>0</v>
      </c>
      <c r="M1049" s="1290">
        <f t="shared" si="369"/>
        <v>0</v>
      </c>
      <c r="N1049" s="141"/>
      <c r="R1049" s="282"/>
      <c r="S1049" s="282"/>
      <c r="T1049" s="282"/>
      <c r="U1049" s="282"/>
      <c r="V1049" s="282"/>
      <c r="W1049" s="282"/>
      <c r="X1049" s="282"/>
      <c r="Y1049" s="282"/>
      <c r="Z1049" s="282"/>
      <c r="AA1049" s="282"/>
    </row>
    <row r="1050" spans="1:27" outlineLevel="2" x14ac:dyDescent="0.25">
      <c r="A1050" s="276">
        <f t="shared" si="368"/>
        <v>135</v>
      </c>
      <c r="B1050" s="282" t="str">
        <f>$B$135</f>
        <v>Special Education (SPED) Teacher</v>
      </c>
      <c r="C1050" s="564" t="s">
        <v>232</v>
      </c>
      <c r="D1050" s="282"/>
      <c r="E1050" s="282"/>
      <c r="F1050" s="282"/>
      <c r="G1050" s="1290">
        <f t="shared" si="369"/>
        <v>0</v>
      </c>
      <c r="H1050" s="1290">
        <f t="shared" si="369"/>
        <v>0</v>
      </c>
      <c r="I1050" s="1290">
        <f t="shared" si="369"/>
        <v>0</v>
      </c>
      <c r="J1050" s="1290">
        <f t="shared" si="369"/>
        <v>0</v>
      </c>
      <c r="K1050" s="1290">
        <f t="shared" si="369"/>
        <v>0</v>
      </c>
      <c r="L1050" s="1290">
        <f t="shared" si="369"/>
        <v>0</v>
      </c>
      <c r="M1050" s="1290">
        <f t="shared" si="369"/>
        <v>0</v>
      </c>
      <c r="N1050" s="141"/>
      <c r="R1050" s="282"/>
      <c r="S1050" s="282"/>
      <c r="T1050" s="282"/>
      <c r="U1050" s="282"/>
      <c r="V1050" s="282"/>
      <c r="W1050" s="282"/>
      <c r="X1050" s="282"/>
      <c r="Y1050" s="282"/>
      <c r="Z1050" s="282"/>
      <c r="AA1050" s="282"/>
    </row>
    <row r="1051" spans="1:27" outlineLevel="2" x14ac:dyDescent="0.25">
      <c r="A1051" s="276">
        <f t="shared" si="368"/>
        <v>136</v>
      </c>
      <c r="B1051" s="282" t="str">
        <f>$B$136</f>
        <v>Special Education (SPED) Teacher</v>
      </c>
      <c r="C1051" s="564" t="s">
        <v>232</v>
      </c>
      <c r="D1051" s="282"/>
      <c r="E1051" s="282"/>
      <c r="F1051" s="282"/>
      <c r="G1051" s="1290">
        <f t="shared" si="369"/>
        <v>0</v>
      </c>
      <c r="H1051" s="1290">
        <f t="shared" si="369"/>
        <v>0</v>
      </c>
      <c r="I1051" s="1290">
        <f t="shared" si="369"/>
        <v>0</v>
      </c>
      <c r="J1051" s="1290">
        <f t="shared" si="369"/>
        <v>0</v>
      </c>
      <c r="K1051" s="1290">
        <f t="shared" si="369"/>
        <v>0</v>
      </c>
      <c r="L1051" s="1290">
        <f t="shared" si="369"/>
        <v>0</v>
      </c>
      <c r="M1051" s="1290">
        <f t="shared" si="369"/>
        <v>0</v>
      </c>
      <c r="N1051" s="141"/>
      <c r="R1051" s="282"/>
      <c r="S1051" s="282"/>
      <c r="T1051" s="282"/>
      <c r="U1051" s="282"/>
      <c r="V1051" s="282"/>
      <c r="W1051" s="282"/>
      <c r="X1051" s="282"/>
      <c r="Y1051" s="282"/>
      <c r="Z1051" s="282"/>
      <c r="AA1051" s="282"/>
    </row>
    <row r="1052" spans="1:27" outlineLevel="2" x14ac:dyDescent="0.25">
      <c r="A1052" s="276">
        <f t="shared" si="368"/>
        <v>137</v>
      </c>
      <c r="B1052" s="282" t="str">
        <f>$B$137</f>
        <v>Special Education (SPED) Teacher</v>
      </c>
      <c r="C1052" s="564" t="s">
        <v>232</v>
      </c>
      <c r="D1052" s="282"/>
      <c r="E1052" s="282"/>
      <c r="F1052" s="282"/>
      <c r="G1052" s="1290">
        <f t="shared" si="369"/>
        <v>0</v>
      </c>
      <c r="H1052" s="1290">
        <f t="shared" si="369"/>
        <v>0</v>
      </c>
      <c r="I1052" s="1290">
        <f t="shared" si="369"/>
        <v>0</v>
      </c>
      <c r="J1052" s="1290">
        <f t="shared" si="369"/>
        <v>0</v>
      </c>
      <c r="K1052" s="1290">
        <f t="shared" si="369"/>
        <v>0</v>
      </c>
      <c r="L1052" s="1290">
        <f t="shared" si="369"/>
        <v>0</v>
      </c>
      <c r="M1052" s="1290">
        <f t="shared" si="369"/>
        <v>0</v>
      </c>
      <c r="N1052" s="141"/>
      <c r="R1052" s="282"/>
      <c r="S1052" s="282"/>
      <c r="T1052" s="282"/>
      <c r="U1052" s="282"/>
      <c r="V1052" s="282"/>
      <c r="W1052" s="282"/>
      <c r="X1052" s="282"/>
      <c r="Y1052" s="282"/>
      <c r="Z1052" s="282"/>
      <c r="AA1052" s="282"/>
    </row>
    <row r="1053" spans="1:27" outlineLevel="2" x14ac:dyDescent="0.25">
      <c r="A1053" s="276">
        <f t="shared" si="368"/>
        <v>138</v>
      </c>
      <c r="B1053" s="725" t="str">
        <f>$B138</f>
        <v>Teacher Assistant/Aide</v>
      </c>
      <c r="C1053" s="564" t="s">
        <v>232</v>
      </c>
      <c r="D1053" s="282"/>
      <c r="E1053" s="282"/>
      <c r="F1053" s="282"/>
      <c r="G1053" s="1290">
        <f t="shared" si="369"/>
        <v>0</v>
      </c>
      <c r="H1053" s="1290">
        <f t="shared" si="369"/>
        <v>0</v>
      </c>
      <c r="I1053" s="1290">
        <f t="shared" si="369"/>
        <v>0</v>
      </c>
      <c r="J1053" s="1290">
        <f t="shared" si="369"/>
        <v>0</v>
      </c>
      <c r="K1053" s="1290">
        <f t="shared" si="369"/>
        <v>0</v>
      </c>
      <c r="L1053" s="1290">
        <f t="shared" si="369"/>
        <v>0</v>
      </c>
      <c r="M1053" s="1290">
        <f t="shared" si="369"/>
        <v>0</v>
      </c>
      <c r="N1053" s="141"/>
      <c r="R1053" s="282"/>
      <c r="S1053" s="282"/>
      <c r="T1053" s="282"/>
      <c r="U1053" s="282"/>
      <c r="V1053" s="282"/>
      <c r="W1053" s="282"/>
      <c r="X1053" s="282"/>
      <c r="Y1053" s="282"/>
      <c r="Z1053" s="282"/>
      <c r="AA1053" s="282"/>
    </row>
    <row r="1054" spans="1:27" outlineLevel="2" x14ac:dyDescent="0.25">
      <c r="A1054" s="276">
        <f t="shared" si="368"/>
        <v>139</v>
      </c>
      <c r="B1054" s="725" t="str">
        <f>$B139</f>
        <v>Teacher Assistant/Aide</v>
      </c>
      <c r="C1054" s="564" t="s">
        <v>232</v>
      </c>
      <c r="D1054" s="282"/>
      <c r="E1054" s="282"/>
      <c r="F1054" s="282"/>
      <c r="G1054" s="1290"/>
      <c r="H1054" s="1290"/>
      <c r="I1054" s="1290"/>
      <c r="J1054" s="1290"/>
      <c r="K1054" s="1290"/>
      <c r="L1054" s="1290"/>
      <c r="M1054" s="1290"/>
      <c r="N1054" s="141"/>
      <c r="R1054" s="282"/>
      <c r="S1054" s="282"/>
      <c r="T1054" s="282"/>
      <c r="U1054" s="282"/>
      <c r="V1054" s="282"/>
      <c r="W1054" s="282"/>
      <c r="X1054" s="282"/>
      <c r="Y1054" s="282"/>
      <c r="Z1054" s="282"/>
      <c r="AA1054" s="282"/>
    </row>
    <row r="1055" spans="1:27" outlineLevel="2" x14ac:dyDescent="0.25">
      <c r="A1055" s="276">
        <f t="shared" si="368"/>
        <v>140</v>
      </c>
      <c r="B1055" s="545" t="str">
        <f>$B140</f>
        <v xml:space="preserve">Total Special EducationTeachers </v>
      </c>
      <c r="C1055" s="707"/>
      <c r="D1055" s="724"/>
      <c r="E1055" s="724"/>
      <c r="F1055" s="724"/>
      <c r="G1055" s="1296"/>
      <c r="H1055" s="1296"/>
      <c r="I1055" s="1296"/>
      <c r="J1055" s="1296"/>
      <c r="K1055" s="1296"/>
      <c r="L1055" s="1296"/>
      <c r="M1055" s="1296"/>
      <c r="N1055" s="141"/>
      <c r="R1055" s="282"/>
      <c r="S1055" s="282"/>
      <c r="T1055" s="282"/>
      <c r="U1055" s="282"/>
      <c r="V1055" s="282"/>
      <c r="W1055" s="282"/>
      <c r="X1055" s="282"/>
      <c r="Y1055" s="282"/>
      <c r="Z1055" s="282"/>
      <c r="AA1055" s="282"/>
    </row>
    <row r="1056" spans="1:27" outlineLevel="2" x14ac:dyDescent="0.25">
      <c r="A1056" s="276">
        <f t="shared" si="368"/>
        <v>141</v>
      </c>
      <c r="B1056" s="282"/>
      <c r="C1056" s="564"/>
      <c r="D1056" s="282"/>
      <c r="E1056" s="282"/>
      <c r="F1056" s="282"/>
      <c r="G1056" s="1290"/>
      <c r="H1056" s="1290"/>
      <c r="I1056" s="1290"/>
      <c r="J1056" s="1290"/>
      <c r="K1056" s="1290"/>
      <c r="L1056" s="1290"/>
      <c r="M1056" s="1290"/>
      <c r="N1056" s="141"/>
      <c r="R1056" s="282"/>
      <c r="S1056" s="282"/>
      <c r="T1056" s="282"/>
      <c r="U1056" s="282"/>
      <c r="V1056" s="282"/>
      <c r="W1056" s="282"/>
      <c r="X1056" s="282"/>
      <c r="Y1056" s="282"/>
      <c r="Z1056" s="282"/>
      <c r="AA1056" s="282"/>
    </row>
    <row r="1057" spans="1:27" outlineLevel="2" x14ac:dyDescent="0.25">
      <c r="A1057" s="276">
        <f t="shared" si="368"/>
        <v>142</v>
      </c>
      <c r="B1057" s="596" t="str">
        <f t="shared" ref="B1057:B1067" si="370">$B142</f>
        <v>English Language Learner (ELL) Teachers</v>
      </c>
      <c r="C1057" s="723"/>
      <c r="D1057" s="289"/>
      <c r="E1057" s="289"/>
      <c r="F1057" s="289"/>
      <c r="G1057" s="1295"/>
      <c r="H1057" s="1295"/>
      <c r="I1057" s="1295"/>
      <c r="J1057" s="1295"/>
      <c r="K1057" s="1295"/>
      <c r="L1057" s="1295"/>
      <c r="M1057" s="1295"/>
      <c r="N1057" s="141"/>
      <c r="R1057" s="282"/>
      <c r="S1057" s="282"/>
      <c r="T1057" s="282"/>
      <c r="U1057" s="282"/>
      <c r="V1057" s="282"/>
      <c r="W1057" s="282"/>
      <c r="X1057" s="282"/>
      <c r="Y1057" s="282"/>
      <c r="Z1057" s="282"/>
      <c r="AA1057" s="282"/>
    </row>
    <row r="1058" spans="1:27" outlineLevel="2" x14ac:dyDescent="0.25">
      <c r="A1058" s="276">
        <f t="shared" si="368"/>
        <v>143</v>
      </c>
      <c r="B1058" s="725" t="str">
        <f t="shared" si="370"/>
        <v>ELL Coordinator</v>
      </c>
      <c r="C1058" s="564" t="s">
        <v>232</v>
      </c>
      <c r="D1058" s="282"/>
      <c r="E1058" s="282"/>
      <c r="F1058" s="282"/>
      <c r="G1058" s="1290">
        <f t="shared" ref="G1058:M1067" si="371">G143*$C$93</f>
        <v>0</v>
      </c>
      <c r="H1058" s="1290">
        <f t="shared" si="371"/>
        <v>0</v>
      </c>
      <c r="I1058" s="1290">
        <f t="shared" si="371"/>
        <v>0</v>
      </c>
      <c r="J1058" s="1290">
        <f t="shared" si="371"/>
        <v>0</v>
      </c>
      <c r="K1058" s="1290">
        <f t="shared" si="371"/>
        <v>0</v>
      </c>
      <c r="L1058" s="1290">
        <f t="shared" si="371"/>
        <v>0</v>
      </c>
      <c r="M1058" s="1290">
        <f t="shared" si="371"/>
        <v>0</v>
      </c>
      <c r="N1058" s="141"/>
      <c r="R1058" s="282"/>
      <c r="S1058" s="282"/>
      <c r="T1058" s="282"/>
      <c r="U1058" s="282"/>
      <c r="V1058" s="282"/>
      <c r="W1058" s="282"/>
      <c r="X1058" s="282"/>
      <c r="Y1058" s="282"/>
      <c r="Z1058" s="282"/>
      <c r="AA1058" s="282"/>
    </row>
    <row r="1059" spans="1:27" outlineLevel="2" x14ac:dyDescent="0.25">
      <c r="A1059" s="276">
        <f t="shared" si="368"/>
        <v>144</v>
      </c>
      <c r="B1059" s="725" t="str">
        <f t="shared" si="370"/>
        <v>Teacher Assistant/Aide</v>
      </c>
      <c r="C1059" s="564" t="s">
        <v>232</v>
      </c>
      <c r="D1059" s="282"/>
      <c r="E1059" s="282"/>
      <c r="F1059" s="282"/>
      <c r="G1059" s="1290">
        <f t="shared" si="371"/>
        <v>0</v>
      </c>
      <c r="H1059" s="1290">
        <f t="shared" si="371"/>
        <v>0</v>
      </c>
      <c r="I1059" s="1290">
        <f t="shared" si="371"/>
        <v>0</v>
      </c>
      <c r="J1059" s="1290">
        <f t="shared" si="371"/>
        <v>0</v>
      </c>
      <c r="K1059" s="1290">
        <f t="shared" si="371"/>
        <v>0</v>
      </c>
      <c r="L1059" s="1290">
        <f t="shared" si="371"/>
        <v>0</v>
      </c>
      <c r="M1059" s="1290">
        <f t="shared" si="371"/>
        <v>0</v>
      </c>
      <c r="N1059" s="141"/>
      <c r="R1059" s="282"/>
      <c r="S1059" s="282"/>
      <c r="T1059" s="282"/>
      <c r="U1059" s="282"/>
      <c r="V1059" s="282"/>
      <c r="W1059" s="282"/>
      <c r="X1059" s="282"/>
      <c r="Y1059" s="282"/>
      <c r="Z1059" s="282"/>
      <c r="AA1059" s="282"/>
    </row>
    <row r="1060" spans="1:27" outlineLevel="2" x14ac:dyDescent="0.25">
      <c r="A1060" s="276">
        <f t="shared" si="368"/>
        <v>145</v>
      </c>
      <c r="B1060" s="725" t="str">
        <f t="shared" si="370"/>
        <v>Teacher Assistant/Aide</v>
      </c>
      <c r="C1060" s="564" t="s">
        <v>232</v>
      </c>
      <c r="D1060" s="282"/>
      <c r="E1060" s="282"/>
      <c r="F1060" s="282"/>
      <c r="G1060" s="1290">
        <f t="shared" si="371"/>
        <v>0</v>
      </c>
      <c r="H1060" s="1290">
        <f t="shared" si="371"/>
        <v>0</v>
      </c>
      <c r="I1060" s="1290">
        <f t="shared" si="371"/>
        <v>0</v>
      </c>
      <c r="J1060" s="1290">
        <f t="shared" si="371"/>
        <v>0</v>
      </c>
      <c r="K1060" s="1290">
        <f t="shared" si="371"/>
        <v>0</v>
      </c>
      <c r="L1060" s="1290">
        <f t="shared" si="371"/>
        <v>0</v>
      </c>
      <c r="M1060" s="1290">
        <f t="shared" si="371"/>
        <v>0</v>
      </c>
      <c r="N1060" s="141"/>
      <c r="R1060" s="282"/>
      <c r="S1060" s="282"/>
      <c r="T1060" s="282"/>
      <c r="U1060" s="282"/>
      <c r="V1060" s="282"/>
      <c r="W1060" s="282"/>
      <c r="X1060" s="282"/>
      <c r="Y1060" s="282"/>
      <c r="Z1060" s="282"/>
      <c r="AA1060" s="282"/>
    </row>
    <row r="1061" spans="1:27" outlineLevel="2" x14ac:dyDescent="0.25">
      <c r="A1061" s="276">
        <f t="shared" si="368"/>
        <v>146</v>
      </c>
      <c r="B1061" s="725" t="str">
        <f t="shared" si="370"/>
        <v>Teacher Assistant/Aide</v>
      </c>
      <c r="C1061" s="564" t="s">
        <v>232</v>
      </c>
      <c r="D1061" s="282"/>
      <c r="E1061" s="282"/>
      <c r="F1061" s="282"/>
      <c r="G1061" s="1290">
        <f t="shared" si="371"/>
        <v>0</v>
      </c>
      <c r="H1061" s="1290">
        <f t="shared" si="371"/>
        <v>0</v>
      </c>
      <c r="I1061" s="1290">
        <f t="shared" si="371"/>
        <v>0</v>
      </c>
      <c r="J1061" s="1290">
        <f t="shared" si="371"/>
        <v>0</v>
      </c>
      <c r="K1061" s="1290">
        <f t="shared" si="371"/>
        <v>0</v>
      </c>
      <c r="L1061" s="1290">
        <f t="shared" si="371"/>
        <v>0</v>
      </c>
      <c r="M1061" s="1290">
        <f t="shared" si="371"/>
        <v>0</v>
      </c>
      <c r="N1061" s="141"/>
      <c r="R1061" s="282"/>
      <c r="S1061" s="282"/>
      <c r="T1061" s="282"/>
      <c r="U1061" s="282"/>
      <c r="V1061" s="282"/>
      <c r="W1061" s="282"/>
      <c r="X1061" s="282"/>
      <c r="Y1061" s="282"/>
      <c r="Z1061" s="282"/>
      <c r="AA1061" s="282"/>
    </row>
    <row r="1062" spans="1:27" outlineLevel="2" x14ac:dyDescent="0.25">
      <c r="A1062" s="276">
        <f t="shared" si="368"/>
        <v>147</v>
      </c>
      <c r="B1062" s="725" t="str">
        <f t="shared" si="370"/>
        <v>Teacher Assistant/Aide</v>
      </c>
      <c r="C1062" s="564" t="s">
        <v>232</v>
      </c>
      <c r="D1062" s="282"/>
      <c r="E1062" s="282"/>
      <c r="F1062" s="282"/>
      <c r="G1062" s="1290">
        <f t="shared" si="371"/>
        <v>0</v>
      </c>
      <c r="H1062" s="1290">
        <f t="shared" si="371"/>
        <v>0</v>
      </c>
      <c r="I1062" s="1290">
        <f t="shared" si="371"/>
        <v>0</v>
      </c>
      <c r="J1062" s="1290">
        <f t="shared" si="371"/>
        <v>0</v>
      </c>
      <c r="K1062" s="1290">
        <f t="shared" si="371"/>
        <v>0</v>
      </c>
      <c r="L1062" s="1290">
        <f t="shared" si="371"/>
        <v>0</v>
      </c>
      <c r="M1062" s="1290">
        <f t="shared" si="371"/>
        <v>0</v>
      </c>
      <c r="N1062" s="141"/>
      <c r="R1062" s="282"/>
      <c r="S1062" s="282"/>
      <c r="T1062" s="282"/>
      <c r="U1062" s="282"/>
      <c r="V1062" s="282"/>
      <c r="W1062" s="282"/>
      <c r="X1062" s="282"/>
      <c r="Y1062" s="282"/>
      <c r="Z1062" s="282"/>
      <c r="AA1062" s="282"/>
    </row>
    <row r="1063" spans="1:27" outlineLevel="2" x14ac:dyDescent="0.25">
      <c r="A1063" s="276">
        <f t="shared" si="368"/>
        <v>148</v>
      </c>
      <c r="B1063" s="725" t="str">
        <f t="shared" si="370"/>
        <v>Teacher Assistant/Aide</v>
      </c>
      <c r="C1063" s="564" t="s">
        <v>232</v>
      </c>
      <c r="D1063" s="282"/>
      <c r="E1063" s="282"/>
      <c r="F1063" s="282"/>
      <c r="G1063" s="1290">
        <f t="shared" si="371"/>
        <v>0</v>
      </c>
      <c r="H1063" s="1290">
        <f t="shared" si="371"/>
        <v>0</v>
      </c>
      <c r="I1063" s="1290">
        <f t="shared" si="371"/>
        <v>0</v>
      </c>
      <c r="J1063" s="1290">
        <f t="shared" si="371"/>
        <v>0</v>
      </c>
      <c r="K1063" s="1290">
        <f t="shared" si="371"/>
        <v>0</v>
      </c>
      <c r="L1063" s="1290">
        <f t="shared" si="371"/>
        <v>0</v>
      </c>
      <c r="M1063" s="1290">
        <f t="shared" si="371"/>
        <v>0</v>
      </c>
      <c r="N1063" s="141"/>
      <c r="R1063" s="282"/>
      <c r="S1063" s="282"/>
      <c r="T1063" s="282"/>
      <c r="U1063" s="282"/>
      <c r="V1063" s="282"/>
      <c r="W1063" s="282"/>
      <c r="X1063" s="282"/>
      <c r="Y1063" s="282"/>
      <c r="Z1063" s="282"/>
      <c r="AA1063" s="282"/>
    </row>
    <row r="1064" spans="1:27" outlineLevel="2" x14ac:dyDescent="0.25">
      <c r="A1064" s="276">
        <f t="shared" si="368"/>
        <v>149</v>
      </c>
      <c r="B1064" s="725" t="str">
        <f t="shared" si="370"/>
        <v>Teacher Assistant/Aide</v>
      </c>
      <c r="C1064" s="564" t="s">
        <v>232</v>
      </c>
      <c r="D1064" s="282"/>
      <c r="E1064" s="282"/>
      <c r="F1064" s="282"/>
      <c r="G1064" s="1290">
        <f t="shared" si="371"/>
        <v>0</v>
      </c>
      <c r="H1064" s="1290">
        <f t="shared" si="371"/>
        <v>0</v>
      </c>
      <c r="I1064" s="1290">
        <f t="shared" si="371"/>
        <v>0</v>
      </c>
      <c r="J1064" s="1290">
        <f t="shared" si="371"/>
        <v>0</v>
      </c>
      <c r="K1064" s="1290">
        <f t="shared" si="371"/>
        <v>0</v>
      </c>
      <c r="L1064" s="1290">
        <f t="shared" si="371"/>
        <v>0</v>
      </c>
      <c r="M1064" s="1290">
        <f t="shared" si="371"/>
        <v>0</v>
      </c>
      <c r="N1064" s="141"/>
      <c r="R1064" s="282"/>
      <c r="S1064" s="282"/>
      <c r="T1064" s="282"/>
      <c r="U1064" s="282"/>
      <c r="V1064" s="282"/>
      <c r="W1064" s="282"/>
      <c r="X1064" s="282"/>
      <c r="Y1064" s="282"/>
      <c r="Z1064" s="282"/>
      <c r="AA1064" s="282"/>
    </row>
    <row r="1065" spans="1:27" outlineLevel="2" x14ac:dyDescent="0.25">
      <c r="A1065" s="276">
        <f t="shared" si="368"/>
        <v>150</v>
      </c>
      <c r="B1065" s="725" t="str">
        <f t="shared" si="370"/>
        <v>Teacher Assistant/Aide</v>
      </c>
      <c r="C1065" s="564"/>
      <c r="D1065" s="282"/>
      <c r="E1065" s="282"/>
      <c r="F1065" s="282"/>
      <c r="G1065" s="1290">
        <f t="shared" si="371"/>
        <v>0</v>
      </c>
      <c r="H1065" s="1290">
        <f t="shared" si="371"/>
        <v>0</v>
      </c>
      <c r="I1065" s="1290">
        <f t="shared" si="371"/>
        <v>0</v>
      </c>
      <c r="J1065" s="1290">
        <f t="shared" si="371"/>
        <v>0</v>
      </c>
      <c r="K1065" s="1290">
        <f t="shared" si="371"/>
        <v>0</v>
      </c>
      <c r="L1065" s="1290">
        <f t="shared" si="371"/>
        <v>0</v>
      </c>
      <c r="M1065" s="1290">
        <f t="shared" si="371"/>
        <v>0</v>
      </c>
      <c r="N1065" s="141"/>
      <c r="R1065" s="282"/>
      <c r="S1065" s="282"/>
      <c r="T1065" s="282"/>
      <c r="U1065" s="282"/>
      <c r="V1065" s="282"/>
      <c r="W1065" s="282"/>
      <c r="X1065" s="282"/>
      <c r="Y1065" s="282"/>
      <c r="Z1065" s="282"/>
      <c r="AA1065" s="282"/>
    </row>
    <row r="1066" spans="1:27" outlineLevel="2" x14ac:dyDescent="0.25">
      <c r="A1066" s="276">
        <f t="shared" si="368"/>
        <v>151</v>
      </c>
      <c r="B1066" s="725" t="str">
        <f t="shared" si="370"/>
        <v>Teacher Assistant/Aide</v>
      </c>
      <c r="C1066" s="564"/>
      <c r="D1066" s="282"/>
      <c r="E1066" s="282"/>
      <c r="F1066" s="282"/>
      <c r="G1066" s="1290">
        <f t="shared" si="371"/>
        <v>0</v>
      </c>
      <c r="H1066" s="1290">
        <f t="shared" si="371"/>
        <v>0</v>
      </c>
      <c r="I1066" s="1290">
        <f t="shared" si="371"/>
        <v>0</v>
      </c>
      <c r="J1066" s="1290">
        <f t="shared" si="371"/>
        <v>0</v>
      </c>
      <c r="K1066" s="1290">
        <f t="shared" si="371"/>
        <v>0</v>
      </c>
      <c r="L1066" s="1290">
        <f t="shared" si="371"/>
        <v>0</v>
      </c>
      <c r="M1066" s="1290">
        <f t="shared" si="371"/>
        <v>0</v>
      </c>
      <c r="N1066" s="141"/>
      <c r="R1066" s="282"/>
      <c r="S1066" s="282"/>
      <c r="T1066" s="282"/>
      <c r="U1066" s="282"/>
      <c r="V1066" s="282"/>
      <c r="W1066" s="282"/>
      <c r="X1066" s="282"/>
      <c r="Y1066" s="282"/>
      <c r="Z1066" s="282"/>
      <c r="AA1066" s="282"/>
    </row>
    <row r="1067" spans="1:27" outlineLevel="2" x14ac:dyDescent="0.25">
      <c r="A1067" s="276">
        <f t="shared" si="368"/>
        <v>152</v>
      </c>
      <c r="B1067" s="545" t="str">
        <f t="shared" si="370"/>
        <v>Total ELL Teachers</v>
      </c>
      <c r="C1067" s="707"/>
      <c r="D1067" s="724"/>
      <c r="E1067" s="724"/>
      <c r="F1067" s="724"/>
      <c r="G1067" s="1296">
        <f t="shared" si="371"/>
        <v>0</v>
      </c>
      <c r="H1067" s="1296">
        <f t="shared" si="371"/>
        <v>0</v>
      </c>
      <c r="I1067" s="1296">
        <f t="shared" si="371"/>
        <v>0</v>
      </c>
      <c r="J1067" s="1296">
        <f t="shared" si="371"/>
        <v>0</v>
      </c>
      <c r="K1067" s="1296">
        <f t="shared" si="371"/>
        <v>0</v>
      </c>
      <c r="L1067" s="1296">
        <f t="shared" si="371"/>
        <v>0</v>
      </c>
      <c r="M1067" s="1296">
        <f t="shared" si="371"/>
        <v>0</v>
      </c>
      <c r="N1067" s="141"/>
      <c r="R1067" s="282"/>
      <c r="S1067" s="282"/>
      <c r="T1067" s="282"/>
      <c r="U1067" s="282"/>
      <c r="V1067" s="282"/>
      <c r="W1067" s="282"/>
      <c r="X1067" s="282"/>
      <c r="Y1067" s="282"/>
      <c r="Z1067" s="282"/>
      <c r="AA1067" s="282"/>
    </row>
    <row r="1068" spans="1:27" outlineLevel="2" x14ac:dyDescent="0.25">
      <c r="A1068" s="276">
        <f t="shared" si="368"/>
        <v>153</v>
      </c>
      <c r="B1068" s="282"/>
      <c r="C1068" s="564"/>
      <c r="D1068" s="282"/>
      <c r="E1068" s="282"/>
      <c r="F1068" s="282"/>
      <c r="G1068" s="1290"/>
      <c r="H1068" s="1290"/>
      <c r="I1068" s="1290"/>
      <c r="J1068" s="1290"/>
      <c r="K1068" s="1290"/>
      <c r="L1068" s="1290"/>
      <c r="M1068" s="1290"/>
      <c r="N1068" s="141"/>
      <c r="R1068" s="282"/>
      <c r="S1068" s="282"/>
      <c r="T1068" s="282"/>
      <c r="U1068" s="282"/>
      <c r="V1068" s="282"/>
      <c r="W1068" s="282"/>
      <c r="X1068" s="282"/>
      <c r="Y1068" s="282"/>
      <c r="Z1068" s="282"/>
      <c r="AA1068" s="282"/>
    </row>
    <row r="1069" spans="1:27" outlineLevel="2" x14ac:dyDescent="0.25">
      <c r="A1069" s="276">
        <f t="shared" si="368"/>
        <v>154</v>
      </c>
      <c r="B1069" s="596" t="str">
        <f>$B154</f>
        <v>Guidance Counselor &amp; Other</v>
      </c>
      <c r="C1069" s="723"/>
      <c r="D1069" s="289"/>
      <c r="E1069" s="289"/>
      <c r="F1069" s="289"/>
      <c r="G1069" s="1295"/>
      <c r="H1069" s="1295"/>
      <c r="I1069" s="1295"/>
      <c r="J1069" s="1295"/>
      <c r="K1069" s="1295"/>
      <c r="L1069" s="1295"/>
      <c r="M1069" s="1295"/>
      <c r="N1069" s="141"/>
      <c r="R1069" s="282"/>
      <c r="S1069" s="282"/>
      <c r="T1069" s="282"/>
      <c r="U1069" s="282"/>
      <c r="V1069" s="282"/>
      <c r="W1069" s="282"/>
      <c r="X1069" s="282"/>
      <c r="Y1069" s="282"/>
      <c r="Z1069" s="282"/>
      <c r="AA1069" s="282"/>
    </row>
    <row r="1070" spans="1:27" outlineLevel="2" x14ac:dyDescent="0.25">
      <c r="A1070" s="276">
        <f t="shared" si="368"/>
        <v>155</v>
      </c>
      <c r="B1070" s="725" t="str">
        <f>$B$157</f>
        <v>Curriculum Coach</v>
      </c>
      <c r="C1070" s="564" t="s">
        <v>232</v>
      </c>
      <c r="D1070" s="282"/>
      <c r="E1070" s="282"/>
      <c r="F1070" s="282"/>
      <c r="G1070" s="1290">
        <f t="shared" ref="G1070:M1077" si="372">G157*$C$93</f>
        <v>0</v>
      </c>
      <c r="H1070" s="1290">
        <f t="shared" si="372"/>
        <v>0</v>
      </c>
      <c r="I1070" s="1290">
        <f t="shared" si="372"/>
        <v>0</v>
      </c>
      <c r="J1070" s="1290">
        <f t="shared" si="372"/>
        <v>0</v>
      </c>
      <c r="K1070" s="1290">
        <f t="shared" si="372"/>
        <v>0</v>
      </c>
      <c r="L1070" s="1290">
        <f t="shared" si="372"/>
        <v>0</v>
      </c>
      <c r="M1070" s="1290">
        <f t="shared" si="372"/>
        <v>0</v>
      </c>
      <c r="N1070" s="141"/>
      <c r="R1070" s="282"/>
      <c r="S1070" s="282"/>
      <c r="T1070" s="282"/>
      <c r="U1070" s="282"/>
      <c r="V1070" s="282"/>
      <c r="W1070" s="282"/>
      <c r="X1070" s="282"/>
      <c r="Y1070" s="282"/>
      <c r="Z1070" s="282"/>
      <c r="AA1070" s="282"/>
    </row>
    <row r="1071" spans="1:27" outlineLevel="2" x14ac:dyDescent="0.25">
      <c r="A1071" s="276">
        <f t="shared" si="368"/>
        <v>156</v>
      </c>
      <c r="B1071" s="725" t="str">
        <f>$B$158</f>
        <v>School Nurse</v>
      </c>
      <c r="C1071" s="564" t="s">
        <v>232</v>
      </c>
      <c r="D1071" s="282"/>
      <c r="E1071" s="282"/>
      <c r="F1071" s="282"/>
      <c r="G1071" s="1290">
        <f t="shared" si="372"/>
        <v>0</v>
      </c>
      <c r="H1071" s="1290">
        <f t="shared" si="372"/>
        <v>0</v>
      </c>
      <c r="I1071" s="1290">
        <f t="shared" si="372"/>
        <v>0</v>
      </c>
      <c r="J1071" s="1290">
        <f t="shared" si="372"/>
        <v>0</v>
      </c>
      <c r="K1071" s="1290">
        <f t="shared" si="372"/>
        <v>0</v>
      </c>
      <c r="L1071" s="1290">
        <f t="shared" si="372"/>
        <v>0</v>
      </c>
      <c r="M1071" s="1290">
        <f t="shared" si="372"/>
        <v>0</v>
      </c>
      <c r="N1071" s="141"/>
      <c r="R1071" s="282"/>
      <c r="S1071" s="282"/>
      <c r="T1071" s="282"/>
      <c r="U1071" s="282"/>
      <c r="V1071" s="282"/>
      <c r="W1071" s="282"/>
      <c r="X1071" s="282"/>
      <c r="Y1071" s="282"/>
      <c r="Z1071" s="282"/>
      <c r="AA1071" s="282"/>
    </row>
    <row r="1072" spans="1:27" outlineLevel="2" x14ac:dyDescent="0.25">
      <c r="A1072" s="276">
        <f t="shared" si="368"/>
        <v>157</v>
      </c>
      <c r="B1072" s="725" t="str">
        <f>$B$159</f>
        <v>NSLP/Cafeteria Manager</v>
      </c>
      <c r="C1072" s="564" t="s">
        <v>232</v>
      </c>
      <c r="D1072" s="282"/>
      <c r="E1072" s="282"/>
      <c r="F1072" s="282"/>
      <c r="G1072" s="1290">
        <f t="shared" si="372"/>
        <v>0</v>
      </c>
      <c r="H1072" s="1290">
        <f t="shared" si="372"/>
        <v>0</v>
      </c>
      <c r="I1072" s="1290">
        <f t="shared" si="372"/>
        <v>0</v>
      </c>
      <c r="J1072" s="1290">
        <f t="shared" si="372"/>
        <v>0</v>
      </c>
      <c r="K1072" s="1290">
        <f t="shared" si="372"/>
        <v>0</v>
      </c>
      <c r="L1072" s="1290">
        <f t="shared" si="372"/>
        <v>0</v>
      </c>
      <c r="M1072" s="1290">
        <f t="shared" si="372"/>
        <v>0</v>
      </c>
      <c r="N1072" s="141"/>
      <c r="R1072" s="282"/>
      <c r="S1072" s="282"/>
      <c r="T1072" s="282"/>
      <c r="U1072" s="282"/>
      <c r="V1072" s="282"/>
      <c r="W1072" s="282"/>
      <c r="X1072" s="282"/>
      <c r="Y1072" s="282"/>
      <c r="Z1072" s="282"/>
      <c r="AA1072" s="282"/>
    </row>
    <row r="1073" spans="1:27" outlineLevel="2" x14ac:dyDescent="0.25">
      <c r="A1073" s="276">
        <f t="shared" si="368"/>
        <v>158</v>
      </c>
      <c r="B1073" s="725" t="str">
        <f>$B$160</f>
        <v>Campus Monitor/Custodian</v>
      </c>
      <c r="C1073" s="564" t="s">
        <v>232</v>
      </c>
      <c r="D1073" s="282"/>
      <c r="E1073" s="282"/>
      <c r="F1073" s="282"/>
      <c r="G1073" s="1290">
        <f t="shared" si="372"/>
        <v>0</v>
      </c>
      <c r="H1073" s="1290">
        <f t="shared" si="372"/>
        <v>0</v>
      </c>
      <c r="I1073" s="1290">
        <f t="shared" si="372"/>
        <v>0</v>
      </c>
      <c r="J1073" s="1290">
        <f t="shared" si="372"/>
        <v>0</v>
      </c>
      <c r="K1073" s="1290">
        <f t="shared" si="372"/>
        <v>0</v>
      </c>
      <c r="L1073" s="1290">
        <f t="shared" si="372"/>
        <v>0</v>
      </c>
      <c r="M1073" s="1290">
        <f t="shared" si="372"/>
        <v>0</v>
      </c>
      <c r="N1073" s="141"/>
      <c r="R1073" s="282"/>
      <c r="S1073" s="282"/>
      <c r="T1073" s="282"/>
      <c r="U1073" s="282"/>
      <c r="V1073" s="282"/>
      <c r="W1073" s="282"/>
      <c r="X1073" s="282"/>
      <c r="Y1073" s="282"/>
      <c r="Z1073" s="282"/>
      <c r="AA1073" s="282"/>
    </row>
    <row r="1074" spans="1:27" outlineLevel="2" x14ac:dyDescent="0.25">
      <c r="A1074" s="276">
        <f t="shared" si="368"/>
        <v>159</v>
      </c>
      <c r="B1074" s="725" t="str">
        <f>$B161</f>
        <v xml:space="preserve">Receptionist </v>
      </c>
      <c r="C1074" s="564" t="s">
        <v>232</v>
      </c>
      <c r="D1074" s="282"/>
      <c r="E1074" s="282"/>
      <c r="F1074" s="282"/>
      <c r="G1074" s="1290">
        <f t="shared" si="372"/>
        <v>0</v>
      </c>
      <c r="H1074" s="1290">
        <f t="shared" si="372"/>
        <v>0</v>
      </c>
      <c r="I1074" s="1290">
        <f t="shared" si="372"/>
        <v>0</v>
      </c>
      <c r="J1074" s="1290">
        <f t="shared" si="372"/>
        <v>0</v>
      </c>
      <c r="K1074" s="1290">
        <f t="shared" si="372"/>
        <v>0</v>
      </c>
      <c r="L1074" s="1290">
        <f t="shared" si="372"/>
        <v>0</v>
      </c>
      <c r="M1074" s="1290">
        <f t="shared" si="372"/>
        <v>0</v>
      </c>
      <c r="N1074" s="141"/>
      <c r="R1074" s="282"/>
      <c r="S1074" s="282"/>
      <c r="T1074" s="282"/>
      <c r="U1074" s="282"/>
      <c r="V1074" s="282"/>
      <c r="W1074" s="282"/>
      <c r="X1074" s="282"/>
      <c r="Y1074" s="282"/>
      <c r="Z1074" s="282"/>
      <c r="AA1074" s="282"/>
    </row>
    <row r="1075" spans="1:27" outlineLevel="2" x14ac:dyDescent="0.25">
      <c r="A1075" s="276">
        <f t="shared" si="368"/>
        <v>160</v>
      </c>
      <c r="B1075" s="725" t="str">
        <f>$B162</f>
        <v>Clinic Aide / FASA</v>
      </c>
      <c r="C1075" s="564"/>
      <c r="D1075" s="282"/>
      <c r="E1075" s="282"/>
      <c r="F1075" s="282"/>
      <c r="G1075" s="1290">
        <f t="shared" si="372"/>
        <v>0</v>
      </c>
      <c r="H1075" s="1290">
        <f t="shared" si="372"/>
        <v>0</v>
      </c>
      <c r="I1075" s="1290">
        <f t="shared" si="372"/>
        <v>0</v>
      </c>
      <c r="J1075" s="1290">
        <f t="shared" si="372"/>
        <v>0</v>
      </c>
      <c r="K1075" s="1290">
        <f t="shared" si="372"/>
        <v>0</v>
      </c>
      <c r="L1075" s="1290">
        <f t="shared" si="372"/>
        <v>0</v>
      </c>
      <c r="M1075" s="1290">
        <f t="shared" si="372"/>
        <v>0</v>
      </c>
      <c r="N1075" s="141"/>
      <c r="R1075" s="282"/>
      <c r="S1075" s="282"/>
      <c r="T1075" s="282"/>
      <c r="U1075" s="282"/>
      <c r="V1075" s="282"/>
      <c r="W1075" s="282"/>
      <c r="X1075" s="282"/>
      <c r="Y1075" s="282"/>
      <c r="Z1075" s="282"/>
      <c r="AA1075" s="282"/>
    </row>
    <row r="1076" spans="1:27" outlineLevel="2" x14ac:dyDescent="0.25">
      <c r="A1076" s="276">
        <f t="shared" si="368"/>
        <v>161</v>
      </c>
      <c r="B1076" s="725">
        <f>$B163</f>
        <v>0</v>
      </c>
      <c r="C1076" s="564"/>
      <c r="D1076" s="282"/>
      <c r="E1076" s="282"/>
      <c r="F1076" s="282"/>
      <c r="G1076" s="1290">
        <f t="shared" si="372"/>
        <v>0</v>
      </c>
      <c r="H1076" s="1290">
        <f t="shared" si="372"/>
        <v>0</v>
      </c>
      <c r="I1076" s="1290">
        <f t="shared" si="372"/>
        <v>0</v>
      </c>
      <c r="J1076" s="1290">
        <f t="shared" si="372"/>
        <v>0</v>
      </c>
      <c r="K1076" s="1290">
        <f t="shared" si="372"/>
        <v>0</v>
      </c>
      <c r="L1076" s="1290">
        <f t="shared" si="372"/>
        <v>0</v>
      </c>
      <c r="M1076" s="1290">
        <f t="shared" si="372"/>
        <v>0</v>
      </c>
      <c r="N1076" s="141"/>
      <c r="R1076" s="282"/>
      <c r="S1076" s="282"/>
      <c r="T1076" s="282"/>
      <c r="U1076" s="282"/>
      <c r="V1076" s="282"/>
      <c r="W1076" s="282"/>
      <c r="X1076" s="282"/>
      <c r="Y1076" s="282"/>
      <c r="Z1076" s="282"/>
      <c r="AA1076" s="282"/>
    </row>
    <row r="1077" spans="1:27" outlineLevel="2" x14ac:dyDescent="0.25">
      <c r="A1077" s="276">
        <f t="shared" si="368"/>
        <v>162</v>
      </c>
      <c r="B1077" s="545" t="str">
        <f>$B164</f>
        <v>Total Guidance Counselors/Other</v>
      </c>
      <c r="C1077" s="707"/>
      <c r="D1077" s="724"/>
      <c r="E1077" s="724"/>
      <c r="F1077" s="724"/>
      <c r="G1077" s="1296">
        <f t="shared" si="372"/>
        <v>0</v>
      </c>
      <c r="H1077" s="1296">
        <f t="shared" si="372"/>
        <v>0</v>
      </c>
      <c r="I1077" s="1296">
        <f t="shared" si="372"/>
        <v>0</v>
      </c>
      <c r="J1077" s="1296">
        <f t="shared" si="372"/>
        <v>0</v>
      </c>
      <c r="K1077" s="1296">
        <f t="shared" si="372"/>
        <v>0</v>
      </c>
      <c r="L1077" s="1296">
        <f t="shared" si="372"/>
        <v>0</v>
      </c>
      <c r="M1077" s="1296">
        <f t="shared" si="372"/>
        <v>0</v>
      </c>
      <c r="N1077" s="141"/>
      <c r="R1077" s="282"/>
      <c r="S1077" s="282"/>
      <c r="T1077" s="282"/>
      <c r="U1077" s="282"/>
      <c r="V1077" s="282"/>
      <c r="W1077" s="282"/>
      <c r="X1077" s="282"/>
      <c r="Y1077" s="282"/>
      <c r="Z1077" s="282"/>
      <c r="AA1077" s="282"/>
    </row>
    <row r="1078" spans="1:27" outlineLevel="2" x14ac:dyDescent="0.25">
      <c r="A1078" s="276">
        <f t="shared" si="368"/>
        <v>163</v>
      </c>
      <c r="B1078" s="282"/>
      <c r="C1078" s="564"/>
      <c r="D1078" s="282"/>
      <c r="G1078" s="168"/>
      <c r="H1078" s="1290"/>
      <c r="I1078" s="1290"/>
      <c r="J1078" s="1290"/>
      <c r="K1078" s="1290"/>
      <c r="L1078" s="1290"/>
      <c r="M1078" s="1290"/>
      <c r="N1078" s="141"/>
      <c r="R1078" s="282"/>
      <c r="S1078" s="282"/>
      <c r="T1078" s="282"/>
      <c r="U1078" s="282"/>
      <c r="V1078" s="282"/>
      <c r="W1078" s="282"/>
      <c r="X1078" s="282"/>
      <c r="Y1078" s="282"/>
      <c r="Z1078" s="282"/>
      <c r="AA1078" s="282"/>
    </row>
    <row r="1079" spans="1:27" outlineLevel="2" x14ac:dyDescent="0.25">
      <c r="A1079" s="276">
        <f t="shared" si="368"/>
        <v>164</v>
      </c>
      <c r="B1079" s="282" t="str">
        <f>$B166</f>
        <v xml:space="preserve">Total Special Education/ELL Teachers/Guidance Counselors </v>
      </c>
      <c r="C1079" s="564"/>
      <c r="D1079" s="282"/>
      <c r="G1079" s="1290">
        <f t="shared" ref="G1079:M1079" si="373">G163*$C$93</f>
        <v>0</v>
      </c>
      <c r="H1079" s="1290">
        <f t="shared" si="373"/>
        <v>0</v>
      </c>
      <c r="I1079" s="1290">
        <f t="shared" si="373"/>
        <v>0</v>
      </c>
      <c r="J1079" s="1290">
        <f t="shared" si="373"/>
        <v>0</v>
      </c>
      <c r="K1079" s="1290">
        <f t="shared" si="373"/>
        <v>0</v>
      </c>
      <c r="L1079" s="1290">
        <f t="shared" si="373"/>
        <v>0</v>
      </c>
      <c r="M1079" s="1290">
        <f t="shared" si="373"/>
        <v>0</v>
      </c>
      <c r="N1079" s="141"/>
      <c r="R1079" s="282"/>
      <c r="S1079" s="282"/>
      <c r="T1079" s="282"/>
      <c r="U1079" s="282"/>
      <c r="V1079" s="282"/>
      <c r="W1079" s="282"/>
      <c r="X1079" s="282"/>
      <c r="Y1079" s="282"/>
      <c r="Z1079" s="282"/>
      <c r="AA1079" s="282"/>
    </row>
    <row r="1080" spans="1:27" outlineLevel="2" x14ac:dyDescent="0.25">
      <c r="A1080" s="276">
        <f t="shared" si="368"/>
        <v>165</v>
      </c>
      <c r="B1080" s="282"/>
      <c r="C1080" s="564"/>
      <c r="D1080" s="282"/>
      <c r="G1080" s="1290"/>
      <c r="H1080" s="1290"/>
      <c r="I1080" s="1290"/>
      <c r="J1080" s="1290"/>
      <c r="K1080" s="1290"/>
      <c r="L1080" s="1290"/>
      <c r="M1080" s="1290"/>
      <c r="N1080" s="141"/>
      <c r="R1080" s="282"/>
      <c r="S1080" s="282"/>
      <c r="T1080" s="282"/>
      <c r="U1080" s="282"/>
      <c r="V1080" s="282"/>
      <c r="W1080" s="282"/>
      <c r="X1080" s="282"/>
      <c r="Y1080" s="282"/>
      <c r="Z1080" s="282"/>
      <c r="AA1080" s="282"/>
    </row>
    <row r="1081" spans="1:27" ht="15.75" outlineLevel="2" thickBot="1" x14ac:dyDescent="0.3">
      <c r="A1081" s="276">
        <f t="shared" si="368"/>
        <v>166</v>
      </c>
      <c r="B1081" s="726" t="str">
        <f>$B$166</f>
        <v xml:space="preserve">Total Special Education/ELL Teachers/Guidance Counselors </v>
      </c>
      <c r="C1081" s="727"/>
      <c r="D1081" s="726"/>
      <c r="E1081" s="726"/>
      <c r="F1081" s="726"/>
      <c r="G1081" s="1297">
        <f>SUM(G1046:G1080)</f>
        <v>0</v>
      </c>
      <c r="H1081" s="1297">
        <f t="shared" ref="H1081:M1081" si="374">SUM(H1046:H1080)</f>
        <v>0</v>
      </c>
      <c r="I1081" s="1297">
        <f t="shared" si="374"/>
        <v>0</v>
      </c>
      <c r="J1081" s="1297">
        <f t="shared" si="374"/>
        <v>0</v>
      </c>
      <c r="K1081" s="1297">
        <f t="shared" si="374"/>
        <v>0</v>
      </c>
      <c r="L1081" s="1297">
        <f t="shared" si="374"/>
        <v>0</v>
      </c>
      <c r="M1081" s="1297">
        <f t="shared" si="374"/>
        <v>0</v>
      </c>
      <c r="N1081" s="141"/>
      <c r="R1081" s="282"/>
      <c r="S1081" s="282"/>
      <c r="T1081" s="282"/>
      <c r="U1081" s="282"/>
      <c r="V1081" s="282"/>
      <c r="W1081" s="282"/>
      <c r="X1081" s="282"/>
      <c r="Y1081" s="282"/>
      <c r="Z1081" s="282"/>
      <c r="AA1081" s="282"/>
    </row>
    <row r="1082" spans="1:27" ht="15.75" outlineLevel="2" thickTop="1" x14ac:dyDescent="0.25">
      <c r="A1082" s="276">
        <f t="shared" si="368"/>
        <v>167</v>
      </c>
      <c r="B1082" s="711"/>
      <c r="C1082" s="711"/>
      <c r="D1082" s="711"/>
      <c r="E1082" s="711"/>
      <c r="F1082" s="711"/>
      <c r="G1082" s="1298"/>
      <c r="H1082" s="1298"/>
      <c r="I1082" s="1298"/>
      <c r="J1082" s="1298"/>
      <c r="K1082" s="1298"/>
      <c r="L1082" s="1298"/>
      <c r="M1082" s="1298"/>
      <c r="N1082" s="141"/>
      <c r="R1082" s="282"/>
      <c r="S1082" s="282"/>
      <c r="T1082" s="282"/>
      <c r="U1082" s="282"/>
      <c r="V1082" s="282"/>
      <c r="W1082" s="282"/>
      <c r="X1082" s="282"/>
      <c r="Y1082" s="282"/>
      <c r="Z1082" s="282"/>
      <c r="AA1082" s="282"/>
    </row>
    <row r="1083" spans="1:27" outlineLevel="2" x14ac:dyDescent="0.25">
      <c r="A1083" s="276">
        <f t="shared" ref="A1083:A1114" si="375">ROW(A171)</f>
        <v>171</v>
      </c>
      <c r="B1083" s="282"/>
      <c r="C1083" s="564"/>
      <c r="D1083" s="282"/>
      <c r="G1083" s="1290"/>
      <c r="H1083" s="1290"/>
      <c r="I1083" s="1290"/>
      <c r="J1083" s="1290"/>
      <c r="K1083" s="1290"/>
      <c r="L1083" s="1290"/>
      <c r="M1083" s="1290"/>
      <c r="N1083" s="141"/>
      <c r="R1083" s="282"/>
      <c r="S1083" s="282"/>
      <c r="T1083" s="282"/>
      <c r="U1083" s="282"/>
      <c r="V1083" s="282"/>
      <c r="W1083" s="282"/>
      <c r="X1083" s="282"/>
      <c r="Y1083" s="282"/>
      <c r="Z1083" s="282"/>
      <c r="AA1083" s="282"/>
    </row>
    <row r="1084" spans="1:27" s="282" customFormat="1" outlineLevel="2" x14ac:dyDescent="0.25">
      <c r="A1084" s="276">
        <f t="shared" si="375"/>
        <v>172</v>
      </c>
      <c r="B1084" s="725" t="str">
        <f>$B172</f>
        <v>Kindergarten Teacher</v>
      </c>
      <c r="C1084" s="564" t="s">
        <v>232</v>
      </c>
      <c r="D1084" s="421"/>
      <c r="G1084" s="1290">
        <f t="shared" ref="G1084:M1086" si="376">G172*$C$93</f>
        <v>0</v>
      </c>
      <c r="H1084" s="1290">
        <f t="shared" si="376"/>
        <v>0</v>
      </c>
      <c r="I1084" s="1290">
        <f t="shared" si="376"/>
        <v>0</v>
      </c>
      <c r="J1084" s="1290">
        <f t="shared" si="376"/>
        <v>0</v>
      </c>
      <c r="K1084" s="1290">
        <f t="shared" si="376"/>
        <v>0</v>
      </c>
      <c r="L1084" s="1290">
        <f t="shared" si="376"/>
        <v>0</v>
      </c>
      <c r="M1084" s="1290">
        <f t="shared" si="376"/>
        <v>0</v>
      </c>
      <c r="N1084" s="168"/>
    </row>
    <row r="1085" spans="1:27" s="282" customFormat="1" outlineLevel="2" x14ac:dyDescent="0.25">
      <c r="A1085" s="276">
        <f t="shared" si="375"/>
        <v>173</v>
      </c>
      <c r="B1085" s="725" t="str">
        <f>$B173</f>
        <v>Kindergarten Teacher</v>
      </c>
      <c r="C1085" s="564" t="s">
        <v>232</v>
      </c>
      <c r="D1085" s="421"/>
      <c r="G1085" s="1290">
        <f t="shared" si="376"/>
        <v>0</v>
      </c>
      <c r="H1085" s="1290">
        <f t="shared" si="376"/>
        <v>0</v>
      </c>
      <c r="I1085" s="1290">
        <f t="shared" si="376"/>
        <v>0</v>
      </c>
      <c r="J1085" s="1290">
        <f t="shared" si="376"/>
        <v>0</v>
      </c>
      <c r="K1085" s="1290">
        <f t="shared" si="376"/>
        <v>0</v>
      </c>
      <c r="L1085" s="1290">
        <f t="shared" si="376"/>
        <v>0</v>
      </c>
      <c r="M1085" s="1290">
        <f t="shared" si="376"/>
        <v>0</v>
      </c>
      <c r="N1085" s="168"/>
    </row>
    <row r="1086" spans="1:27" s="282" customFormat="1" outlineLevel="2" x14ac:dyDescent="0.25">
      <c r="A1086" s="276">
        <f t="shared" si="375"/>
        <v>174</v>
      </c>
      <c r="B1086" s="725" t="str">
        <f>$B174</f>
        <v>Kindergarten Teacher</v>
      </c>
      <c r="C1086" s="564" t="s">
        <v>232</v>
      </c>
      <c r="D1086" s="421"/>
      <c r="G1086" s="1290">
        <f t="shared" si="376"/>
        <v>0</v>
      </c>
      <c r="H1086" s="1290">
        <f t="shared" si="376"/>
        <v>0</v>
      </c>
      <c r="I1086" s="1290">
        <f t="shared" si="376"/>
        <v>0</v>
      </c>
      <c r="J1086" s="1290">
        <f t="shared" si="376"/>
        <v>0</v>
      </c>
      <c r="K1086" s="1290">
        <f t="shared" si="376"/>
        <v>0</v>
      </c>
      <c r="L1086" s="1290">
        <f t="shared" si="376"/>
        <v>0</v>
      </c>
      <c r="M1086" s="1290">
        <f t="shared" si="376"/>
        <v>0</v>
      </c>
      <c r="N1086" s="168"/>
    </row>
    <row r="1087" spans="1:27" s="282" customFormat="1" outlineLevel="2" x14ac:dyDescent="0.25">
      <c r="A1087" s="276">
        <f t="shared" si="375"/>
        <v>175</v>
      </c>
      <c r="B1087" s="725"/>
      <c r="C1087" s="564"/>
      <c r="D1087" s="421"/>
      <c r="G1087" s="1290"/>
      <c r="H1087" s="1290"/>
      <c r="I1087" s="1290"/>
      <c r="J1087" s="1290"/>
      <c r="K1087" s="1290"/>
      <c r="L1087" s="1290"/>
      <c r="M1087" s="1290"/>
      <c r="N1087" s="168"/>
    </row>
    <row r="1088" spans="1:27" s="282" customFormat="1" outlineLevel="2" x14ac:dyDescent="0.25">
      <c r="A1088" s="276">
        <f t="shared" si="375"/>
        <v>176</v>
      </c>
      <c r="B1088" s="725" t="str">
        <f>$B176</f>
        <v>Kindergarten Teacher</v>
      </c>
      <c r="C1088" s="564" t="s">
        <v>232</v>
      </c>
      <c r="D1088" s="421"/>
      <c r="G1088" s="1290">
        <f t="shared" ref="G1088:M1092" si="377">G176*$C$93</f>
        <v>0</v>
      </c>
      <c r="H1088" s="1290">
        <f t="shared" si="377"/>
        <v>0</v>
      </c>
      <c r="I1088" s="1290">
        <f t="shared" si="377"/>
        <v>0</v>
      </c>
      <c r="J1088" s="1290">
        <f t="shared" si="377"/>
        <v>0</v>
      </c>
      <c r="K1088" s="1290">
        <f t="shared" si="377"/>
        <v>0</v>
      </c>
      <c r="L1088" s="1290">
        <f t="shared" si="377"/>
        <v>0</v>
      </c>
      <c r="M1088" s="1290">
        <f t="shared" si="377"/>
        <v>0</v>
      </c>
      <c r="N1088" s="168"/>
    </row>
    <row r="1089" spans="1:27" s="282" customFormat="1" outlineLevel="2" x14ac:dyDescent="0.25">
      <c r="A1089" s="276">
        <f t="shared" si="375"/>
        <v>177</v>
      </c>
      <c r="B1089" s="725" t="str">
        <f>$B177</f>
        <v>1st Grade Teacher</v>
      </c>
      <c r="C1089" s="564" t="s">
        <v>232</v>
      </c>
      <c r="D1089" s="421"/>
      <c r="G1089" s="1290">
        <f t="shared" si="377"/>
        <v>0</v>
      </c>
      <c r="H1089" s="1290">
        <f t="shared" si="377"/>
        <v>0</v>
      </c>
      <c r="I1089" s="1290">
        <f t="shared" si="377"/>
        <v>0</v>
      </c>
      <c r="J1089" s="1290">
        <f t="shared" si="377"/>
        <v>0</v>
      </c>
      <c r="K1089" s="1290">
        <f t="shared" si="377"/>
        <v>0</v>
      </c>
      <c r="L1089" s="1290">
        <f t="shared" si="377"/>
        <v>0</v>
      </c>
      <c r="M1089" s="1290">
        <f t="shared" si="377"/>
        <v>0</v>
      </c>
      <c r="N1089" s="168"/>
    </row>
    <row r="1090" spans="1:27" s="282" customFormat="1" outlineLevel="2" x14ac:dyDescent="0.25">
      <c r="A1090" s="276">
        <f t="shared" si="375"/>
        <v>178</v>
      </c>
      <c r="B1090" s="725" t="str">
        <f>$B178</f>
        <v>1st Grade Teacher</v>
      </c>
      <c r="C1090" s="564" t="s">
        <v>232</v>
      </c>
      <c r="D1090" s="421"/>
      <c r="G1090" s="1290">
        <f t="shared" si="377"/>
        <v>0</v>
      </c>
      <c r="H1090" s="1290">
        <f t="shared" si="377"/>
        <v>0</v>
      </c>
      <c r="I1090" s="1290">
        <f t="shared" si="377"/>
        <v>0</v>
      </c>
      <c r="J1090" s="1290">
        <f t="shared" si="377"/>
        <v>0</v>
      </c>
      <c r="K1090" s="1290">
        <f t="shared" si="377"/>
        <v>0</v>
      </c>
      <c r="L1090" s="1290">
        <f t="shared" si="377"/>
        <v>0</v>
      </c>
      <c r="M1090" s="1290">
        <f t="shared" si="377"/>
        <v>0</v>
      </c>
      <c r="N1090" s="168"/>
    </row>
    <row r="1091" spans="1:27" s="282" customFormat="1" outlineLevel="2" x14ac:dyDescent="0.25">
      <c r="A1091" s="276">
        <f t="shared" si="375"/>
        <v>179</v>
      </c>
      <c r="B1091" s="725" t="str">
        <f>$B179</f>
        <v>1st Grade Teacher</v>
      </c>
      <c r="C1091" s="564" t="s">
        <v>232</v>
      </c>
      <c r="D1091" s="421"/>
      <c r="G1091" s="1290">
        <f t="shared" si="377"/>
        <v>0</v>
      </c>
      <c r="H1091" s="1290">
        <f t="shared" si="377"/>
        <v>0</v>
      </c>
      <c r="I1091" s="1290">
        <f t="shared" si="377"/>
        <v>0</v>
      </c>
      <c r="J1091" s="1290">
        <f t="shared" si="377"/>
        <v>0</v>
      </c>
      <c r="K1091" s="1290">
        <f t="shared" si="377"/>
        <v>0</v>
      </c>
      <c r="L1091" s="1290">
        <f t="shared" si="377"/>
        <v>0</v>
      </c>
      <c r="M1091" s="1290">
        <f t="shared" si="377"/>
        <v>0</v>
      </c>
      <c r="N1091" s="168"/>
    </row>
    <row r="1092" spans="1:27" outlineLevel="2" x14ac:dyDescent="0.25">
      <c r="A1092" s="276">
        <f t="shared" si="375"/>
        <v>180</v>
      </c>
      <c r="B1092" s="725" t="str">
        <f>$B180</f>
        <v>1st Grade Teacher</v>
      </c>
      <c r="C1092" s="564" t="s">
        <v>232</v>
      </c>
      <c r="D1092" s="421"/>
      <c r="G1092" s="1290">
        <f t="shared" si="377"/>
        <v>0</v>
      </c>
      <c r="H1092" s="1290">
        <f t="shared" si="377"/>
        <v>0</v>
      </c>
      <c r="I1092" s="1290">
        <f t="shared" si="377"/>
        <v>0</v>
      </c>
      <c r="J1092" s="1290">
        <f t="shared" si="377"/>
        <v>0</v>
      </c>
      <c r="K1092" s="1290">
        <f t="shared" si="377"/>
        <v>0</v>
      </c>
      <c r="L1092" s="1290">
        <f t="shared" si="377"/>
        <v>0</v>
      </c>
      <c r="M1092" s="1290">
        <f t="shared" si="377"/>
        <v>0</v>
      </c>
      <c r="N1092" s="141"/>
      <c r="R1092" s="282"/>
      <c r="S1092" s="282"/>
      <c r="T1092" s="282"/>
      <c r="U1092" s="282"/>
      <c r="V1092" s="282"/>
      <c r="W1092" s="282"/>
      <c r="X1092" s="282"/>
      <c r="Y1092" s="282"/>
      <c r="Z1092" s="282"/>
      <c r="AA1092" s="282"/>
    </row>
    <row r="1093" spans="1:27" outlineLevel="2" x14ac:dyDescent="0.25">
      <c r="A1093" s="276">
        <f t="shared" si="375"/>
        <v>181</v>
      </c>
      <c r="B1093" s="725"/>
      <c r="C1093" s="564"/>
      <c r="D1093" s="282"/>
      <c r="G1093" s="1290"/>
      <c r="H1093" s="1290"/>
      <c r="I1093" s="1290"/>
      <c r="J1093" s="1290"/>
      <c r="K1093" s="1290"/>
      <c r="L1093" s="1290"/>
      <c r="M1093" s="1290"/>
      <c r="N1093" s="141"/>
      <c r="R1093" s="282"/>
      <c r="S1093" s="282"/>
      <c r="T1093" s="282"/>
      <c r="U1093" s="282"/>
      <c r="V1093" s="282"/>
      <c r="W1093" s="282"/>
      <c r="X1093" s="282"/>
      <c r="Y1093" s="282"/>
      <c r="Z1093" s="282"/>
      <c r="AA1093" s="282"/>
    </row>
    <row r="1094" spans="1:27" s="282" customFormat="1" outlineLevel="2" x14ac:dyDescent="0.25">
      <c r="A1094" s="276">
        <f t="shared" si="375"/>
        <v>182</v>
      </c>
      <c r="B1094" s="725" t="str">
        <f>$B182</f>
        <v>2nd Grade Teacher</v>
      </c>
      <c r="C1094" s="564" t="s">
        <v>232</v>
      </c>
      <c r="D1094" s="421"/>
      <c r="G1094" s="1290">
        <f t="shared" ref="G1094:M1098" si="378">G182*$C$93</f>
        <v>0</v>
      </c>
      <c r="H1094" s="1290">
        <f t="shared" si="378"/>
        <v>0</v>
      </c>
      <c r="I1094" s="1290">
        <f t="shared" si="378"/>
        <v>0</v>
      </c>
      <c r="J1094" s="1290">
        <f t="shared" si="378"/>
        <v>0</v>
      </c>
      <c r="K1094" s="1290">
        <f t="shared" si="378"/>
        <v>0</v>
      </c>
      <c r="L1094" s="1290">
        <f t="shared" si="378"/>
        <v>0</v>
      </c>
      <c r="M1094" s="1290">
        <f t="shared" si="378"/>
        <v>0</v>
      </c>
      <c r="N1094" s="168"/>
    </row>
    <row r="1095" spans="1:27" s="282" customFormat="1" outlineLevel="2" x14ac:dyDescent="0.25">
      <c r="A1095" s="276">
        <f t="shared" si="375"/>
        <v>183</v>
      </c>
      <c r="B1095" s="725" t="str">
        <f>$B183</f>
        <v>2nd Grade Teacher</v>
      </c>
      <c r="C1095" s="564" t="s">
        <v>232</v>
      </c>
      <c r="D1095" s="421"/>
      <c r="G1095" s="1290">
        <f t="shared" si="378"/>
        <v>0</v>
      </c>
      <c r="H1095" s="1290">
        <f t="shared" si="378"/>
        <v>0</v>
      </c>
      <c r="I1095" s="1290">
        <f t="shared" si="378"/>
        <v>0</v>
      </c>
      <c r="J1095" s="1290">
        <f t="shared" si="378"/>
        <v>0</v>
      </c>
      <c r="K1095" s="1290">
        <f t="shared" si="378"/>
        <v>0</v>
      </c>
      <c r="L1095" s="1290">
        <f t="shared" si="378"/>
        <v>0</v>
      </c>
      <c r="M1095" s="1290">
        <f t="shared" si="378"/>
        <v>0</v>
      </c>
      <c r="N1095" s="168"/>
    </row>
    <row r="1096" spans="1:27" s="282" customFormat="1" outlineLevel="2" x14ac:dyDescent="0.25">
      <c r="A1096" s="276">
        <f t="shared" si="375"/>
        <v>184</v>
      </c>
      <c r="B1096" s="725" t="str">
        <f>$B184</f>
        <v>2nd Grade Teacher</v>
      </c>
      <c r="C1096" s="564" t="s">
        <v>232</v>
      </c>
      <c r="D1096" s="421"/>
      <c r="G1096" s="1290">
        <f t="shared" si="378"/>
        <v>0</v>
      </c>
      <c r="H1096" s="1290">
        <f t="shared" si="378"/>
        <v>0</v>
      </c>
      <c r="I1096" s="1290">
        <f t="shared" si="378"/>
        <v>0</v>
      </c>
      <c r="J1096" s="1290">
        <f t="shared" si="378"/>
        <v>0</v>
      </c>
      <c r="K1096" s="1290">
        <f t="shared" si="378"/>
        <v>0</v>
      </c>
      <c r="L1096" s="1290">
        <f t="shared" si="378"/>
        <v>0</v>
      </c>
      <c r="M1096" s="1290">
        <f t="shared" si="378"/>
        <v>0</v>
      </c>
      <c r="N1096" s="168"/>
    </row>
    <row r="1097" spans="1:27" s="282" customFormat="1" outlineLevel="2" x14ac:dyDescent="0.25">
      <c r="A1097" s="276">
        <f t="shared" si="375"/>
        <v>185</v>
      </c>
      <c r="B1097" s="725" t="str">
        <f>$B185</f>
        <v>2nd Grade Teacher</v>
      </c>
      <c r="C1097" s="564" t="s">
        <v>232</v>
      </c>
      <c r="D1097" s="421"/>
      <c r="G1097" s="1290">
        <f t="shared" si="378"/>
        <v>0</v>
      </c>
      <c r="H1097" s="1290">
        <f t="shared" si="378"/>
        <v>0</v>
      </c>
      <c r="I1097" s="1290">
        <f t="shared" si="378"/>
        <v>0</v>
      </c>
      <c r="J1097" s="1290">
        <f t="shared" si="378"/>
        <v>0</v>
      </c>
      <c r="K1097" s="1290">
        <f t="shared" si="378"/>
        <v>0</v>
      </c>
      <c r="L1097" s="1290">
        <f t="shared" si="378"/>
        <v>0</v>
      </c>
      <c r="M1097" s="1290">
        <f t="shared" si="378"/>
        <v>0</v>
      </c>
      <c r="N1097" s="168"/>
    </row>
    <row r="1098" spans="1:27" s="282" customFormat="1" outlineLevel="2" x14ac:dyDescent="0.25">
      <c r="A1098" s="276">
        <f t="shared" si="375"/>
        <v>186</v>
      </c>
      <c r="B1098" s="725" t="str">
        <f>$B186</f>
        <v>3rd Grade Teacher</v>
      </c>
      <c r="C1098" s="564" t="s">
        <v>232</v>
      </c>
      <c r="D1098" s="421"/>
      <c r="G1098" s="1290">
        <f t="shared" si="378"/>
        <v>0</v>
      </c>
      <c r="H1098" s="1290">
        <f t="shared" si="378"/>
        <v>0</v>
      </c>
      <c r="I1098" s="1290">
        <f t="shared" si="378"/>
        <v>0</v>
      </c>
      <c r="J1098" s="1290">
        <f t="shared" si="378"/>
        <v>0</v>
      </c>
      <c r="K1098" s="1290">
        <f t="shared" si="378"/>
        <v>0</v>
      </c>
      <c r="L1098" s="1290">
        <f t="shared" si="378"/>
        <v>0</v>
      </c>
      <c r="M1098" s="1290">
        <f t="shared" si="378"/>
        <v>0</v>
      </c>
      <c r="N1098" s="168"/>
    </row>
    <row r="1099" spans="1:27" s="282" customFormat="1" outlineLevel="2" x14ac:dyDescent="0.25">
      <c r="A1099" s="276">
        <f t="shared" si="375"/>
        <v>187</v>
      </c>
      <c r="B1099" s="725"/>
      <c r="C1099" s="564"/>
      <c r="D1099" s="421"/>
      <c r="G1099" s="1290"/>
      <c r="H1099" s="1290"/>
      <c r="I1099" s="1290"/>
      <c r="J1099" s="1290"/>
      <c r="K1099" s="1290"/>
      <c r="L1099" s="1290"/>
      <c r="M1099" s="1290"/>
      <c r="N1099" s="168"/>
    </row>
    <row r="1100" spans="1:27" s="282" customFormat="1" outlineLevel="2" x14ac:dyDescent="0.25">
      <c r="A1100" s="276">
        <f t="shared" si="375"/>
        <v>188</v>
      </c>
      <c r="B1100" s="725" t="str">
        <f>$B188</f>
        <v>3rd Grade Teacher</v>
      </c>
      <c r="C1100" s="564" t="s">
        <v>232</v>
      </c>
      <c r="D1100" s="421"/>
      <c r="G1100" s="1290">
        <f t="shared" ref="G1100:M1104" si="379">G188*$C$93</f>
        <v>0</v>
      </c>
      <c r="H1100" s="1290">
        <f t="shared" si="379"/>
        <v>0</v>
      </c>
      <c r="I1100" s="1290">
        <f t="shared" si="379"/>
        <v>0</v>
      </c>
      <c r="J1100" s="1290">
        <f t="shared" si="379"/>
        <v>0</v>
      </c>
      <c r="K1100" s="1290">
        <f t="shared" si="379"/>
        <v>0</v>
      </c>
      <c r="L1100" s="1290">
        <f t="shared" si="379"/>
        <v>0</v>
      </c>
      <c r="M1100" s="1290">
        <f t="shared" si="379"/>
        <v>0</v>
      </c>
      <c r="N1100" s="168"/>
    </row>
    <row r="1101" spans="1:27" s="282" customFormat="1" outlineLevel="2" x14ac:dyDescent="0.25">
      <c r="A1101" s="276">
        <f t="shared" si="375"/>
        <v>189</v>
      </c>
      <c r="B1101" s="725" t="str">
        <f>$B189</f>
        <v>3rd Grade Teacher</v>
      </c>
      <c r="C1101" s="564" t="s">
        <v>232</v>
      </c>
      <c r="D1101" s="421"/>
      <c r="G1101" s="1290">
        <f t="shared" si="379"/>
        <v>0</v>
      </c>
      <c r="H1101" s="1290">
        <f t="shared" si="379"/>
        <v>0</v>
      </c>
      <c r="I1101" s="1290">
        <f t="shared" si="379"/>
        <v>0</v>
      </c>
      <c r="J1101" s="1290">
        <f t="shared" si="379"/>
        <v>0</v>
      </c>
      <c r="K1101" s="1290">
        <f t="shared" si="379"/>
        <v>0</v>
      </c>
      <c r="L1101" s="1290">
        <f t="shared" si="379"/>
        <v>0</v>
      </c>
      <c r="M1101" s="1290">
        <f t="shared" si="379"/>
        <v>0</v>
      </c>
      <c r="N1101" s="168"/>
    </row>
    <row r="1102" spans="1:27" s="282" customFormat="1" outlineLevel="2" x14ac:dyDescent="0.25">
      <c r="A1102" s="276">
        <f t="shared" si="375"/>
        <v>190</v>
      </c>
      <c r="B1102" s="725" t="str">
        <f>$B190</f>
        <v>3rd Grade Teacher</v>
      </c>
      <c r="C1102" s="564" t="s">
        <v>232</v>
      </c>
      <c r="D1102" s="421"/>
      <c r="G1102" s="1290">
        <f t="shared" si="379"/>
        <v>0</v>
      </c>
      <c r="H1102" s="1290">
        <f t="shared" si="379"/>
        <v>0</v>
      </c>
      <c r="I1102" s="1290">
        <f t="shared" si="379"/>
        <v>0</v>
      </c>
      <c r="J1102" s="1290">
        <f t="shared" si="379"/>
        <v>0</v>
      </c>
      <c r="K1102" s="1290">
        <f t="shared" si="379"/>
        <v>0</v>
      </c>
      <c r="L1102" s="1290">
        <f t="shared" si="379"/>
        <v>0</v>
      </c>
      <c r="M1102" s="1290">
        <f t="shared" si="379"/>
        <v>0</v>
      </c>
      <c r="N1102" s="168"/>
    </row>
    <row r="1103" spans="1:27" s="282" customFormat="1" outlineLevel="2" x14ac:dyDescent="0.25">
      <c r="A1103" s="276">
        <f t="shared" si="375"/>
        <v>191</v>
      </c>
      <c r="B1103" s="725" t="str">
        <f>$B191</f>
        <v>4th Grade Teacher</v>
      </c>
      <c r="C1103" s="564" t="s">
        <v>232</v>
      </c>
      <c r="D1103" s="421"/>
      <c r="G1103" s="1290">
        <f t="shared" si="379"/>
        <v>0</v>
      </c>
      <c r="H1103" s="1290">
        <f t="shared" si="379"/>
        <v>0</v>
      </c>
      <c r="I1103" s="1290">
        <f t="shared" si="379"/>
        <v>0</v>
      </c>
      <c r="J1103" s="1290">
        <f t="shared" si="379"/>
        <v>0</v>
      </c>
      <c r="K1103" s="1290">
        <f t="shared" si="379"/>
        <v>0</v>
      </c>
      <c r="L1103" s="1290">
        <f t="shared" si="379"/>
        <v>0</v>
      </c>
      <c r="M1103" s="1290">
        <f t="shared" si="379"/>
        <v>0</v>
      </c>
      <c r="N1103" s="168"/>
    </row>
    <row r="1104" spans="1:27" outlineLevel="2" x14ac:dyDescent="0.25">
      <c r="A1104" s="276">
        <f t="shared" si="375"/>
        <v>192</v>
      </c>
      <c r="B1104" s="725" t="str">
        <f>$B192</f>
        <v>4th Grade Teacher</v>
      </c>
      <c r="C1104" s="564" t="s">
        <v>232</v>
      </c>
      <c r="D1104" s="421"/>
      <c r="G1104" s="1290">
        <f t="shared" si="379"/>
        <v>0</v>
      </c>
      <c r="H1104" s="1290">
        <f t="shared" si="379"/>
        <v>0</v>
      </c>
      <c r="I1104" s="1290">
        <f t="shared" si="379"/>
        <v>0</v>
      </c>
      <c r="J1104" s="1290">
        <f t="shared" si="379"/>
        <v>0</v>
      </c>
      <c r="K1104" s="1290">
        <f t="shared" si="379"/>
        <v>0</v>
      </c>
      <c r="L1104" s="1290">
        <f t="shared" si="379"/>
        <v>0</v>
      </c>
      <c r="M1104" s="1290">
        <f t="shared" si="379"/>
        <v>0</v>
      </c>
      <c r="N1104" s="141"/>
      <c r="R1104" s="282"/>
      <c r="S1104" s="282"/>
      <c r="T1104" s="282"/>
      <c r="U1104" s="282"/>
      <c r="V1104" s="282"/>
      <c r="W1104" s="282"/>
      <c r="X1104" s="282"/>
      <c r="Y1104" s="282"/>
      <c r="Z1104" s="282"/>
      <c r="AA1104" s="282"/>
    </row>
    <row r="1105" spans="1:27" outlineLevel="2" x14ac:dyDescent="0.25">
      <c r="A1105" s="276">
        <f t="shared" si="375"/>
        <v>193</v>
      </c>
      <c r="B1105" s="725"/>
      <c r="C1105" s="564"/>
      <c r="D1105" s="282"/>
      <c r="G1105" s="1290"/>
      <c r="H1105" s="1290"/>
      <c r="I1105" s="1290"/>
      <c r="J1105" s="1290"/>
      <c r="K1105" s="1290"/>
      <c r="L1105" s="1290"/>
      <c r="M1105" s="1290"/>
      <c r="N1105" s="141"/>
      <c r="R1105" s="282"/>
      <c r="S1105" s="282"/>
      <c r="T1105" s="282"/>
      <c r="U1105" s="282"/>
      <c r="V1105" s="282"/>
      <c r="W1105" s="282"/>
      <c r="X1105" s="282"/>
      <c r="Y1105" s="282"/>
      <c r="Z1105" s="282"/>
      <c r="AA1105" s="282"/>
    </row>
    <row r="1106" spans="1:27" s="282" customFormat="1" outlineLevel="2" x14ac:dyDescent="0.25">
      <c r="A1106" s="276">
        <f t="shared" si="375"/>
        <v>194</v>
      </c>
      <c r="B1106" s="725" t="str">
        <f>$B194</f>
        <v>4th Grade Teacher</v>
      </c>
      <c r="C1106" s="564" t="s">
        <v>232</v>
      </c>
      <c r="D1106" s="421"/>
      <c r="G1106" s="1290">
        <f t="shared" ref="G1106:M1110" si="380">G194*$C$93</f>
        <v>0</v>
      </c>
      <c r="H1106" s="1290">
        <f t="shared" si="380"/>
        <v>0</v>
      </c>
      <c r="I1106" s="1290">
        <f t="shared" si="380"/>
        <v>0</v>
      </c>
      <c r="J1106" s="1290">
        <f t="shared" si="380"/>
        <v>0</v>
      </c>
      <c r="K1106" s="1290">
        <f t="shared" si="380"/>
        <v>0</v>
      </c>
      <c r="L1106" s="1290">
        <f t="shared" si="380"/>
        <v>0</v>
      </c>
      <c r="M1106" s="1290">
        <f t="shared" si="380"/>
        <v>0</v>
      </c>
      <c r="N1106" s="168"/>
    </row>
    <row r="1107" spans="1:27" s="282" customFormat="1" outlineLevel="2" x14ac:dyDescent="0.25">
      <c r="A1107" s="276">
        <f t="shared" si="375"/>
        <v>195</v>
      </c>
      <c r="B1107" s="725" t="str">
        <f>$B195</f>
        <v>4th Grade Teacher</v>
      </c>
      <c r="C1107" s="564" t="s">
        <v>232</v>
      </c>
      <c r="D1107" s="421"/>
      <c r="G1107" s="1290">
        <f t="shared" si="380"/>
        <v>0</v>
      </c>
      <c r="H1107" s="1290">
        <f t="shared" si="380"/>
        <v>0</v>
      </c>
      <c r="I1107" s="1290">
        <f t="shared" si="380"/>
        <v>0</v>
      </c>
      <c r="J1107" s="1290">
        <f t="shared" si="380"/>
        <v>0</v>
      </c>
      <c r="K1107" s="1290">
        <f t="shared" si="380"/>
        <v>0</v>
      </c>
      <c r="L1107" s="1290">
        <f t="shared" si="380"/>
        <v>0</v>
      </c>
      <c r="M1107" s="1290">
        <f t="shared" si="380"/>
        <v>0</v>
      </c>
      <c r="N1107" s="168"/>
    </row>
    <row r="1108" spans="1:27" s="282" customFormat="1" outlineLevel="2" x14ac:dyDescent="0.25">
      <c r="A1108" s="276">
        <f t="shared" si="375"/>
        <v>196</v>
      </c>
      <c r="B1108" s="725" t="str">
        <f>$B196</f>
        <v>5th Grade Teacher</v>
      </c>
      <c r="C1108" s="564" t="s">
        <v>232</v>
      </c>
      <c r="D1108" s="421"/>
      <c r="G1108" s="1290">
        <f t="shared" si="380"/>
        <v>0</v>
      </c>
      <c r="H1108" s="1290">
        <f t="shared" si="380"/>
        <v>0</v>
      </c>
      <c r="I1108" s="1290">
        <f t="shared" si="380"/>
        <v>0</v>
      </c>
      <c r="J1108" s="1290">
        <f t="shared" si="380"/>
        <v>0</v>
      </c>
      <c r="K1108" s="1290">
        <f t="shared" si="380"/>
        <v>0</v>
      </c>
      <c r="L1108" s="1290">
        <f t="shared" si="380"/>
        <v>0</v>
      </c>
      <c r="M1108" s="1290">
        <f t="shared" si="380"/>
        <v>0</v>
      </c>
      <c r="N1108" s="168"/>
    </row>
    <row r="1109" spans="1:27" s="282" customFormat="1" outlineLevel="2" x14ac:dyDescent="0.25">
      <c r="A1109" s="276">
        <f t="shared" si="375"/>
        <v>197</v>
      </c>
      <c r="B1109" s="725" t="str">
        <f>$B197</f>
        <v>5th Grade Teacher</v>
      </c>
      <c r="C1109" s="564" t="s">
        <v>232</v>
      </c>
      <c r="D1109" s="421"/>
      <c r="G1109" s="1290">
        <f t="shared" si="380"/>
        <v>0</v>
      </c>
      <c r="H1109" s="1290">
        <f t="shared" si="380"/>
        <v>0</v>
      </c>
      <c r="I1109" s="1290">
        <f t="shared" si="380"/>
        <v>0</v>
      </c>
      <c r="J1109" s="1290">
        <f t="shared" si="380"/>
        <v>0</v>
      </c>
      <c r="K1109" s="1290">
        <f t="shared" si="380"/>
        <v>0</v>
      </c>
      <c r="L1109" s="1290">
        <f t="shared" si="380"/>
        <v>0</v>
      </c>
      <c r="M1109" s="1290">
        <f t="shared" si="380"/>
        <v>0</v>
      </c>
      <c r="N1109" s="168"/>
    </row>
    <row r="1110" spans="1:27" s="282" customFormat="1" outlineLevel="2" x14ac:dyDescent="0.25">
      <c r="A1110" s="276">
        <f t="shared" si="375"/>
        <v>198</v>
      </c>
      <c r="B1110" s="725" t="str">
        <f>$B198</f>
        <v>5th Grade Teacher</v>
      </c>
      <c r="C1110" s="564" t="s">
        <v>232</v>
      </c>
      <c r="D1110" s="421"/>
      <c r="G1110" s="1290">
        <f t="shared" si="380"/>
        <v>0</v>
      </c>
      <c r="H1110" s="1290">
        <f t="shared" si="380"/>
        <v>0</v>
      </c>
      <c r="I1110" s="1290">
        <f t="shared" si="380"/>
        <v>0</v>
      </c>
      <c r="J1110" s="1290">
        <f t="shared" si="380"/>
        <v>0</v>
      </c>
      <c r="K1110" s="1290">
        <f t="shared" si="380"/>
        <v>0</v>
      </c>
      <c r="L1110" s="1290">
        <f t="shared" si="380"/>
        <v>0</v>
      </c>
      <c r="M1110" s="1290">
        <f t="shared" si="380"/>
        <v>0</v>
      </c>
      <c r="N1110" s="168"/>
    </row>
    <row r="1111" spans="1:27" s="282" customFormat="1" outlineLevel="2" x14ac:dyDescent="0.25">
      <c r="A1111" s="276">
        <f t="shared" si="375"/>
        <v>199</v>
      </c>
      <c r="B1111" s="725"/>
      <c r="C1111" s="564"/>
      <c r="D1111" s="421"/>
      <c r="G1111" s="1290"/>
      <c r="H1111" s="1290"/>
      <c r="I1111" s="1290"/>
      <c r="J1111" s="1290"/>
      <c r="K1111" s="1290"/>
      <c r="L1111" s="1290"/>
      <c r="M1111" s="1290"/>
      <c r="N1111" s="168"/>
    </row>
    <row r="1112" spans="1:27" s="282" customFormat="1" outlineLevel="2" x14ac:dyDescent="0.25">
      <c r="A1112" s="276">
        <f t="shared" si="375"/>
        <v>200</v>
      </c>
      <c r="B1112" s="725" t="str">
        <f>$B200</f>
        <v>5th Grade Teacher</v>
      </c>
      <c r="C1112" s="564" t="s">
        <v>232</v>
      </c>
      <c r="D1112" s="421"/>
      <c r="G1112" s="1290">
        <f t="shared" ref="G1112:M1116" si="381">G200*$C$93</f>
        <v>0</v>
      </c>
      <c r="H1112" s="1290">
        <f t="shared" si="381"/>
        <v>0</v>
      </c>
      <c r="I1112" s="1290">
        <f t="shared" si="381"/>
        <v>0</v>
      </c>
      <c r="J1112" s="1290">
        <f t="shared" si="381"/>
        <v>0</v>
      </c>
      <c r="K1112" s="1290">
        <f t="shared" si="381"/>
        <v>0</v>
      </c>
      <c r="L1112" s="1290">
        <f t="shared" si="381"/>
        <v>0</v>
      </c>
      <c r="M1112" s="1290">
        <f t="shared" si="381"/>
        <v>0</v>
      </c>
      <c r="N1112" s="168"/>
    </row>
    <row r="1113" spans="1:27" s="282" customFormat="1" outlineLevel="2" x14ac:dyDescent="0.25">
      <c r="A1113" s="276">
        <f t="shared" si="375"/>
        <v>201</v>
      </c>
      <c r="B1113" s="725" t="str">
        <f>$B201</f>
        <v>6th Grade Teacher</v>
      </c>
      <c r="C1113" s="564" t="s">
        <v>232</v>
      </c>
      <c r="D1113" s="421"/>
      <c r="G1113" s="1290">
        <f t="shared" si="381"/>
        <v>0</v>
      </c>
      <c r="H1113" s="1290">
        <f t="shared" si="381"/>
        <v>0</v>
      </c>
      <c r="I1113" s="1290">
        <f t="shared" si="381"/>
        <v>0</v>
      </c>
      <c r="J1113" s="1290">
        <f t="shared" si="381"/>
        <v>0</v>
      </c>
      <c r="K1113" s="1290">
        <f t="shared" si="381"/>
        <v>0</v>
      </c>
      <c r="L1113" s="1290">
        <f t="shared" si="381"/>
        <v>0</v>
      </c>
      <c r="M1113" s="1290">
        <f t="shared" si="381"/>
        <v>0</v>
      </c>
      <c r="N1113" s="168"/>
    </row>
    <row r="1114" spans="1:27" s="282" customFormat="1" outlineLevel="2" x14ac:dyDescent="0.25">
      <c r="A1114" s="276">
        <f t="shared" si="375"/>
        <v>202</v>
      </c>
      <c r="B1114" s="725" t="str">
        <f>$B202</f>
        <v>6th Grade Teacher</v>
      </c>
      <c r="C1114" s="564" t="s">
        <v>232</v>
      </c>
      <c r="D1114" s="421"/>
      <c r="G1114" s="1290">
        <f t="shared" si="381"/>
        <v>0</v>
      </c>
      <c r="H1114" s="1290">
        <f t="shared" si="381"/>
        <v>0</v>
      </c>
      <c r="I1114" s="1290">
        <f t="shared" si="381"/>
        <v>0</v>
      </c>
      <c r="J1114" s="1290">
        <f t="shared" si="381"/>
        <v>0</v>
      </c>
      <c r="K1114" s="1290">
        <f t="shared" si="381"/>
        <v>0</v>
      </c>
      <c r="L1114" s="1290">
        <f t="shared" si="381"/>
        <v>0</v>
      </c>
      <c r="M1114" s="1290">
        <f t="shared" si="381"/>
        <v>0</v>
      </c>
      <c r="N1114" s="168"/>
    </row>
    <row r="1115" spans="1:27" s="282" customFormat="1" outlineLevel="2" x14ac:dyDescent="0.25">
      <c r="A1115" s="276">
        <f t="shared" ref="A1115:A1146" si="382">ROW(A203)</f>
        <v>203</v>
      </c>
      <c r="B1115" s="725" t="str">
        <f>$B203</f>
        <v>6th Grade Teacher</v>
      </c>
      <c r="C1115" s="564" t="s">
        <v>232</v>
      </c>
      <c r="D1115" s="421"/>
      <c r="G1115" s="1290">
        <f t="shared" si="381"/>
        <v>0</v>
      </c>
      <c r="H1115" s="1290">
        <f t="shared" si="381"/>
        <v>0</v>
      </c>
      <c r="I1115" s="1290">
        <f t="shared" si="381"/>
        <v>0</v>
      </c>
      <c r="J1115" s="1290">
        <f t="shared" si="381"/>
        <v>0</v>
      </c>
      <c r="K1115" s="1290">
        <f t="shared" si="381"/>
        <v>0</v>
      </c>
      <c r="L1115" s="1290">
        <f t="shared" si="381"/>
        <v>0</v>
      </c>
      <c r="M1115" s="1290">
        <f t="shared" si="381"/>
        <v>0</v>
      </c>
      <c r="N1115" s="168"/>
    </row>
    <row r="1116" spans="1:27" outlineLevel="2" x14ac:dyDescent="0.25">
      <c r="A1116" s="276">
        <f t="shared" si="382"/>
        <v>204</v>
      </c>
      <c r="B1116" s="725" t="str">
        <f>$B204</f>
        <v>6th Grade Teacher</v>
      </c>
      <c r="C1116" s="564" t="s">
        <v>232</v>
      </c>
      <c r="D1116" s="421"/>
      <c r="G1116" s="1290">
        <f t="shared" si="381"/>
        <v>0</v>
      </c>
      <c r="H1116" s="1290">
        <f t="shared" si="381"/>
        <v>0</v>
      </c>
      <c r="I1116" s="1290">
        <f t="shared" si="381"/>
        <v>0</v>
      </c>
      <c r="J1116" s="1290">
        <f t="shared" si="381"/>
        <v>0</v>
      </c>
      <c r="K1116" s="1290">
        <f t="shared" si="381"/>
        <v>0</v>
      </c>
      <c r="L1116" s="1290">
        <f t="shared" si="381"/>
        <v>0</v>
      </c>
      <c r="M1116" s="1290">
        <f t="shared" si="381"/>
        <v>0</v>
      </c>
      <c r="N1116" s="141"/>
      <c r="R1116" s="282"/>
      <c r="S1116" s="282"/>
      <c r="T1116" s="282"/>
      <c r="U1116" s="282"/>
      <c r="V1116" s="282"/>
      <c r="W1116" s="282"/>
      <c r="X1116" s="282"/>
      <c r="Y1116" s="282"/>
      <c r="Z1116" s="282"/>
      <c r="AA1116" s="282"/>
    </row>
    <row r="1117" spans="1:27" outlineLevel="2" x14ac:dyDescent="0.25">
      <c r="A1117" s="276">
        <f t="shared" si="382"/>
        <v>205</v>
      </c>
      <c r="B1117" s="725"/>
      <c r="C1117" s="564"/>
      <c r="D1117" s="282"/>
      <c r="G1117" s="1290"/>
      <c r="H1117" s="1290"/>
      <c r="I1117" s="1290"/>
      <c r="J1117" s="1290"/>
      <c r="K1117" s="1290"/>
      <c r="L1117" s="1290"/>
      <c r="M1117" s="1290"/>
      <c r="N1117" s="141"/>
      <c r="R1117" s="282"/>
      <c r="S1117" s="282"/>
      <c r="T1117" s="282"/>
      <c r="U1117" s="282"/>
      <c r="V1117" s="282"/>
      <c r="W1117" s="282"/>
      <c r="X1117" s="282"/>
      <c r="Y1117" s="282"/>
      <c r="Z1117" s="282"/>
      <c r="AA1117" s="282"/>
    </row>
    <row r="1118" spans="1:27" s="282" customFormat="1" outlineLevel="2" x14ac:dyDescent="0.25">
      <c r="A1118" s="276">
        <f t="shared" si="382"/>
        <v>206</v>
      </c>
      <c r="B1118" s="725" t="str">
        <f>$B206</f>
        <v>7th Grade Teacher</v>
      </c>
      <c r="C1118" s="564" t="s">
        <v>232</v>
      </c>
      <c r="D1118" s="421"/>
      <c r="G1118" s="1290">
        <f t="shared" ref="G1118:M1122" si="383">G206*$C$93</f>
        <v>0</v>
      </c>
      <c r="H1118" s="1290">
        <f t="shared" si="383"/>
        <v>0</v>
      </c>
      <c r="I1118" s="1290">
        <f t="shared" si="383"/>
        <v>0</v>
      </c>
      <c r="J1118" s="1290">
        <f t="shared" si="383"/>
        <v>0</v>
      </c>
      <c r="K1118" s="1290">
        <f t="shared" si="383"/>
        <v>0</v>
      </c>
      <c r="L1118" s="1290">
        <f t="shared" si="383"/>
        <v>0</v>
      </c>
      <c r="M1118" s="1290">
        <f t="shared" si="383"/>
        <v>0</v>
      </c>
      <c r="N1118" s="168"/>
    </row>
    <row r="1119" spans="1:27" s="282" customFormat="1" outlineLevel="2" x14ac:dyDescent="0.25">
      <c r="A1119" s="276">
        <f t="shared" si="382"/>
        <v>207</v>
      </c>
      <c r="B1119" s="725" t="str">
        <f>$B207</f>
        <v>7th Grade Teacher</v>
      </c>
      <c r="C1119" s="564" t="s">
        <v>232</v>
      </c>
      <c r="D1119" s="421"/>
      <c r="G1119" s="1290">
        <f t="shared" si="383"/>
        <v>0</v>
      </c>
      <c r="H1119" s="1290">
        <f t="shared" si="383"/>
        <v>0</v>
      </c>
      <c r="I1119" s="1290">
        <f t="shared" si="383"/>
        <v>0</v>
      </c>
      <c r="J1119" s="1290">
        <f t="shared" si="383"/>
        <v>0</v>
      </c>
      <c r="K1119" s="1290">
        <f t="shared" si="383"/>
        <v>0</v>
      </c>
      <c r="L1119" s="1290">
        <f t="shared" si="383"/>
        <v>0</v>
      </c>
      <c r="M1119" s="1290">
        <f t="shared" si="383"/>
        <v>0</v>
      </c>
      <c r="N1119" s="168"/>
    </row>
    <row r="1120" spans="1:27" s="282" customFormat="1" outlineLevel="2" x14ac:dyDescent="0.25">
      <c r="A1120" s="276">
        <f t="shared" si="382"/>
        <v>208</v>
      </c>
      <c r="B1120" s="725" t="str">
        <f>$B208</f>
        <v>7th Grade Teacher</v>
      </c>
      <c r="C1120" s="564" t="s">
        <v>232</v>
      </c>
      <c r="D1120" s="421"/>
      <c r="G1120" s="1290">
        <f t="shared" si="383"/>
        <v>0</v>
      </c>
      <c r="H1120" s="1290">
        <f t="shared" si="383"/>
        <v>0</v>
      </c>
      <c r="I1120" s="1290">
        <f t="shared" si="383"/>
        <v>0</v>
      </c>
      <c r="J1120" s="1290">
        <f t="shared" si="383"/>
        <v>0</v>
      </c>
      <c r="K1120" s="1290">
        <f t="shared" si="383"/>
        <v>0</v>
      </c>
      <c r="L1120" s="1290">
        <f t="shared" si="383"/>
        <v>0</v>
      </c>
      <c r="M1120" s="1290">
        <f t="shared" si="383"/>
        <v>0</v>
      </c>
      <c r="N1120" s="168"/>
    </row>
    <row r="1121" spans="1:27" s="282" customFormat="1" outlineLevel="2" x14ac:dyDescent="0.25">
      <c r="A1121" s="276">
        <f t="shared" si="382"/>
        <v>209</v>
      </c>
      <c r="B1121" s="725" t="str">
        <f>$B209</f>
        <v>7th Grade Teacher</v>
      </c>
      <c r="C1121" s="564" t="s">
        <v>232</v>
      </c>
      <c r="D1121" s="421"/>
      <c r="G1121" s="1290">
        <f t="shared" si="383"/>
        <v>0</v>
      </c>
      <c r="H1121" s="1290">
        <f t="shared" si="383"/>
        <v>0</v>
      </c>
      <c r="I1121" s="1290">
        <f t="shared" si="383"/>
        <v>0</v>
      </c>
      <c r="J1121" s="1290">
        <f t="shared" si="383"/>
        <v>0</v>
      </c>
      <c r="K1121" s="1290">
        <f t="shared" si="383"/>
        <v>0</v>
      </c>
      <c r="L1121" s="1290">
        <f t="shared" si="383"/>
        <v>0</v>
      </c>
      <c r="M1121" s="1290">
        <f t="shared" si="383"/>
        <v>0</v>
      </c>
      <c r="N1121" s="168"/>
    </row>
    <row r="1122" spans="1:27" s="282" customFormat="1" outlineLevel="2" x14ac:dyDescent="0.25">
      <c r="A1122" s="276">
        <f t="shared" si="382"/>
        <v>210</v>
      </c>
      <c r="B1122" s="725" t="str">
        <f>$B210</f>
        <v>8th Grade Teacher</v>
      </c>
      <c r="C1122" s="564" t="s">
        <v>232</v>
      </c>
      <c r="D1122" s="421"/>
      <c r="G1122" s="1290">
        <f t="shared" si="383"/>
        <v>0</v>
      </c>
      <c r="H1122" s="1290">
        <f t="shared" si="383"/>
        <v>0</v>
      </c>
      <c r="I1122" s="1290">
        <f t="shared" si="383"/>
        <v>0</v>
      </c>
      <c r="J1122" s="1290">
        <f t="shared" si="383"/>
        <v>0</v>
      </c>
      <c r="K1122" s="1290">
        <f t="shared" si="383"/>
        <v>0</v>
      </c>
      <c r="L1122" s="1290">
        <f t="shared" si="383"/>
        <v>0</v>
      </c>
      <c r="M1122" s="1290">
        <f t="shared" si="383"/>
        <v>0</v>
      </c>
      <c r="N1122" s="168"/>
    </row>
    <row r="1123" spans="1:27" s="282" customFormat="1" outlineLevel="2" x14ac:dyDescent="0.25">
      <c r="A1123" s="276">
        <f t="shared" si="382"/>
        <v>211</v>
      </c>
      <c r="B1123" s="725"/>
      <c r="C1123" s="564"/>
      <c r="D1123" s="421"/>
      <c r="G1123" s="1290"/>
      <c r="H1123" s="1290"/>
      <c r="I1123" s="1290"/>
      <c r="J1123" s="1290"/>
      <c r="K1123" s="1290"/>
      <c r="L1123" s="1290"/>
      <c r="M1123" s="1290"/>
      <c r="N1123" s="168"/>
    </row>
    <row r="1124" spans="1:27" s="282" customFormat="1" outlineLevel="2" x14ac:dyDescent="0.25">
      <c r="A1124" s="276">
        <f t="shared" si="382"/>
        <v>212</v>
      </c>
      <c r="B1124" s="725" t="str">
        <f>$B212</f>
        <v>8th Grade Teacher</v>
      </c>
      <c r="C1124" s="564" t="s">
        <v>232</v>
      </c>
      <c r="D1124" s="421"/>
      <c r="G1124" s="1290">
        <f t="shared" ref="G1124:M1128" si="384">G212*$C$93</f>
        <v>0</v>
      </c>
      <c r="H1124" s="1290">
        <f t="shared" si="384"/>
        <v>0</v>
      </c>
      <c r="I1124" s="1290">
        <f t="shared" si="384"/>
        <v>0</v>
      </c>
      <c r="J1124" s="1290">
        <f t="shared" si="384"/>
        <v>0</v>
      </c>
      <c r="K1124" s="1290">
        <f t="shared" si="384"/>
        <v>0</v>
      </c>
      <c r="L1124" s="1290">
        <f t="shared" si="384"/>
        <v>0</v>
      </c>
      <c r="M1124" s="1290">
        <f t="shared" si="384"/>
        <v>0</v>
      </c>
      <c r="N1124" s="168"/>
    </row>
    <row r="1125" spans="1:27" s="282" customFormat="1" outlineLevel="2" x14ac:dyDescent="0.25">
      <c r="A1125" s="276">
        <f t="shared" si="382"/>
        <v>213</v>
      </c>
      <c r="B1125" s="725" t="str">
        <f>$B213</f>
        <v>8th Grade Teacher</v>
      </c>
      <c r="C1125" s="564" t="s">
        <v>232</v>
      </c>
      <c r="D1125" s="421"/>
      <c r="G1125" s="1290">
        <f t="shared" si="384"/>
        <v>0</v>
      </c>
      <c r="H1125" s="1290">
        <f t="shared" si="384"/>
        <v>0</v>
      </c>
      <c r="I1125" s="1290">
        <f t="shared" si="384"/>
        <v>0</v>
      </c>
      <c r="J1125" s="1290">
        <f t="shared" si="384"/>
        <v>0</v>
      </c>
      <c r="K1125" s="1290">
        <f t="shared" si="384"/>
        <v>0</v>
      </c>
      <c r="L1125" s="1290">
        <f t="shared" si="384"/>
        <v>0</v>
      </c>
      <c r="M1125" s="1290">
        <f t="shared" si="384"/>
        <v>0</v>
      </c>
      <c r="N1125" s="168"/>
    </row>
    <row r="1126" spans="1:27" s="282" customFormat="1" outlineLevel="2" x14ac:dyDescent="0.25">
      <c r="A1126" s="276">
        <f t="shared" si="382"/>
        <v>214</v>
      </c>
      <c r="B1126" s="725" t="str">
        <f>$B214</f>
        <v>8th Grade Teacher</v>
      </c>
      <c r="C1126" s="564" t="s">
        <v>232</v>
      </c>
      <c r="D1126" s="421"/>
      <c r="G1126" s="1290">
        <f t="shared" si="384"/>
        <v>0</v>
      </c>
      <c r="H1126" s="1290">
        <f t="shared" si="384"/>
        <v>0</v>
      </c>
      <c r="I1126" s="1290">
        <f t="shared" si="384"/>
        <v>0</v>
      </c>
      <c r="J1126" s="1290">
        <f t="shared" si="384"/>
        <v>0</v>
      </c>
      <c r="K1126" s="1290">
        <f t="shared" si="384"/>
        <v>0</v>
      </c>
      <c r="L1126" s="1290">
        <f t="shared" si="384"/>
        <v>0</v>
      </c>
      <c r="M1126" s="1290">
        <f t="shared" si="384"/>
        <v>0</v>
      </c>
      <c r="N1126" s="168"/>
    </row>
    <row r="1127" spans="1:27" s="282" customFormat="1" outlineLevel="2" x14ac:dyDescent="0.25">
      <c r="A1127" s="276">
        <f t="shared" si="382"/>
        <v>215</v>
      </c>
      <c r="B1127" s="725" t="str">
        <f>$B215</f>
        <v>Grade Level Teacher</v>
      </c>
      <c r="C1127" s="564" t="s">
        <v>232</v>
      </c>
      <c r="D1127" s="421"/>
      <c r="G1127" s="1290">
        <f t="shared" si="384"/>
        <v>0</v>
      </c>
      <c r="H1127" s="1290">
        <f t="shared" si="384"/>
        <v>0</v>
      </c>
      <c r="I1127" s="1290">
        <f t="shared" si="384"/>
        <v>0</v>
      </c>
      <c r="J1127" s="1290">
        <f t="shared" si="384"/>
        <v>0</v>
      </c>
      <c r="K1127" s="1290">
        <f t="shared" si="384"/>
        <v>0</v>
      </c>
      <c r="L1127" s="1290">
        <f t="shared" si="384"/>
        <v>0</v>
      </c>
      <c r="M1127" s="1290">
        <f t="shared" si="384"/>
        <v>0</v>
      </c>
      <c r="N1127" s="168"/>
    </row>
    <row r="1128" spans="1:27" outlineLevel="2" x14ac:dyDescent="0.25">
      <c r="A1128" s="276">
        <f t="shared" si="382"/>
        <v>216</v>
      </c>
      <c r="B1128" s="725" t="str">
        <f>$B216</f>
        <v>Grade Level Teacher</v>
      </c>
      <c r="C1128" s="564" t="s">
        <v>232</v>
      </c>
      <c r="D1128" s="421"/>
      <c r="G1128" s="1290">
        <f t="shared" si="384"/>
        <v>0</v>
      </c>
      <c r="H1128" s="1290">
        <f t="shared" si="384"/>
        <v>0</v>
      </c>
      <c r="I1128" s="1290">
        <f t="shared" si="384"/>
        <v>0</v>
      </c>
      <c r="J1128" s="1290">
        <f t="shared" si="384"/>
        <v>0</v>
      </c>
      <c r="K1128" s="1290">
        <f t="shared" si="384"/>
        <v>0</v>
      </c>
      <c r="L1128" s="1290">
        <f t="shared" si="384"/>
        <v>0</v>
      </c>
      <c r="M1128" s="1290">
        <f t="shared" si="384"/>
        <v>0</v>
      </c>
      <c r="N1128" s="141"/>
      <c r="R1128" s="282"/>
      <c r="S1128" s="282"/>
      <c r="T1128" s="282"/>
      <c r="U1128" s="282"/>
      <c r="V1128" s="282"/>
      <c r="W1128" s="282"/>
      <c r="X1128" s="282"/>
      <c r="Y1128" s="282"/>
      <c r="Z1128" s="282"/>
      <c r="AA1128" s="282"/>
    </row>
    <row r="1129" spans="1:27" outlineLevel="2" x14ac:dyDescent="0.25">
      <c r="A1129" s="276">
        <f t="shared" si="382"/>
        <v>217</v>
      </c>
      <c r="B1129" s="725"/>
      <c r="C1129" s="564"/>
      <c r="D1129" s="282"/>
      <c r="G1129" s="1290"/>
      <c r="H1129" s="1290"/>
      <c r="I1129" s="1290"/>
      <c r="J1129" s="1290"/>
      <c r="K1129" s="1290"/>
      <c r="L1129" s="1290"/>
      <c r="M1129" s="1290"/>
      <c r="N1129" s="141"/>
      <c r="R1129" s="282"/>
      <c r="S1129" s="282"/>
      <c r="T1129" s="282"/>
      <c r="U1129" s="282"/>
      <c r="V1129" s="282"/>
      <c r="W1129" s="282"/>
      <c r="X1129" s="282"/>
      <c r="Y1129" s="282"/>
      <c r="Z1129" s="282"/>
      <c r="AA1129" s="282"/>
    </row>
    <row r="1130" spans="1:27" s="282" customFormat="1" outlineLevel="2" x14ac:dyDescent="0.25">
      <c r="A1130" s="276">
        <f t="shared" si="382"/>
        <v>218</v>
      </c>
      <c r="B1130" s="725" t="str">
        <f t="shared" ref="B1130:B1135" si="385">$B218</f>
        <v>Grade Level Teacher</v>
      </c>
      <c r="C1130" s="564" t="s">
        <v>232</v>
      </c>
      <c r="D1130" s="421"/>
      <c r="G1130" s="1290">
        <f t="shared" ref="G1130:M1135" si="386">G218*$C$93</f>
        <v>0</v>
      </c>
      <c r="H1130" s="1290">
        <f t="shared" si="386"/>
        <v>0</v>
      </c>
      <c r="I1130" s="1290">
        <f t="shared" si="386"/>
        <v>0</v>
      </c>
      <c r="J1130" s="1290">
        <f t="shared" si="386"/>
        <v>0</v>
      </c>
      <c r="K1130" s="1290">
        <f t="shared" si="386"/>
        <v>0</v>
      </c>
      <c r="L1130" s="1290">
        <f t="shared" si="386"/>
        <v>0</v>
      </c>
      <c r="M1130" s="1290">
        <f t="shared" si="386"/>
        <v>0</v>
      </c>
      <c r="N1130" s="168"/>
    </row>
    <row r="1131" spans="1:27" s="282" customFormat="1" outlineLevel="2" x14ac:dyDescent="0.25">
      <c r="A1131" s="276">
        <f t="shared" si="382"/>
        <v>219</v>
      </c>
      <c r="B1131" s="725" t="str">
        <f t="shared" si="385"/>
        <v>Grade Level Teacher</v>
      </c>
      <c r="C1131" s="564" t="s">
        <v>232</v>
      </c>
      <c r="D1131" s="421"/>
      <c r="G1131" s="1290">
        <f t="shared" si="386"/>
        <v>0</v>
      </c>
      <c r="H1131" s="1290">
        <f t="shared" si="386"/>
        <v>0</v>
      </c>
      <c r="I1131" s="1290">
        <f t="shared" si="386"/>
        <v>0</v>
      </c>
      <c r="J1131" s="1290">
        <f t="shared" si="386"/>
        <v>0</v>
      </c>
      <c r="K1131" s="1290">
        <f t="shared" si="386"/>
        <v>0</v>
      </c>
      <c r="L1131" s="1290">
        <f t="shared" si="386"/>
        <v>0</v>
      </c>
      <c r="M1131" s="1290">
        <f t="shared" si="386"/>
        <v>0</v>
      </c>
      <c r="N1131" s="168"/>
    </row>
    <row r="1132" spans="1:27" s="282" customFormat="1" outlineLevel="2" x14ac:dyDescent="0.25">
      <c r="A1132" s="276">
        <f t="shared" si="382"/>
        <v>220</v>
      </c>
      <c r="B1132" s="725" t="str">
        <f t="shared" si="385"/>
        <v>Grade Level Teacher</v>
      </c>
      <c r="C1132" s="564" t="s">
        <v>232</v>
      </c>
      <c r="D1132" s="421"/>
      <c r="G1132" s="1290">
        <f t="shared" si="386"/>
        <v>0</v>
      </c>
      <c r="H1132" s="1290">
        <f t="shared" si="386"/>
        <v>0</v>
      </c>
      <c r="I1132" s="1290">
        <f t="shared" si="386"/>
        <v>0</v>
      </c>
      <c r="J1132" s="1290">
        <f t="shared" si="386"/>
        <v>0</v>
      </c>
      <c r="K1132" s="1290">
        <f t="shared" si="386"/>
        <v>0</v>
      </c>
      <c r="L1132" s="1290">
        <f t="shared" si="386"/>
        <v>0</v>
      </c>
      <c r="M1132" s="1290">
        <f t="shared" si="386"/>
        <v>0</v>
      </c>
      <c r="N1132" s="168"/>
    </row>
    <row r="1133" spans="1:27" s="282" customFormat="1" outlineLevel="2" x14ac:dyDescent="0.25">
      <c r="A1133" s="276">
        <f t="shared" si="382"/>
        <v>221</v>
      </c>
      <c r="B1133" s="725" t="str">
        <f t="shared" si="385"/>
        <v>Grade Level Teacher</v>
      </c>
      <c r="C1133" s="564" t="s">
        <v>232</v>
      </c>
      <c r="D1133" s="421"/>
      <c r="G1133" s="1290">
        <f t="shared" si="386"/>
        <v>0</v>
      </c>
      <c r="H1133" s="1290">
        <f t="shared" si="386"/>
        <v>0</v>
      </c>
      <c r="I1133" s="1290">
        <f t="shared" si="386"/>
        <v>0</v>
      </c>
      <c r="J1133" s="1290">
        <f t="shared" si="386"/>
        <v>0</v>
      </c>
      <c r="K1133" s="1290">
        <f t="shared" si="386"/>
        <v>0</v>
      </c>
      <c r="L1133" s="1290">
        <f t="shared" si="386"/>
        <v>0</v>
      </c>
      <c r="M1133" s="1290">
        <f t="shared" si="386"/>
        <v>0</v>
      </c>
      <c r="N1133" s="168"/>
    </row>
    <row r="1134" spans="1:27" s="282" customFormat="1" outlineLevel="2" x14ac:dyDescent="0.25">
      <c r="A1134" s="276">
        <f t="shared" si="382"/>
        <v>222</v>
      </c>
      <c r="B1134" s="725" t="str">
        <f t="shared" si="385"/>
        <v>Grade Level Teacher</v>
      </c>
      <c r="C1134" s="564" t="s">
        <v>232</v>
      </c>
      <c r="D1134" s="421"/>
      <c r="G1134" s="1290">
        <f t="shared" si="386"/>
        <v>0</v>
      </c>
      <c r="H1134" s="1290">
        <f t="shared" si="386"/>
        <v>0</v>
      </c>
      <c r="I1134" s="1290">
        <f t="shared" si="386"/>
        <v>0</v>
      </c>
      <c r="J1134" s="1290">
        <f t="shared" si="386"/>
        <v>0</v>
      </c>
      <c r="K1134" s="1290">
        <f t="shared" si="386"/>
        <v>0</v>
      </c>
      <c r="L1134" s="1290">
        <f t="shared" si="386"/>
        <v>0</v>
      </c>
      <c r="M1134" s="1290">
        <f t="shared" si="386"/>
        <v>0</v>
      </c>
      <c r="N1134" s="168"/>
    </row>
    <row r="1135" spans="1:27" s="282" customFormat="1" outlineLevel="2" x14ac:dyDescent="0.25">
      <c r="A1135" s="276">
        <f t="shared" si="382"/>
        <v>223</v>
      </c>
      <c r="B1135" s="725" t="str">
        <f t="shared" si="385"/>
        <v>Grade Level Teacher</v>
      </c>
      <c r="C1135" s="564" t="s">
        <v>232</v>
      </c>
      <c r="D1135" s="421"/>
      <c r="G1135" s="1290">
        <f t="shared" si="386"/>
        <v>0</v>
      </c>
      <c r="H1135" s="1290">
        <f t="shared" si="386"/>
        <v>0</v>
      </c>
      <c r="I1135" s="1290">
        <f t="shared" si="386"/>
        <v>0</v>
      </c>
      <c r="J1135" s="1290">
        <f t="shared" si="386"/>
        <v>0</v>
      </c>
      <c r="K1135" s="1290">
        <f t="shared" si="386"/>
        <v>0</v>
      </c>
      <c r="L1135" s="1290">
        <f t="shared" si="386"/>
        <v>0</v>
      </c>
      <c r="M1135" s="1290">
        <f t="shared" si="386"/>
        <v>0</v>
      </c>
      <c r="N1135" s="168"/>
    </row>
    <row r="1136" spans="1:27" outlineLevel="2" x14ac:dyDescent="0.25">
      <c r="A1136" s="276">
        <f t="shared" si="382"/>
        <v>224</v>
      </c>
      <c r="B1136" s="725"/>
      <c r="C1136" s="564"/>
      <c r="D1136" s="282"/>
      <c r="G1136" s="1290"/>
      <c r="H1136" s="1290"/>
      <c r="I1136" s="1290"/>
      <c r="J1136" s="1290"/>
      <c r="K1136" s="1290"/>
      <c r="L1136" s="1290"/>
      <c r="M1136" s="1290"/>
      <c r="N1136" s="141"/>
      <c r="R1136" s="282"/>
      <c r="S1136" s="282"/>
      <c r="T1136" s="282"/>
      <c r="U1136" s="282"/>
      <c r="V1136" s="282"/>
      <c r="W1136" s="282"/>
      <c r="X1136" s="282"/>
      <c r="Y1136" s="282"/>
      <c r="Z1136" s="282"/>
      <c r="AA1136" s="282"/>
    </row>
    <row r="1137" spans="1:14" s="282" customFormat="1" outlineLevel="2" x14ac:dyDescent="0.25">
      <c r="A1137" s="276">
        <f t="shared" si="382"/>
        <v>225</v>
      </c>
      <c r="B1137" s="725" t="str">
        <f>$B$225</f>
        <v>8th Grade Teacher</v>
      </c>
      <c r="C1137" s="564" t="s">
        <v>232</v>
      </c>
      <c r="D1137" s="421"/>
      <c r="G1137" s="1290">
        <f t="shared" ref="G1137:M1141" si="387">G225*$C$93</f>
        <v>0</v>
      </c>
      <c r="H1137" s="1290">
        <f t="shared" si="387"/>
        <v>0</v>
      </c>
      <c r="I1137" s="1290">
        <f t="shared" si="387"/>
        <v>0</v>
      </c>
      <c r="J1137" s="1290">
        <f t="shared" si="387"/>
        <v>0</v>
      </c>
      <c r="K1137" s="1290">
        <f t="shared" si="387"/>
        <v>0</v>
      </c>
      <c r="L1137" s="1290">
        <f t="shared" si="387"/>
        <v>0</v>
      </c>
      <c r="M1137" s="1290">
        <f t="shared" si="387"/>
        <v>0</v>
      </c>
      <c r="N1137" s="168"/>
    </row>
    <row r="1138" spans="1:14" s="282" customFormat="1" outlineLevel="2" x14ac:dyDescent="0.25">
      <c r="A1138" s="276">
        <f t="shared" si="382"/>
        <v>226</v>
      </c>
      <c r="B1138" s="725" t="str">
        <f>$B$226</f>
        <v>8th Grade Teacher</v>
      </c>
      <c r="C1138" s="564" t="s">
        <v>232</v>
      </c>
      <c r="D1138" s="421"/>
      <c r="G1138" s="1290">
        <f t="shared" si="387"/>
        <v>0</v>
      </c>
      <c r="H1138" s="1290">
        <f t="shared" si="387"/>
        <v>0</v>
      </c>
      <c r="I1138" s="1290">
        <f t="shared" si="387"/>
        <v>0</v>
      </c>
      <c r="J1138" s="1290">
        <f t="shared" si="387"/>
        <v>0</v>
      </c>
      <c r="K1138" s="1290">
        <f t="shared" si="387"/>
        <v>0</v>
      </c>
      <c r="L1138" s="1290">
        <f t="shared" si="387"/>
        <v>0</v>
      </c>
      <c r="M1138" s="1290">
        <f t="shared" si="387"/>
        <v>0</v>
      </c>
      <c r="N1138" s="168"/>
    </row>
    <row r="1139" spans="1:14" s="282" customFormat="1" outlineLevel="2" x14ac:dyDescent="0.25">
      <c r="A1139" s="276">
        <f t="shared" si="382"/>
        <v>227</v>
      </c>
      <c r="B1139" s="725" t="str">
        <f>$B$227</f>
        <v>8th Grade Teacher</v>
      </c>
      <c r="C1139" s="564" t="s">
        <v>232</v>
      </c>
      <c r="D1139" s="421"/>
      <c r="G1139" s="1290">
        <f t="shared" si="387"/>
        <v>0</v>
      </c>
      <c r="H1139" s="1290">
        <f t="shared" si="387"/>
        <v>0</v>
      </c>
      <c r="I1139" s="1290">
        <f t="shared" si="387"/>
        <v>0</v>
      </c>
      <c r="J1139" s="1290">
        <f t="shared" si="387"/>
        <v>0</v>
      </c>
      <c r="K1139" s="1290">
        <f t="shared" si="387"/>
        <v>0</v>
      </c>
      <c r="L1139" s="1290">
        <f t="shared" si="387"/>
        <v>0</v>
      </c>
      <c r="M1139" s="1290">
        <f t="shared" si="387"/>
        <v>0</v>
      </c>
      <c r="N1139" s="168"/>
    </row>
    <row r="1140" spans="1:14" s="282" customFormat="1" outlineLevel="2" x14ac:dyDescent="0.25">
      <c r="A1140" s="276">
        <f t="shared" si="382"/>
        <v>228</v>
      </c>
      <c r="B1140" s="725" t="str">
        <f>$B$228</f>
        <v>8th Grade Teacher</v>
      </c>
      <c r="C1140" s="564" t="s">
        <v>232</v>
      </c>
      <c r="D1140" s="421"/>
      <c r="G1140" s="1290">
        <f t="shared" si="387"/>
        <v>0</v>
      </c>
      <c r="H1140" s="1290">
        <f t="shared" si="387"/>
        <v>0</v>
      </c>
      <c r="I1140" s="1290">
        <f t="shared" si="387"/>
        <v>0</v>
      </c>
      <c r="J1140" s="1290">
        <f t="shared" si="387"/>
        <v>0</v>
      </c>
      <c r="K1140" s="1290">
        <f t="shared" si="387"/>
        <v>0</v>
      </c>
      <c r="L1140" s="1290">
        <f t="shared" si="387"/>
        <v>0</v>
      </c>
      <c r="M1140" s="1290">
        <f t="shared" si="387"/>
        <v>0</v>
      </c>
      <c r="N1140" s="168"/>
    </row>
    <row r="1141" spans="1:14" s="282" customFormat="1" outlineLevel="2" x14ac:dyDescent="0.25">
      <c r="A1141" s="276">
        <f t="shared" si="382"/>
        <v>229</v>
      </c>
      <c r="B1141" s="725">
        <f>$B$229</f>
        <v>0</v>
      </c>
      <c r="C1141" s="564" t="s">
        <v>232</v>
      </c>
      <c r="D1141" s="421"/>
      <c r="G1141" s="1290">
        <f t="shared" si="387"/>
        <v>0</v>
      </c>
      <c r="H1141" s="1290">
        <f t="shared" si="387"/>
        <v>0</v>
      </c>
      <c r="I1141" s="1290">
        <f t="shared" si="387"/>
        <v>0</v>
      </c>
      <c r="J1141" s="1290">
        <f t="shared" si="387"/>
        <v>0</v>
      </c>
      <c r="K1141" s="1290">
        <f t="shared" si="387"/>
        <v>0</v>
      </c>
      <c r="L1141" s="1290">
        <f t="shared" si="387"/>
        <v>0</v>
      </c>
      <c r="M1141" s="1290">
        <f t="shared" si="387"/>
        <v>0</v>
      </c>
      <c r="N1141" s="168"/>
    </row>
    <row r="1142" spans="1:14" s="282" customFormat="1" outlineLevel="2" x14ac:dyDescent="0.25">
      <c r="A1142" s="276">
        <f t="shared" si="382"/>
        <v>230</v>
      </c>
      <c r="C1142" s="564"/>
      <c r="D1142" s="421"/>
      <c r="G1142" s="1290"/>
      <c r="H1142" s="1290"/>
      <c r="I1142" s="1290"/>
      <c r="J1142" s="1290"/>
      <c r="K1142" s="1290"/>
      <c r="L1142" s="1290"/>
      <c r="M1142" s="1290"/>
      <c r="N1142" s="168"/>
    </row>
    <row r="1143" spans="1:14" s="282" customFormat="1" outlineLevel="2" x14ac:dyDescent="0.25">
      <c r="A1143" s="276">
        <f t="shared" si="382"/>
        <v>231</v>
      </c>
      <c r="B1143" s="282" t="str">
        <f>$B$231</f>
        <v>PE teacher</v>
      </c>
      <c r="C1143" s="564" t="s">
        <v>232</v>
      </c>
      <c r="D1143" s="421"/>
      <c r="G1143" s="1290">
        <f t="shared" ref="G1143:M1147" si="388">G231*$C$93</f>
        <v>0</v>
      </c>
      <c r="H1143" s="1290">
        <f t="shared" si="388"/>
        <v>0</v>
      </c>
      <c r="I1143" s="1290">
        <f t="shared" si="388"/>
        <v>0</v>
      </c>
      <c r="J1143" s="1290">
        <f t="shared" si="388"/>
        <v>0</v>
      </c>
      <c r="K1143" s="1290">
        <f t="shared" si="388"/>
        <v>0</v>
      </c>
      <c r="L1143" s="1290">
        <f t="shared" si="388"/>
        <v>0</v>
      </c>
      <c r="M1143" s="1290">
        <f t="shared" si="388"/>
        <v>0</v>
      </c>
      <c r="N1143" s="168"/>
    </row>
    <row r="1144" spans="1:14" s="282" customFormat="1" outlineLevel="2" x14ac:dyDescent="0.25">
      <c r="A1144" s="276">
        <f t="shared" si="382"/>
        <v>232</v>
      </c>
      <c r="B1144" s="282" t="str">
        <f>$B$232</f>
        <v>PE teacher</v>
      </c>
      <c r="C1144" s="564" t="s">
        <v>232</v>
      </c>
      <c r="D1144" s="421"/>
      <c r="G1144" s="1290">
        <f t="shared" si="388"/>
        <v>0</v>
      </c>
      <c r="H1144" s="1290">
        <f t="shared" si="388"/>
        <v>0</v>
      </c>
      <c r="I1144" s="1290">
        <f t="shared" si="388"/>
        <v>0</v>
      </c>
      <c r="J1144" s="1290">
        <f t="shared" si="388"/>
        <v>0</v>
      </c>
      <c r="K1144" s="1290">
        <f t="shared" si="388"/>
        <v>0</v>
      </c>
      <c r="L1144" s="1290">
        <f t="shared" si="388"/>
        <v>0</v>
      </c>
      <c r="M1144" s="1290">
        <f t="shared" si="388"/>
        <v>0</v>
      </c>
      <c r="N1144" s="168"/>
    </row>
    <row r="1145" spans="1:14" s="282" customFormat="1" outlineLevel="2" x14ac:dyDescent="0.25">
      <c r="A1145" s="276">
        <f t="shared" si="382"/>
        <v>233</v>
      </c>
      <c r="B1145" s="282" t="str">
        <f>$B$233</f>
        <v>Grade Level Teacher</v>
      </c>
      <c r="C1145" s="564" t="s">
        <v>232</v>
      </c>
      <c r="D1145" s="421"/>
      <c r="G1145" s="1290">
        <f t="shared" si="388"/>
        <v>0</v>
      </c>
      <c r="H1145" s="1290">
        <f t="shared" si="388"/>
        <v>0</v>
      </c>
      <c r="I1145" s="1290">
        <f t="shared" si="388"/>
        <v>0</v>
      </c>
      <c r="J1145" s="1290">
        <f t="shared" si="388"/>
        <v>0</v>
      </c>
      <c r="K1145" s="1290">
        <f t="shared" si="388"/>
        <v>0</v>
      </c>
      <c r="L1145" s="1290">
        <f t="shared" si="388"/>
        <v>0</v>
      </c>
      <c r="M1145" s="1290">
        <f t="shared" si="388"/>
        <v>0</v>
      </c>
      <c r="N1145" s="168"/>
    </row>
    <row r="1146" spans="1:14" s="282" customFormat="1" outlineLevel="2" x14ac:dyDescent="0.25">
      <c r="A1146" s="276">
        <f t="shared" si="382"/>
        <v>234</v>
      </c>
      <c r="B1146" s="282" t="str">
        <f>$B$234</f>
        <v>Grade Level Teacher</v>
      </c>
      <c r="C1146" s="564" t="s">
        <v>232</v>
      </c>
      <c r="D1146" s="421"/>
      <c r="G1146" s="1290">
        <f t="shared" si="388"/>
        <v>0</v>
      </c>
      <c r="H1146" s="1290">
        <f t="shared" si="388"/>
        <v>0</v>
      </c>
      <c r="I1146" s="1290">
        <f t="shared" si="388"/>
        <v>0</v>
      </c>
      <c r="J1146" s="1290">
        <f t="shared" si="388"/>
        <v>0</v>
      </c>
      <c r="K1146" s="1290">
        <f t="shared" si="388"/>
        <v>0</v>
      </c>
      <c r="L1146" s="1290">
        <f t="shared" si="388"/>
        <v>0</v>
      </c>
      <c r="M1146" s="1290">
        <f t="shared" si="388"/>
        <v>0</v>
      </c>
      <c r="N1146" s="168"/>
    </row>
    <row r="1147" spans="1:14" s="282" customFormat="1" outlineLevel="2" x14ac:dyDescent="0.25">
      <c r="A1147" s="276">
        <f t="shared" ref="A1147:A1178" si="389">ROW(A235)</f>
        <v>235</v>
      </c>
      <c r="B1147" s="282" t="str">
        <f>$B$235</f>
        <v>Grade Level Teacher</v>
      </c>
      <c r="C1147" s="564" t="s">
        <v>232</v>
      </c>
      <c r="D1147" s="421"/>
      <c r="G1147" s="1290">
        <f t="shared" si="388"/>
        <v>0</v>
      </c>
      <c r="H1147" s="1290">
        <f t="shared" si="388"/>
        <v>0</v>
      </c>
      <c r="I1147" s="1290">
        <f t="shared" si="388"/>
        <v>0</v>
      </c>
      <c r="J1147" s="1290">
        <f t="shared" si="388"/>
        <v>0</v>
      </c>
      <c r="K1147" s="1290">
        <f t="shared" si="388"/>
        <v>0</v>
      </c>
      <c r="L1147" s="1290">
        <f t="shared" si="388"/>
        <v>0</v>
      </c>
      <c r="M1147" s="1290">
        <f t="shared" si="388"/>
        <v>0</v>
      </c>
      <c r="N1147" s="168"/>
    </row>
    <row r="1148" spans="1:14" s="282" customFormat="1" outlineLevel="2" x14ac:dyDescent="0.25">
      <c r="A1148" s="276">
        <f t="shared" si="389"/>
        <v>236</v>
      </c>
      <c r="C1148" s="564"/>
      <c r="D1148" s="421"/>
      <c r="G1148" s="1290"/>
      <c r="H1148" s="1290"/>
      <c r="I1148" s="1290"/>
      <c r="J1148" s="1290"/>
      <c r="K1148" s="1290"/>
      <c r="L1148" s="1290"/>
      <c r="M1148" s="1290"/>
      <c r="N1148" s="168"/>
    </row>
    <row r="1149" spans="1:14" s="282" customFormat="1" outlineLevel="2" x14ac:dyDescent="0.25">
      <c r="A1149" s="276">
        <f t="shared" si="389"/>
        <v>237</v>
      </c>
      <c r="B1149" s="282" t="str">
        <f>$B$237</f>
        <v>STEAM Teacher</v>
      </c>
      <c r="C1149" s="564" t="s">
        <v>232</v>
      </c>
      <c r="D1149" s="421"/>
      <c r="G1149" s="1290">
        <f t="shared" ref="G1149:M1153" si="390">G237*$C$93</f>
        <v>0</v>
      </c>
      <c r="H1149" s="1290">
        <f t="shared" si="390"/>
        <v>0</v>
      </c>
      <c r="I1149" s="1290">
        <f t="shared" si="390"/>
        <v>0</v>
      </c>
      <c r="J1149" s="1290">
        <f t="shared" si="390"/>
        <v>0</v>
      </c>
      <c r="K1149" s="1290">
        <f t="shared" si="390"/>
        <v>0</v>
      </c>
      <c r="L1149" s="1290">
        <f t="shared" si="390"/>
        <v>0</v>
      </c>
      <c r="M1149" s="1290">
        <f t="shared" si="390"/>
        <v>0</v>
      </c>
      <c r="N1149" s="168"/>
    </row>
    <row r="1150" spans="1:14" s="282" customFormat="1" outlineLevel="2" x14ac:dyDescent="0.25">
      <c r="A1150" s="276">
        <f t="shared" si="389"/>
        <v>238</v>
      </c>
      <c r="B1150" s="282" t="str">
        <f>$B$238</f>
        <v>STEAM Teacher</v>
      </c>
      <c r="C1150" s="564" t="s">
        <v>232</v>
      </c>
      <c r="D1150" s="421"/>
      <c r="G1150" s="1290">
        <f t="shared" si="390"/>
        <v>0</v>
      </c>
      <c r="H1150" s="1290">
        <f t="shared" si="390"/>
        <v>0</v>
      </c>
      <c r="I1150" s="1290">
        <f t="shared" si="390"/>
        <v>0</v>
      </c>
      <c r="J1150" s="1290">
        <f t="shared" si="390"/>
        <v>0</v>
      </c>
      <c r="K1150" s="1290">
        <f t="shared" si="390"/>
        <v>0</v>
      </c>
      <c r="L1150" s="1290">
        <f t="shared" si="390"/>
        <v>0</v>
      </c>
      <c r="M1150" s="1290">
        <f t="shared" si="390"/>
        <v>0</v>
      </c>
      <c r="N1150" s="168"/>
    </row>
    <row r="1151" spans="1:14" s="282" customFormat="1" outlineLevel="2" x14ac:dyDescent="0.25">
      <c r="A1151" s="276">
        <f t="shared" si="389"/>
        <v>239</v>
      </c>
      <c r="B1151" s="282" t="str">
        <f>$B$239</f>
        <v>Grade Level Teacher</v>
      </c>
      <c r="C1151" s="564" t="s">
        <v>232</v>
      </c>
      <c r="D1151" s="421"/>
      <c r="G1151" s="1290">
        <f t="shared" si="390"/>
        <v>0</v>
      </c>
      <c r="H1151" s="1290">
        <f t="shared" si="390"/>
        <v>0</v>
      </c>
      <c r="I1151" s="1290">
        <f t="shared" si="390"/>
        <v>0</v>
      </c>
      <c r="J1151" s="1290">
        <f t="shared" si="390"/>
        <v>0</v>
      </c>
      <c r="K1151" s="1290">
        <f t="shared" si="390"/>
        <v>0</v>
      </c>
      <c r="L1151" s="1290">
        <f t="shared" si="390"/>
        <v>0</v>
      </c>
      <c r="M1151" s="1290">
        <f t="shared" si="390"/>
        <v>0</v>
      </c>
      <c r="N1151" s="168"/>
    </row>
    <row r="1152" spans="1:14" s="282" customFormat="1" outlineLevel="2" x14ac:dyDescent="0.25">
      <c r="A1152" s="276">
        <f t="shared" si="389"/>
        <v>240</v>
      </c>
      <c r="B1152" s="282" t="str">
        <f>$B$240</f>
        <v>Grade Level Teacher</v>
      </c>
      <c r="C1152" s="564" t="s">
        <v>232</v>
      </c>
      <c r="D1152" s="421"/>
      <c r="G1152" s="1290">
        <f t="shared" si="390"/>
        <v>0</v>
      </c>
      <c r="H1152" s="1290">
        <f t="shared" si="390"/>
        <v>0</v>
      </c>
      <c r="I1152" s="1290">
        <f t="shared" si="390"/>
        <v>0</v>
      </c>
      <c r="J1152" s="1290">
        <f t="shared" si="390"/>
        <v>0</v>
      </c>
      <c r="K1152" s="1290">
        <f t="shared" si="390"/>
        <v>0</v>
      </c>
      <c r="L1152" s="1290">
        <f t="shared" si="390"/>
        <v>0</v>
      </c>
      <c r="M1152" s="1290">
        <f t="shared" si="390"/>
        <v>0</v>
      </c>
      <c r="N1152" s="168"/>
    </row>
    <row r="1153" spans="1:27" s="282" customFormat="1" outlineLevel="2" x14ac:dyDescent="0.25">
      <c r="A1153" s="276">
        <f t="shared" si="389"/>
        <v>241</v>
      </c>
      <c r="B1153" s="282" t="str">
        <f>$B$241</f>
        <v>Grade Level Teacher</v>
      </c>
      <c r="C1153" s="564" t="s">
        <v>232</v>
      </c>
      <c r="D1153" s="421"/>
      <c r="G1153" s="1290">
        <f t="shared" si="390"/>
        <v>0</v>
      </c>
      <c r="H1153" s="1290">
        <f t="shared" si="390"/>
        <v>0</v>
      </c>
      <c r="I1153" s="1290">
        <f t="shared" si="390"/>
        <v>0</v>
      </c>
      <c r="J1153" s="1290">
        <f t="shared" si="390"/>
        <v>0</v>
      </c>
      <c r="K1153" s="1290">
        <f t="shared" si="390"/>
        <v>0</v>
      </c>
      <c r="L1153" s="1290">
        <f t="shared" si="390"/>
        <v>0</v>
      </c>
      <c r="M1153" s="1290">
        <f t="shared" si="390"/>
        <v>0</v>
      </c>
      <c r="N1153" s="168"/>
    </row>
    <row r="1154" spans="1:27" outlineLevel="2" x14ac:dyDescent="0.25">
      <c r="A1154" s="276">
        <f t="shared" si="389"/>
        <v>242</v>
      </c>
      <c r="B1154" s="282"/>
      <c r="C1154" s="564"/>
      <c r="D1154" s="282"/>
      <c r="G1154" s="1290"/>
      <c r="H1154" s="1290"/>
      <c r="I1154" s="1290"/>
      <c r="J1154" s="1290"/>
      <c r="K1154" s="1290"/>
      <c r="L1154" s="1290"/>
      <c r="M1154" s="1290"/>
      <c r="N1154" s="141"/>
      <c r="R1154" s="282"/>
      <c r="S1154" s="282"/>
      <c r="T1154" s="282"/>
      <c r="U1154" s="282"/>
      <c r="V1154" s="282"/>
      <c r="W1154" s="282"/>
      <c r="X1154" s="282"/>
      <c r="Y1154" s="282"/>
      <c r="Z1154" s="282"/>
      <c r="AA1154" s="282"/>
    </row>
    <row r="1155" spans="1:27" s="282" customFormat="1" outlineLevel="2" x14ac:dyDescent="0.25">
      <c r="A1155" s="276">
        <f t="shared" si="389"/>
        <v>243</v>
      </c>
      <c r="B1155" s="282" t="str">
        <f>$B$243</f>
        <v>Spanish Teacher</v>
      </c>
      <c r="C1155" s="564" t="s">
        <v>232</v>
      </c>
      <c r="D1155" s="421"/>
      <c r="G1155" s="1290">
        <f t="shared" ref="G1155:M1159" si="391">G243*$C$93</f>
        <v>0</v>
      </c>
      <c r="H1155" s="1290">
        <f t="shared" si="391"/>
        <v>0</v>
      </c>
      <c r="I1155" s="1290">
        <f t="shared" si="391"/>
        <v>0</v>
      </c>
      <c r="J1155" s="1290">
        <f t="shared" si="391"/>
        <v>0</v>
      </c>
      <c r="K1155" s="1290">
        <f t="shared" si="391"/>
        <v>0</v>
      </c>
      <c r="L1155" s="1290">
        <f t="shared" si="391"/>
        <v>0</v>
      </c>
      <c r="M1155" s="1290">
        <f t="shared" si="391"/>
        <v>0</v>
      </c>
      <c r="N1155" s="168"/>
    </row>
    <row r="1156" spans="1:27" s="282" customFormat="1" outlineLevel="2" x14ac:dyDescent="0.25">
      <c r="A1156" s="276">
        <f t="shared" si="389"/>
        <v>244</v>
      </c>
      <c r="B1156" s="282" t="str">
        <f>$B$244</f>
        <v>Art Teacher</v>
      </c>
      <c r="C1156" s="564" t="s">
        <v>232</v>
      </c>
      <c r="D1156" s="421"/>
      <c r="G1156" s="1290">
        <f t="shared" si="391"/>
        <v>0</v>
      </c>
      <c r="H1156" s="1290">
        <f t="shared" si="391"/>
        <v>0</v>
      </c>
      <c r="I1156" s="1290">
        <f t="shared" si="391"/>
        <v>0</v>
      </c>
      <c r="J1156" s="1290">
        <f t="shared" si="391"/>
        <v>0</v>
      </c>
      <c r="K1156" s="1290">
        <f t="shared" si="391"/>
        <v>0</v>
      </c>
      <c r="L1156" s="1290">
        <f t="shared" si="391"/>
        <v>0</v>
      </c>
      <c r="M1156" s="1290">
        <f t="shared" si="391"/>
        <v>0</v>
      </c>
      <c r="N1156" s="168"/>
    </row>
    <row r="1157" spans="1:27" s="282" customFormat="1" outlineLevel="2" x14ac:dyDescent="0.25">
      <c r="A1157" s="276">
        <f t="shared" si="389"/>
        <v>245</v>
      </c>
      <c r="B1157" s="282" t="str">
        <f>$B$245</f>
        <v>Grade Level Teacher</v>
      </c>
      <c r="C1157" s="564" t="s">
        <v>232</v>
      </c>
      <c r="D1157" s="421"/>
      <c r="G1157" s="1290">
        <f t="shared" si="391"/>
        <v>0</v>
      </c>
      <c r="H1157" s="1290">
        <f t="shared" si="391"/>
        <v>0</v>
      </c>
      <c r="I1157" s="1290">
        <f t="shared" si="391"/>
        <v>0</v>
      </c>
      <c r="J1157" s="1290">
        <f t="shared" si="391"/>
        <v>0</v>
      </c>
      <c r="K1157" s="1290">
        <f t="shared" si="391"/>
        <v>0</v>
      </c>
      <c r="L1157" s="1290">
        <f t="shared" si="391"/>
        <v>0</v>
      </c>
      <c r="M1157" s="1290">
        <f t="shared" si="391"/>
        <v>0</v>
      </c>
      <c r="N1157" s="168"/>
    </row>
    <row r="1158" spans="1:27" s="282" customFormat="1" outlineLevel="2" x14ac:dyDescent="0.25">
      <c r="A1158" s="276">
        <f t="shared" si="389"/>
        <v>246</v>
      </c>
      <c r="B1158" s="282" t="str">
        <f>$B$246</f>
        <v>Grade Level Teacher</v>
      </c>
      <c r="C1158" s="564" t="s">
        <v>232</v>
      </c>
      <c r="D1158" s="421"/>
      <c r="G1158" s="1290">
        <f t="shared" si="391"/>
        <v>0</v>
      </c>
      <c r="H1158" s="1290">
        <f t="shared" si="391"/>
        <v>0</v>
      </c>
      <c r="I1158" s="1290">
        <f t="shared" si="391"/>
        <v>0</v>
      </c>
      <c r="J1158" s="1290">
        <f t="shared" si="391"/>
        <v>0</v>
      </c>
      <c r="K1158" s="1290">
        <f t="shared" si="391"/>
        <v>0</v>
      </c>
      <c r="L1158" s="1290">
        <f t="shared" si="391"/>
        <v>0</v>
      </c>
      <c r="M1158" s="1290">
        <f t="shared" si="391"/>
        <v>0</v>
      </c>
      <c r="N1158" s="168"/>
    </row>
    <row r="1159" spans="1:27" s="282" customFormat="1" outlineLevel="2" x14ac:dyDescent="0.25">
      <c r="A1159" s="276">
        <f t="shared" si="389"/>
        <v>247</v>
      </c>
      <c r="B1159" s="282" t="str">
        <f>$B$247</f>
        <v>Grade Level Teacher</v>
      </c>
      <c r="C1159" s="564" t="s">
        <v>232</v>
      </c>
      <c r="D1159" s="421"/>
      <c r="G1159" s="1290">
        <f t="shared" si="391"/>
        <v>0</v>
      </c>
      <c r="H1159" s="1290">
        <f t="shared" si="391"/>
        <v>0</v>
      </c>
      <c r="I1159" s="1290">
        <f t="shared" si="391"/>
        <v>0</v>
      </c>
      <c r="J1159" s="1290">
        <f t="shared" si="391"/>
        <v>0</v>
      </c>
      <c r="K1159" s="1290">
        <f t="shared" si="391"/>
        <v>0</v>
      </c>
      <c r="L1159" s="1290">
        <f t="shared" si="391"/>
        <v>0</v>
      </c>
      <c r="M1159" s="1290">
        <f t="shared" si="391"/>
        <v>0</v>
      </c>
      <c r="N1159" s="168"/>
    </row>
    <row r="1160" spans="1:27" outlineLevel="2" x14ac:dyDescent="0.25">
      <c r="A1160" s="276">
        <f t="shared" si="389"/>
        <v>248</v>
      </c>
      <c r="B1160" s="282"/>
      <c r="C1160" s="564"/>
      <c r="D1160" s="282"/>
      <c r="G1160" s="1290"/>
      <c r="H1160" s="1290"/>
      <c r="I1160" s="1290"/>
      <c r="J1160" s="1290"/>
      <c r="K1160" s="1290"/>
      <c r="L1160" s="1290"/>
      <c r="M1160" s="1290"/>
      <c r="N1160" s="141"/>
      <c r="R1160" s="282"/>
      <c r="S1160" s="282"/>
      <c r="T1160" s="282"/>
      <c r="U1160" s="282"/>
      <c r="V1160" s="282"/>
      <c r="W1160" s="282"/>
      <c r="X1160" s="282"/>
      <c r="Y1160" s="282"/>
      <c r="Z1160" s="282"/>
      <c r="AA1160" s="282"/>
    </row>
    <row r="1161" spans="1:27" s="282" customFormat="1" outlineLevel="2" x14ac:dyDescent="0.25">
      <c r="A1161" s="276">
        <f t="shared" si="389"/>
        <v>249</v>
      </c>
      <c r="B1161" s="282" t="str">
        <f>$B$249</f>
        <v>Grade Level Teacher</v>
      </c>
      <c r="C1161" s="564" t="s">
        <v>232</v>
      </c>
      <c r="D1161" s="421"/>
      <c r="G1161" s="1290">
        <f t="shared" ref="G1161:M1165" si="392">G249*$C$93</f>
        <v>0</v>
      </c>
      <c r="H1161" s="1290">
        <f t="shared" si="392"/>
        <v>0</v>
      </c>
      <c r="I1161" s="1290">
        <f t="shared" si="392"/>
        <v>0</v>
      </c>
      <c r="J1161" s="1290">
        <f t="shared" si="392"/>
        <v>0</v>
      </c>
      <c r="K1161" s="1290">
        <f t="shared" si="392"/>
        <v>0</v>
      </c>
      <c r="L1161" s="1290">
        <f t="shared" si="392"/>
        <v>0</v>
      </c>
      <c r="M1161" s="1290">
        <f t="shared" si="392"/>
        <v>0</v>
      </c>
      <c r="N1161" s="168"/>
    </row>
    <row r="1162" spans="1:27" s="282" customFormat="1" outlineLevel="2" x14ac:dyDescent="0.25">
      <c r="A1162" s="276">
        <f t="shared" si="389"/>
        <v>250</v>
      </c>
      <c r="B1162" s="282" t="str">
        <f>$B$250</f>
        <v>Grade Level Teacher</v>
      </c>
      <c r="C1162" s="564" t="s">
        <v>232</v>
      </c>
      <c r="D1162" s="421"/>
      <c r="G1162" s="1290">
        <f t="shared" si="392"/>
        <v>0</v>
      </c>
      <c r="H1162" s="1290">
        <f t="shared" si="392"/>
        <v>0</v>
      </c>
      <c r="I1162" s="1290">
        <f t="shared" si="392"/>
        <v>0</v>
      </c>
      <c r="J1162" s="1290">
        <f t="shared" si="392"/>
        <v>0</v>
      </c>
      <c r="K1162" s="1290">
        <f t="shared" si="392"/>
        <v>0</v>
      </c>
      <c r="L1162" s="1290">
        <f t="shared" si="392"/>
        <v>0</v>
      </c>
      <c r="M1162" s="1290">
        <f t="shared" si="392"/>
        <v>0</v>
      </c>
      <c r="N1162" s="168"/>
    </row>
    <row r="1163" spans="1:27" s="282" customFormat="1" outlineLevel="2" x14ac:dyDescent="0.25">
      <c r="A1163" s="276">
        <f t="shared" si="389"/>
        <v>251</v>
      </c>
      <c r="B1163" s="282" t="str">
        <f>$B$251</f>
        <v>Grade Level Teacher</v>
      </c>
      <c r="C1163" s="564" t="s">
        <v>232</v>
      </c>
      <c r="D1163" s="421"/>
      <c r="G1163" s="1290">
        <f t="shared" si="392"/>
        <v>0</v>
      </c>
      <c r="H1163" s="1290">
        <f t="shared" si="392"/>
        <v>0</v>
      </c>
      <c r="I1163" s="1290">
        <f t="shared" si="392"/>
        <v>0</v>
      </c>
      <c r="J1163" s="1290">
        <f t="shared" si="392"/>
        <v>0</v>
      </c>
      <c r="K1163" s="1290">
        <f t="shared" si="392"/>
        <v>0</v>
      </c>
      <c r="L1163" s="1290">
        <f t="shared" si="392"/>
        <v>0</v>
      </c>
      <c r="M1163" s="1290">
        <f t="shared" si="392"/>
        <v>0</v>
      </c>
      <c r="N1163" s="168"/>
    </row>
    <row r="1164" spans="1:27" s="282" customFormat="1" outlineLevel="2" x14ac:dyDescent="0.25">
      <c r="A1164" s="276">
        <f t="shared" si="389"/>
        <v>252</v>
      </c>
      <c r="B1164" s="282" t="str">
        <f>$B$252</f>
        <v>Grade Level Teacher</v>
      </c>
      <c r="C1164" s="564" t="s">
        <v>232</v>
      </c>
      <c r="D1164" s="421"/>
      <c r="G1164" s="1290">
        <f t="shared" si="392"/>
        <v>0</v>
      </c>
      <c r="H1164" s="1290">
        <f t="shared" si="392"/>
        <v>0</v>
      </c>
      <c r="I1164" s="1290">
        <f t="shared" si="392"/>
        <v>0</v>
      </c>
      <c r="J1164" s="1290">
        <f t="shared" si="392"/>
        <v>0</v>
      </c>
      <c r="K1164" s="1290">
        <f t="shared" si="392"/>
        <v>0</v>
      </c>
      <c r="L1164" s="1290">
        <f t="shared" si="392"/>
        <v>0</v>
      </c>
      <c r="M1164" s="1290">
        <f t="shared" si="392"/>
        <v>0</v>
      </c>
      <c r="N1164" s="168"/>
    </row>
    <row r="1165" spans="1:27" s="282" customFormat="1" outlineLevel="2" x14ac:dyDescent="0.25">
      <c r="A1165" s="276">
        <f t="shared" si="389"/>
        <v>253</v>
      </c>
      <c r="B1165" s="282" t="str">
        <f>$B$253</f>
        <v>Grade Level Teacher</v>
      </c>
      <c r="C1165" s="564" t="s">
        <v>232</v>
      </c>
      <c r="D1165" s="421"/>
      <c r="G1165" s="1290">
        <f t="shared" si="392"/>
        <v>0</v>
      </c>
      <c r="H1165" s="1290">
        <f t="shared" si="392"/>
        <v>0</v>
      </c>
      <c r="I1165" s="1290">
        <f t="shared" si="392"/>
        <v>0</v>
      </c>
      <c r="J1165" s="1290">
        <f t="shared" si="392"/>
        <v>0</v>
      </c>
      <c r="K1165" s="1290">
        <f t="shared" si="392"/>
        <v>0</v>
      </c>
      <c r="L1165" s="1290">
        <f t="shared" si="392"/>
        <v>0</v>
      </c>
      <c r="M1165" s="1290">
        <f t="shared" si="392"/>
        <v>0</v>
      </c>
      <c r="N1165" s="168"/>
    </row>
    <row r="1166" spans="1:27" s="282" customFormat="1" outlineLevel="2" x14ac:dyDescent="0.25">
      <c r="A1166" s="276">
        <f t="shared" si="389"/>
        <v>254</v>
      </c>
      <c r="C1166" s="564"/>
      <c r="D1166" s="421"/>
      <c r="G1166" s="1290"/>
      <c r="H1166" s="1290"/>
      <c r="I1166" s="1290"/>
      <c r="J1166" s="1290"/>
      <c r="K1166" s="1290"/>
      <c r="L1166" s="1290"/>
      <c r="M1166" s="1290"/>
      <c r="N1166" s="168"/>
    </row>
    <row r="1167" spans="1:27" s="282" customFormat="1" outlineLevel="2" x14ac:dyDescent="0.25">
      <c r="A1167" s="276">
        <f t="shared" si="389"/>
        <v>255</v>
      </c>
      <c r="B1167" s="282" t="str">
        <f>$B$255</f>
        <v>Grade Level Teacher</v>
      </c>
      <c r="C1167" s="564" t="s">
        <v>232</v>
      </c>
      <c r="D1167" s="421"/>
      <c r="G1167" s="1290">
        <f t="shared" ref="G1167:M1171" si="393">G255*$C$93</f>
        <v>0</v>
      </c>
      <c r="H1167" s="1290">
        <f t="shared" si="393"/>
        <v>0</v>
      </c>
      <c r="I1167" s="1290">
        <f t="shared" si="393"/>
        <v>0</v>
      </c>
      <c r="J1167" s="1290">
        <f t="shared" si="393"/>
        <v>0</v>
      </c>
      <c r="K1167" s="1290">
        <f t="shared" si="393"/>
        <v>0</v>
      </c>
      <c r="L1167" s="1290">
        <f t="shared" si="393"/>
        <v>0</v>
      </c>
      <c r="M1167" s="1290">
        <f t="shared" si="393"/>
        <v>0</v>
      </c>
      <c r="N1167" s="168"/>
    </row>
    <row r="1168" spans="1:27" s="282" customFormat="1" outlineLevel="2" x14ac:dyDescent="0.25">
      <c r="A1168" s="276">
        <f t="shared" si="389"/>
        <v>256</v>
      </c>
      <c r="B1168" s="282" t="str">
        <f>$B$256</f>
        <v>Grade Level Teacher</v>
      </c>
      <c r="C1168" s="564" t="s">
        <v>232</v>
      </c>
      <c r="D1168" s="421"/>
      <c r="G1168" s="1290">
        <f t="shared" si="393"/>
        <v>0</v>
      </c>
      <c r="H1168" s="1290">
        <f t="shared" si="393"/>
        <v>0</v>
      </c>
      <c r="I1168" s="1290">
        <f t="shared" si="393"/>
        <v>0</v>
      </c>
      <c r="J1168" s="1290">
        <f t="shared" si="393"/>
        <v>0</v>
      </c>
      <c r="K1168" s="1290">
        <f t="shared" si="393"/>
        <v>0</v>
      </c>
      <c r="L1168" s="1290">
        <f t="shared" si="393"/>
        <v>0</v>
      </c>
      <c r="M1168" s="1290">
        <f t="shared" si="393"/>
        <v>0</v>
      </c>
      <c r="N1168" s="168"/>
    </row>
    <row r="1169" spans="1:27" s="282" customFormat="1" outlineLevel="2" x14ac:dyDescent="0.25">
      <c r="A1169" s="276">
        <f t="shared" si="389"/>
        <v>257</v>
      </c>
      <c r="B1169" s="282" t="str">
        <f>$B$257</f>
        <v>Grade Level Teacher</v>
      </c>
      <c r="C1169" s="564" t="s">
        <v>232</v>
      </c>
      <c r="D1169" s="421"/>
      <c r="G1169" s="1290">
        <f t="shared" si="393"/>
        <v>0</v>
      </c>
      <c r="H1169" s="1290">
        <f t="shared" si="393"/>
        <v>0</v>
      </c>
      <c r="I1169" s="1290">
        <f t="shared" si="393"/>
        <v>0</v>
      </c>
      <c r="J1169" s="1290">
        <f t="shared" si="393"/>
        <v>0</v>
      </c>
      <c r="K1169" s="1290">
        <f t="shared" si="393"/>
        <v>0</v>
      </c>
      <c r="L1169" s="1290">
        <f t="shared" si="393"/>
        <v>0</v>
      </c>
      <c r="M1169" s="1290">
        <f t="shared" si="393"/>
        <v>0</v>
      </c>
      <c r="N1169" s="168"/>
    </row>
    <row r="1170" spans="1:27" s="282" customFormat="1" outlineLevel="2" x14ac:dyDescent="0.25">
      <c r="A1170" s="276">
        <f t="shared" si="389"/>
        <v>258</v>
      </c>
      <c r="B1170" s="282" t="str">
        <f>$B$258</f>
        <v>Grade Level Teacher</v>
      </c>
      <c r="C1170" s="564" t="s">
        <v>232</v>
      </c>
      <c r="D1170" s="421"/>
      <c r="G1170" s="1290">
        <f t="shared" si="393"/>
        <v>0</v>
      </c>
      <c r="H1170" s="1290">
        <f t="shared" si="393"/>
        <v>0</v>
      </c>
      <c r="I1170" s="1290">
        <f t="shared" si="393"/>
        <v>0</v>
      </c>
      <c r="J1170" s="1290">
        <f t="shared" si="393"/>
        <v>0</v>
      </c>
      <c r="K1170" s="1290">
        <f t="shared" si="393"/>
        <v>0</v>
      </c>
      <c r="L1170" s="1290">
        <f t="shared" si="393"/>
        <v>0</v>
      </c>
      <c r="M1170" s="1290">
        <f t="shared" si="393"/>
        <v>0</v>
      </c>
      <c r="N1170" s="168"/>
    </row>
    <row r="1171" spans="1:27" s="282" customFormat="1" outlineLevel="2" x14ac:dyDescent="0.25">
      <c r="A1171" s="276">
        <f t="shared" si="389"/>
        <v>259</v>
      </c>
      <c r="B1171" s="282" t="str">
        <f>$B$259</f>
        <v>Grade Level Teacher</v>
      </c>
      <c r="C1171" s="564" t="s">
        <v>232</v>
      </c>
      <c r="D1171" s="421"/>
      <c r="G1171" s="1290">
        <f t="shared" si="393"/>
        <v>0</v>
      </c>
      <c r="H1171" s="1290">
        <f t="shared" si="393"/>
        <v>0</v>
      </c>
      <c r="I1171" s="1290">
        <f t="shared" si="393"/>
        <v>0</v>
      </c>
      <c r="J1171" s="1290">
        <f t="shared" si="393"/>
        <v>0</v>
      </c>
      <c r="K1171" s="1290">
        <f t="shared" si="393"/>
        <v>0</v>
      </c>
      <c r="L1171" s="1290">
        <f t="shared" si="393"/>
        <v>0</v>
      </c>
      <c r="M1171" s="1290">
        <f t="shared" si="393"/>
        <v>0</v>
      </c>
      <c r="N1171" s="168"/>
    </row>
    <row r="1172" spans="1:27" s="282" customFormat="1" outlineLevel="2" x14ac:dyDescent="0.25">
      <c r="A1172" s="276">
        <f t="shared" si="389"/>
        <v>260</v>
      </c>
      <c r="C1172" s="564"/>
      <c r="D1172" s="421"/>
      <c r="G1172" s="1290"/>
      <c r="H1172" s="1290"/>
      <c r="I1172" s="1290"/>
      <c r="J1172" s="1290"/>
      <c r="K1172" s="1290"/>
      <c r="L1172" s="1290"/>
      <c r="M1172" s="1290"/>
      <c r="N1172" s="168"/>
    </row>
    <row r="1173" spans="1:27" s="282" customFormat="1" outlineLevel="2" x14ac:dyDescent="0.25">
      <c r="A1173" s="276">
        <f t="shared" si="389"/>
        <v>261</v>
      </c>
      <c r="B1173" s="282" t="str">
        <f>$B$261</f>
        <v>Grade Level Teacher</v>
      </c>
      <c r="C1173" s="564" t="s">
        <v>232</v>
      </c>
      <c r="D1173" s="421"/>
      <c r="G1173" s="1290">
        <f t="shared" ref="G1173:M1177" si="394">G261*$C$93</f>
        <v>0</v>
      </c>
      <c r="H1173" s="1290">
        <f t="shared" si="394"/>
        <v>0</v>
      </c>
      <c r="I1173" s="1290">
        <f t="shared" si="394"/>
        <v>0</v>
      </c>
      <c r="J1173" s="1290">
        <f t="shared" si="394"/>
        <v>0</v>
      </c>
      <c r="K1173" s="1290">
        <f t="shared" si="394"/>
        <v>0</v>
      </c>
      <c r="L1173" s="1290">
        <f t="shared" si="394"/>
        <v>0</v>
      </c>
      <c r="M1173" s="1290">
        <f t="shared" si="394"/>
        <v>0</v>
      </c>
      <c r="N1173" s="168"/>
    </row>
    <row r="1174" spans="1:27" s="282" customFormat="1" outlineLevel="2" x14ac:dyDescent="0.25">
      <c r="A1174" s="276">
        <f t="shared" si="389"/>
        <v>262</v>
      </c>
      <c r="B1174" s="282" t="str">
        <f>$B$262</f>
        <v>Grade Level Teacher</v>
      </c>
      <c r="C1174" s="564" t="s">
        <v>232</v>
      </c>
      <c r="D1174" s="421"/>
      <c r="G1174" s="1290">
        <f t="shared" si="394"/>
        <v>0</v>
      </c>
      <c r="H1174" s="1290">
        <f t="shared" si="394"/>
        <v>0</v>
      </c>
      <c r="I1174" s="1290">
        <f t="shared" si="394"/>
        <v>0</v>
      </c>
      <c r="J1174" s="1290">
        <f t="shared" si="394"/>
        <v>0</v>
      </c>
      <c r="K1174" s="1290">
        <f t="shared" si="394"/>
        <v>0</v>
      </c>
      <c r="L1174" s="1290">
        <f t="shared" si="394"/>
        <v>0</v>
      </c>
      <c r="M1174" s="1290">
        <f t="shared" si="394"/>
        <v>0</v>
      </c>
      <c r="N1174" s="168"/>
    </row>
    <row r="1175" spans="1:27" s="282" customFormat="1" outlineLevel="2" x14ac:dyDescent="0.25">
      <c r="A1175" s="276">
        <f t="shared" si="389"/>
        <v>263</v>
      </c>
      <c r="B1175" s="282" t="str">
        <f>$B$263</f>
        <v>Grade Level Teacher</v>
      </c>
      <c r="C1175" s="564" t="s">
        <v>232</v>
      </c>
      <c r="D1175" s="421"/>
      <c r="G1175" s="1290">
        <f t="shared" si="394"/>
        <v>0</v>
      </c>
      <c r="H1175" s="1290">
        <f t="shared" si="394"/>
        <v>0</v>
      </c>
      <c r="I1175" s="1290">
        <f t="shared" si="394"/>
        <v>0</v>
      </c>
      <c r="J1175" s="1290">
        <f t="shared" si="394"/>
        <v>0</v>
      </c>
      <c r="K1175" s="1290">
        <f t="shared" si="394"/>
        <v>0</v>
      </c>
      <c r="L1175" s="1290">
        <f t="shared" si="394"/>
        <v>0</v>
      </c>
      <c r="M1175" s="1290">
        <f t="shared" si="394"/>
        <v>0</v>
      </c>
      <c r="N1175" s="168"/>
    </row>
    <row r="1176" spans="1:27" s="282" customFormat="1" outlineLevel="2" x14ac:dyDescent="0.25">
      <c r="A1176" s="276">
        <f t="shared" si="389"/>
        <v>264</v>
      </c>
      <c r="B1176" s="282" t="str">
        <f>$B$264</f>
        <v>Grade Level Teacher</v>
      </c>
      <c r="C1176" s="564" t="s">
        <v>232</v>
      </c>
      <c r="D1176" s="421"/>
      <c r="G1176" s="1290">
        <f t="shared" si="394"/>
        <v>0</v>
      </c>
      <c r="H1176" s="1290">
        <f t="shared" si="394"/>
        <v>0</v>
      </c>
      <c r="I1176" s="1290">
        <f t="shared" si="394"/>
        <v>0</v>
      </c>
      <c r="J1176" s="1290">
        <f t="shared" si="394"/>
        <v>0</v>
      </c>
      <c r="K1176" s="1290">
        <f t="shared" si="394"/>
        <v>0</v>
      </c>
      <c r="L1176" s="1290">
        <f t="shared" si="394"/>
        <v>0</v>
      </c>
      <c r="M1176" s="1290">
        <f t="shared" si="394"/>
        <v>0</v>
      </c>
      <c r="N1176" s="168"/>
    </row>
    <row r="1177" spans="1:27" s="282" customFormat="1" outlineLevel="2" x14ac:dyDescent="0.25">
      <c r="A1177" s="276">
        <f t="shared" si="389"/>
        <v>265</v>
      </c>
      <c r="B1177" s="282" t="str">
        <f>$B$265</f>
        <v>Grade Level Teacher</v>
      </c>
      <c r="C1177" s="564" t="s">
        <v>232</v>
      </c>
      <c r="D1177" s="421"/>
      <c r="G1177" s="1290">
        <f t="shared" si="394"/>
        <v>0</v>
      </c>
      <c r="H1177" s="1290">
        <f t="shared" si="394"/>
        <v>0</v>
      </c>
      <c r="I1177" s="1290">
        <f t="shared" si="394"/>
        <v>0</v>
      </c>
      <c r="J1177" s="1290">
        <f t="shared" si="394"/>
        <v>0</v>
      </c>
      <c r="K1177" s="1290">
        <f t="shared" si="394"/>
        <v>0</v>
      </c>
      <c r="L1177" s="1290">
        <f t="shared" si="394"/>
        <v>0</v>
      </c>
      <c r="M1177" s="1290">
        <f t="shared" si="394"/>
        <v>0</v>
      </c>
      <c r="N1177" s="168"/>
    </row>
    <row r="1178" spans="1:27" outlineLevel="2" x14ac:dyDescent="0.25">
      <c r="A1178" s="276">
        <f t="shared" si="389"/>
        <v>266</v>
      </c>
      <c r="B1178" s="282"/>
      <c r="C1178" s="564" t="s">
        <v>232</v>
      </c>
      <c r="D1178" s="282"/>
      <c r="G1178" s="1290"/>
      <c r="H1178" s="1290"/>
      <c r="I1178" s="1290"/>
      <c r="J1178" s="1290"/>
      <c r="K1178" s="1290"/>
      <c r="L1178" s="1290"/>
      <c r="M1178" s="1290"/>
      <c r="N1178" s="141"/>
      <c r="R1178" s="282"/>
      <c r="S1178" s="282"/>
      <c r="T1178" s="282"/>
      <c r="U1178" s="282"/>
      <c r="V1178" s="282"/>
      <c r="W1178" s="282"/>
      <c r="X1178" s="282"/>
      <c r="Y1178" s="282"/>
      <c r="Z1178" s="282"/>
      <c r="AA1178" s="282"/>
    </row>
    <row r="1179" spans="1:27" outlineLevel="2" x14ac:dyDescent="0.25">
      <c r="A1179" s="276">
        <f t="shared" ref="A1179" si="395">ROW(A267)</f>
        <v>267</v>
      </c>
      <c r="B1179" s="545" t="s">
        <v>235</v>
      </c>
      <c r="C1179" s="708"/>
      <c r="D1179" s="545"/>
      <c r="E1179" s="517"/>
      <c r="F1179" s="517"/>
      <c r="G1179" s="1291">
        <f t="shared" ref="G1179:M1179" si="396">SUM(G1084:G1177)</f>
        <v>0</v>
      </c>
      <c r="H1179" s="1291">
        <f t="shared" si="396"/>
        <v>0</v>
      </c>
      <c r="I1179" s="1291">
        <f t="shared" si="396"/>
        <v>0</v>
      </c>
      <c r="J1179" s="1291">
        <f t="shared" si="396"/>
        <v>0</v>
      </c>
      <c r="K1179" s="1291">
        <f t="shared" si="396"/>
        <v>0</v>
      </c>
      <c r="L1179" s="1291">
        <f t="shared" si="396"/>
        <v>0</v>
      </c>
      <c r="M1179" s="1291">
        <f t="shared" si="396"/>
        <v>0</v>
      </c>
      <c r="N1179" s="141"/>
      <c r="R1179" s="282"/>
      <c r="S1179" s="282"/>
      <c r="T1179" s="282"/>
      <c r="U1179" s="282"/>
      <c r="V1179" s="282"/>
      <c r="W1179" s="282"/>
      <c r="X1179" s="282"/>
      <c r="Y1179" s="282"/>
      <c r="Z1179" s="282"/>
      <c r="AA1179" s="282"/>
    </row>
    <row r="1180" spans="1:27" outlineLevel="2" x14ac:dyDescent="0.25">
      <c r="A1180" s="276">
        <f t="shared" ref="A1180:A1193" si="397">ROW(A266)</f>
        <v>266</v>
      </c>
      <c r="B1180" s="282"/>
      <c r="C1180" s="564"/>
      <c r="D1180" s="282"/>
      <c r="G1180" s="1290"/>
      <c r="H1180" s="1290"/>
      <c r="I1180" s="1290"/>
      <c r="J1180" s="1290"/>
      <c r="K1180" s="1290"/>
      <c r="L1180" s="1290"/>
      <c r="M1180" s="1290"/>
      <c r="N1180" s="141"/>
      <c r="R1180" s="282"/>
      <c r="S1180" s="282"/>
      <c r="T1180" s="282"/>
      <c r="U1180" s="282"/>
      <c r="V1180" s="282"/>
      <c r="W1180" s="282"/>
      <c r="X1180" s="282"/>
      <c r="Y1180" s="282"/>
      <c r="Z1180" s="282"/>
      <c r="AA1180" s="282"/>
    </row>
    <row r="1181" spans="1:27" outlineLevel="2" x14ac:dyDescent="0.25">
      <c r="A1181" s="276">
        <f t="shared" si="397"/>
        <v>267</v>
      </c>
      <c r="B1181" s="282"/>
      <c r="C1181" s="564"/>
      <c r="D1181" s="282"/>
      <c r="G1181" s="1290"/>
      <c r="H1181" s="1290"/>
      <c r="I1181" s="1290"/>
      <c r="J1181" s="1290"/>
      <c r="K1181" s="1290"/>
      <c r="L1181" s="1290"/>
      <c r="M1181" s="1290"/>
      <c r="N1181" s="141"/>
      <c r="R1181" s="282"/>
      <c r="S1181" s="282"/>
      <c r="T1181" s="282"/>
      <c r="U1181" s="282"/>
      <c r="V1181" s="282"/>
      <c r="W1181" s="282"/>
      <c r="X1181" s="282"/>
      <c r="Y1181" s="282"/>
      <c r="Z1181" s="282"/>
      <c r="AA1181" s="282"/>
    </row>
    <row r="1182" spans="1:27" ht="15.75" outlineLevel="1" x14ac:dyDescent="0.25">
      <c r="A1182" s="276">
        <f t="shared" si="397"/>
        <v>268</v>
      </c>
      <c r="B1182" s="746" t="s">
        <v>236</v>
      </c>
      <c r="C1182" s="747"/>
      <c r="D1182" s="529"/>
      <c r="E1182" s="517"/>
      <c r="F1182" s="517"/>
      <c r="G1182" s="1292">
        <f t="shared" ref="G1182:M1182" si="398">G1179+G1081+G1043</f>
        <v>0</v>
      </c>
      <c r="H1182" s="1292">
        <f t="shared" si="398"/>
        <v>0</v>
      </c>
      <c r="I1182" s="1292">
        <f t="shared" si="398"/>
        <v>0</v>
      </c>
      <c r="J1182" s="1292">
        <f t="shared" si="398"/>
        <v>0</v>
      </c>
      <c r="K1182" s="1292">
        <f t="shared" si="398"/>
        <v>0</v>
      </c>
      <c r="L1182" s="1292">
        <f t="shared" si="398"/>
        <v>0</v>
      </c>
      <c r="M1182" s="1292">
        <f t="shared" si="398"/>
        <v>0</v>
      </c>
      <c r="N1182" s="141"/>
      <c r="R1182" s="282"/>
      <c r="S1182" s="282"/>
      <c r="T1182" s="282"/>
      <c r="U1182" s="282"/>
      <c r="V1182" s="282"/>
      <c r="W1182" s="282"/>
      <c r="X1182" s="282"/>
      <c r="Y1182" s="282"/>
      <c r="Z1182" s="282"/>
      <c r="AA1182" s="282"/>
    </row>
    <row r="1183" spans="1:27" s="221" customFormat="1" outlineLevel="1" x14ac:dyDescent="0.25">
      <c r="A1183" s="276">
        <f t="shared" si="397"/>
        <v>269</v>
      </c>
      <c r="B1183" s="244"/>
      <c r="C1183" s="563"/>
      <c r="D1183" s="244"/>
      <c r="G1183" s="150"/>
      <c r="H1183" s="1293"/>
      <c r="I1183" s="1293"/>
      <c r="J1183" s="1293"/>
      <c r="K1183" s="1293"/>
      <c r="L1183" s="1293"/>
      <c r="M1183" s="1293"/>
      <c r="N1183" s="150"/>
      <c r="R1183" s="282"/>
      <c r="S1183" s="282"/>
      <c r="T1183" s="282"/>
      <c r="U1183" s="282"/>
      <c r="V1183" s="282"/>
      <c r="W1183" s="282"/>
      <c r="X1183" s="282"/>
      <c r="Y1183" s="282"/>
      <c r="Z1183" s="282"/>
      <c r="AA1183" s="282"/>
    </row>
    <row r="1184" spans="1:27" s="282" customFormat="1" ht="15.75" outlineLevel="2" x14ac:dyDescent="0.25">
      <c r="A1184" s="276">
        <f t="shared" si="397"/>
        <v>270</v>
      </c>
      <c r="B1184" s="742" t="s">
        <v>737</v>
      </c>
      <c r="C1184" s="743"/>
      <c r="D1184" s="744"/>
      <c r="E1184" s="289"/>
      <c r="F1184" s="289"/>
      <c r="G1184" s="1299"/>
      <c r="H1184" s="1299"/>
      <c r="I1184" s="1299"/>
      <c r="J1184" s="1299"/>
      <c r="K1184" s="1299"/>
      <c r="L1184" s="1299"/>
      <c r="M1184" s="1299"/>
      <c r="N1184" s="168"/>
    </row>
    <row r="1185" spans="1:27" s="282" customFormat="1" outlineLevel="2" x14ac:dyDescent="0.25">
      <c r="A1185" s="276">
        <f t="shared" si="397"/>
        <v>271</v>
      </c>
      <c r="C1185" s="563"/>
      <c r="D1185" s="421"/>
      <c r="G1185" s="1054"/>
      <c r="H1185" s="1054"/>
      <c r="I1185" s="1054"/>
      <c r="J1185" s="1054"/>
      <c r="K1185" s="1054"/>
      <c r="L1185" s="1054"/>
      <c r="M1185" s="1054"/>
      <c r="N1185" s="168"/>
    </row>
    <row r="1186" spans="1:27" outlineLevel="2" x14ac:dyDescent="0.25">
      <c r="A1186" s="276">
        <f t="shared" si="397"/>
        <v>272</v>
      </c>
      <c r="B1186" s="728" t="str">
        <f>$B$113</f>
        <v>Administrators</v>
      </c>
      <c r="C1186" s="723"/>
      <c r="D1186" s="289"/>
      <c r="E1186" s="275"/>
      <c r="F1186" s="275"/>
      <c r="G1186" s="1295"/>
      <c r="H1186" s="1295"/>
      <c r="I1186" s="1295"/>
      <c r="J1186" s="1295"/>
      <c r="K1186" s="1295"/>
      <c r="L1186" s="1295"/>
      <c r="M1186" s="1295"/>
      <c r="N1186" s="141"/>
      <c r="R1186" s="282"/>
      <c r="S1186" s="282"/>
      <c r="T1186" s="282"/>
      <c r="U1186" s="282"/>
      <c r="V1186" s="282"/>
      <c r="W1186" s="282"/>
      <c r="X1186" s="282"/>
      <c r="Y1186" s="282"/>
      <c r="Z1186" s="282"/>
      <c r="AA1186" s="282"/>
    </row>
    <row r="1187" spans="1:27" outlineLevel="2" x14ac:dyDescent="0.25">
      <c r="A1187" s="276">
        <f t="shared" si="397"/>
        <v>273</v>
      </c>
      <c r="B1187" s="282" t="str">
        <f>$B$114</f>
        <v>Principal</v>
      </c>
      <c r="C1187" s="564"/>
      <c r="D1187" s="282"/>
      <c r="G1187" s="1290">
        <f t="shared" ref="G1187:M1191" si="399">G114*$C$94</f>
        <v>0</v>
      </c>
      <c r="H1187" s="1290">
        <f t="shared" si="399"/>
        <v>0</v>
      </c>
      <c r="I1187" s="1290">
        <f t="shared" si="399"/>
        <v>0</v>
      </c>
      <c r="J1187" s="1290">
        <f t="shared" si="399"/>
        <v>0</v>
      </c>
      <c r="K1187" s="1290">
        <f t="shared" si="399"/>
        <v>0</v>
      </c>
      <c r="L1187" s="1290">
        <f t="shared" si="399"/>
        <v>0</v>
      </c>
      <c r="M1187" s="1290">
        <f t="shared" si="399"/>
        <v>0</v>
      </c>
      <c r="N1187" s="141"/>
      <c r="R1187" s="282"/>
      <c r="S1187" s="282"/>
      <c r="T1187" s="282"/>
      <c r="U1187" s="282"/>
      <c r="V1187" s="282"/>
      <c r="W1187" s="282"/>
      <c r="X1187" s="282"/>
      <c r="Y1187" s="282"/>
      <c r="Z1187" s="282"/>
      <c r="AA1187" s="282"/>
    </row>
    <row r="1188" spans="1:27" outlineLevel="2" x14ac:dyDescent="0.25">
      <c r="A1188" s="276">
        <f t="shared" si="397"/>
        <v>274</v>
      </c>
      <c r="B1188" s="282" t="str">
        <f>$B$115</f>
        <v>Assistant Principal</v>
      </c>
      <c r="C1188" s="564"/>
      <c r="D1188" s="282"/>
      <c r="G1188" s="1290">
        <f t="shared" si="399"/>
        <v>0</v>
      </c>
      <c r="H1188" s="1290">
        <f t="shared" si="399"/>
        <v>0</v>
      </c>
      <c r="I1188" s="1290">
        <f t="shared" si="399"/>
        <v>0</v>
      </c>
      <c r="J1188" s="1290">
        <f t="shared" si="399"/>
        <v>0</v>
      </c>
      <c r="K1188" s="1290">
        <f t="shared" si="399"/>
        <v>0</v>
      </c>
      <c r="L1188" s="1290">
        <f t="shared" si="399"/>
        <v>0</v>
      </c>
      <c r="M1188" s="1290">
        <f t="shared" si="399"/>
        <v>0</v>
      </c>
      <c r="N1188" s="141"/>
      <c r="R1188" s="282"/>
      <c r="S1188" s="282"/>
      <c r="T1188" s="282"/>
      <c r="U1188" s="282"/>
      <c r="V1188" s="282"/>
      <c r="W1188" s="282"/>
      <c r="X1188" s="282"/>
      <c r="Y1188" s="282"/>
      <c r="Z1188" s="282"/>
      <c r="AA1188" s="282"/>
    </row>
    <row r="1189" spans="1:27" outlineLevel="2" x14ac:dyDescent="0.25">
      <c r="A1189" s="276">
        <f t="shared" si="397"/>
        <v>275</v>
      </c>
      <c r="B1189" s="282" t="str">
        <f>$B$116</f>
        <v>Assistant Principal</v>
      </c>
      <c r="C1189" s="564"/>
      <c r="D1189" s="282"/>
      <c r="G1189" s="1290">
        <f t="shared" si="399"/>
        <v>0</v>
      </c>
      <c r="H1189" s="1290">
        <f t="shared" si="399"/>
        <v>0</v>
      </c>
      <c r="I1189" s="1290">
        <f t="shared" si="399"/>
        <v>0</v>
      </c>
      <c r="J1189" s="1290">
        <f t="shared" si="399"/>
        <v>0</v>
      </c>
      <c r="K1189" s="1290">
        <f t="shared" si="399"/>
        <v>0</v>
      </c>
      <c r="L1189" s="1290">
        <f t="shared" si="399"/>
        <v>0</v>
      </c>
      <c r="M1189" s="1290">
        <f t="shared" si="399"/>
        <v>0</v>
      </c>
      <c r="N1189" s="141"/>
      <c r="R1189" s="282"/>
      <c r="S1189" s="282"/>
      <c r="T1189" s="282"/>
      <c r="U1189" s="282"/>
      <c r="V1189" s="282"/>
      <c r="W1189" s="282"/>
      <c r="X1189" s="282"/>
      <c r="Y1189" s="282"/>
      <c r="Z1189" s="282"/>
      <c r="AA1189" s="282"/>
    </row>
    <row r="1190" spans="1:27" outlineLevel="2" x14ac:dyDescent="0.25">
      <c r="A1190" s="276">
        <f t="shared" si="397"/>
        <v>276</v>
      </c>
      <c r="B1190" s="282" t="str">
        <f>$B$117</f>
        <v>Admin 4</v>
      </c>
      <c r="C1190" s="564"/>
      <c r="D1190" s="282"/>
      <c r="G1190" s="1290">
        <f t="shared" si="399"/>
        <v>0</v>
      </c>
      <c r="H1190" s="1290">
        <f t="shared" si="399"/>
        <v>0</v>
      </c>
      <c r="I1190" s="1290">
        <f t="shared" si="399"/>
        <v>0</v>
      </c>
      <c r="J1190" s="1290">
        <f t="shared" si="399"/>
        <v>0</v>
      </c>
      <c r="K1190" s="1290">
        <f t="shared" si="399"/>
        <v>0</v>
      </c>
      <c r="L1190" s="1290">
        <f t="shared" si="399"/>
        <v>0</v>
      </c>
      <c r="M1190" s="1290">
        <f t="shared" si="399"/>
        <v>0</v>
      </c>
      <c r="N1190" s="141"/>
      <c r="R1190" s="282"/>
      <c r="S1190" s="282"/>
      <c r="T1190" s="282"/>
      <c r="U1190" s="282"/>
      <c r="V1190" s="282"/>
      <c r="W1190" s="282"/>
      <c r="X1190" s="282"/>
      <c r="Y1190" s="282"/>
      <c r="Z1190" s="282"/>
      <c r="AA1190" s="282"/>
    </row>
    <row r="1191" spans="1:27" outlineLevel="2" x14ac:dyDescent="0.25">
      <c r="A1191" s="276">
        <f t="shared" si="397"/>
        <v>277</v>
      </c>
      <c r="B1191" s="282" t="str">
        <f>$B$118</f>
        <v>Admin 5</v>
      </c>
      <c r="C1191" s="564"/>
      <c r="D1191" s="282"/>
      <c r="G1191" s="1290">
        <f t="shared" si="399"/>
        <v>0</v>
      </c>
      <c r="H1191" s="1290">
        <f t="shared" si="399"/>
        <v>0</v>
      </c>
      <c r="I1191" s="1290">
        <f t="shared" si="399"/>
        <v>0</v>
      </c>
      <c r="J1191" s="1290">
        <f t="shared" si="399"/>
        <v>0</v>
      </c>
      <c r="K1191" s="1290">
        <f t="shared" si="399"/>
        <v>0</v>
      </c>
      <c r="L1191" s="1290">
        <f t="shared" si="399"/>
        <v>0</v>
      </c>
      <c r="M1191" s="1290">
        <f t="shared" si="399"/>
        <v>0</v>
      </c>
      <c r="N1191" s="141"/>
      <c r="R1191" s="282"/>
      <c r="S1191" s="282"/>
      <c r="T1191" s="282"/>
      <c r="U1191" s="282"/>
      <c r="V1191" s="282"/>
      <c r="W1191" s="282"/>
      <c r="X1191" s="282"/>
      <c r="Y1191" s="282"/>
      <c r="Z1191" s="282"/>
      <c r="AA1191" s="282"/>
    </row>
    <row r="1192" spans="1:27" outlineLevel="2" x14ac:dyDescent="0.25">
      <c r="A1192" s="276">
        <f t="shared" si="397"/>
        <v>278</v>
      </c>
      <c r="B1192" s="282"/>
      <c r="C1192" s="564"/>
      <c r="D1192" s="282"/>
      <c r="G1192" s="1290"/>
      <c r="H1192" s="1290"/>
      <c r="I1192" s="1290"/>
      <c r="J1192" s="1290"/>
      <c r="K1192" s="1290"/>
      <c r="L1192" s="1290"/>
      <c r="M1192" s="1290"/>
      <c r="N1192" s="141"/>
      <c r="R1192" s="282"/>
      <c r="S1192" s="282"/>
      <c r="T1192" s="282"/>
      <c r="U1192" s="282"/>
      <c r="V1192" s="282"/>
      <c r="W1192" s="282"/>
      <c r="X1192" s="282"/>
      <c r="Y1192" s="282"/>
      <c r="Z1192" s="282"/>
      <c r="AA1192" s="282"/>
    </row>
    <row r="1193" spans="1:27" outlineLevel="2" x14ac:dyDescent="0.25">
      <c r="A1193" s="276">
        <f t="shared" si="397"/>
        <v>279</v>
      </c>
      <c r="B1193" s="700" t="str">
        <f>$B$122</f>
        <v>Office Staff</v>
      </c>
      <c r="C1193" s="723"/>
      <c r="D1193" s="289"/>
      <c r="E1193" s="275"/>
      <c r="F1193" s="275"/>
      <c r="G1193" s="1295"/>
      <c r="H1193" s="1295"/>
      <c r="I1193" s="1295"/>
      <c r="J1193" s="1295"/>
      <c r="K1193" s="1295"/>
      <c r="L1193" s="1295"/>
      <c r="M1193" s="1295"/>
      <c r="N1193" s="141"/>
      <c r="R1193" s="282"/>
      <c r="S1193" s="282"/>
      <c r="T1193" s="282"/>
      <c r="U1193" s="282"/>
      <c r="V1193" s="282"/>
      <c r="W1193" s="282"/>
      <c r="X1193" s="282"/>
      <c r="Y1193" s="282"/>
      <c r="Z1193" s="282"/>
      <c r="AA1193" s="282"/>
    </row>
    <row r="1194" spans="1:27" outlineLevel="2" x14ac:dyDescent="0.25">
      <c r="A1194" s="276">
        <f t="shared" ref="A1194:A1216" si="400">ROW(A123)</f>
        <v>123</v>
      </c>
      <c r="B1194" s="282" t="str">
        <f>$B$123</f>
        <v>Office Manager</v>
      </c>
      <c r="C1194" s="564"/>
      <c r="D1194" s="282"/>
      <c r="G1194" s="1290">
        <f t="shared" ref="G1194:M1197" si="401">G123*$C$94</f>
        <v>0</v>
      </c>
      <c r="H1194" s="1290">
        <f t="shared" si="401"/>
        <v>0</v>
      </c>
      <c r="I1194" s="1290">
        <f t="shared" si="401"/>
        <v>0</v>
      </c>
      <c r="J1194" s="1290">
        <f t="shared" si="401"/>
        <v>0</v>
      </c>
      <c r="K1194" s="1290">
        <f t="shared" si="401"/>
        <v>0</v>
      </c>
      <c r="L1194" s="1290">
        <f t="shared" si="401"/>
        <v>0</v>
      </c>
      <c r="M1194" s="1290">
        <f t="shared" si="401"/>
        <v>0</v>
      </c>
      <c r="N1194" s="141"/>
      <c r="R1194" s="282"/>
      <c r="S1194" s="282"/>
      <c r="T1194" s="282"/>
      <c r="U1194" s="282"/>
      <c r="V1194" s="282"/>
      <c r="W1194" s="282"/>
      <c r="X1194" s="282"/>
      <c r="Y1194" s="282"/>
      <c r="Z1194" s="282"/>
      <c r="AA1194" s="282"/>
    </row>
    <row r="1195" spans="1:27" outlineLevel="2" x14ac:dyDescent="0.25">
      <c r="A1195" s="276">
        <f t="shared" si="400"/>
        <v>124</v>
      </c>
      <c r="B1195" s="282" t="str">
        <f>$B$124</f>
        <v>Registrar</v>
      </c>
      <c r="C1195" s="564"/>
      <c r="D1195" s="282"/>
      <c r="G1195" s="1290">
        <f t="shared" si="401"/>
        <v>0</v>
      </c>
      <c r="H1195" s="1290">
        <f t="shared" si="401"/>
        <v>0</v>
      </c>
      <c r="I1195" s="1290">
        <f t="shared" si="401"/>
        <v>0</v>
      </c>
      <c r="J1195" s="1290">
        <f t="shared" si="401"/>
        <v>0</v>
      </c>
      <c r="K1195" s="1290">
        <f t="shared" si="401"/>
        <v>0</v>
      </c>
      <c r="L1195" s="1290">
        <f t="shared" si="401"/>
        <v>0</v>
      </c>
      <c r="M1195" s="1290">
        <f t="shared" si="401"/>
        <v>0</v>
      </c>
      <c r="N1195" s="141"/>
      <c r="R1195" s="282"/>
      <c r="S1195" s="282"/>
      <c r="T1195" s="282"/>
      <c r="U1195" s="282"/>
      <c r="V1195" s="282"/>
      <c r="W1195" s="282"/>
      <c r="X1195" s="282"/>
      <c r="Y1195" s="282"/>
      <c r="Z1195" s="282"/>
      <c r="AA1195" s="282"/>
    </row>
    <row r="1196" spans="1:27" outlineLevel="2" x14ac:dyDescent="0.25">
      <c r="A1196" s="276">
        <f t="shared" si="400"/>
        <v>125</v>
      </c>
      <c r="B1196" s="282">
        <f>$B125</f>
        <v>0</v>
      </c>
      <c r="C1196" s="564"/>
      <c r="D1196" s="282"/>
      <c r="G1196" s="1290">
        <f t="shared" si="401"/>
        <v>0</v>
      </c>
      <c r="H1196" s="1290">
        <f t="shared" si="401"/>
        <v>0</v>
      </c>
      <c r="I1196" s="1290">
        <f t="shared" si="401"/>
        <v>0</v>
      </c>
      <c r="J1196" s="1290">
        <f t="shared" si="401"/>
        <v>0</v>
      </c>
      <c r="K1196" s="1290">
        <f t="shared" si="401"/>
        <v>0</v>
      </c>
      <c r="L1196" s="1290">
        <f t="shared" si="401"/>
        <v>0</v>
      </c>
      <c r="M1196" s="1290">
        <f t="shared" si="401"/>
        <v>0</v>
      </c>
      <c r="N1196" s="141"/>
      <c r="R1196" s="282"/>
      <c r="S1196" s="282"/>
      <c r="T1196" s="282"/>
      <c r="U1196" s="282"/>
      <c r="V1196" s="282"/>
      <c r="W1196" s="282"/>
      <c r="X1196" s="282"/>
      <c r="Y1196" s="282"/>
      <c r="Z1196" s="282"/>
      <c r="AA1196" s="282"/>
    </row>
    <row r="1197" spans="1:27" outlineLevel="2" x14ac:dyDescent="0.25">
      <c r="A1197" s="276">
        <f t="shared" si="400"/>
        <v>126</v>
      </c>
      <c r="B1197" s="282" t="str">
        <f>$B126</f>
        <v>Office 4</v>
      </c>
      <c r="C1197" s="564"/>
      <c r="D1197" s="282"/>
      <c r="G1197" s="1290">
        <f t="shared" si="401"/>
        <v>0</v>
      </c>
      <c r="H1197" s="1290">
        <f t="shared" si="401"/>
        <v>0</v>
      </c>
      <c r="I1197" s="1290">
        <f t="shared" si="401"/>
        <v>0</v>
      </c>
      <c r="J1197" s="1290">
        <f t="shared" si="401"/>
        <v>0</v>
      </c>
      <c r="K1197" s="1290">
        <f t="shared" si="401"/>
        <v>0</v>
      </c>
      <c r="L1197" s="1290">
        <f t="shared" si="401"/>
        <v>0</v>
      </c>
      <c r="M1197" s="1290">
        <f t="shared" si="401"/>
        <v>0</v>
      </c>
      <c r="N1197" s="141"/>
      <c r="R1197" s="282"/>
      <c r="S1197" s="282"/>
      <c r="T1197" s="282"/>
      <c r="U1197" s="282"/>
      <c r="V1197" s="282"/>
      <c r="W1197" s="282"/>
      <c r="X1197" s="282"/>
      <c r="Y1197" s="282"/>
      <c r="Z1197" s="282"/>
      <c r="AA1197" s="282"/>
    </row>
    <row r="1198" spans="1:27" outlineLevel="2" x14ac:dyDescent="0.25">
      <c r="A1198" s="276">
        <f t="shared" si="400"/>
        <v>127</v>
      </c>
      <c r="B1198" s="244"/>
      <c r="C1198" s="564"/>
      <c r="D1198" s="282"/>
      <c r="G1198" s="1290"/>
      <c r="H1198" s="1290"/>
      <c r="I1198" s="1290"/>
      <c r="J1198" s="1290"/>
      <c r="K1198" s="1290"/>
      <c r="L1198" s="1290"/>
      <c r="M1198" s="1290"/>
      <c r="N1198" s="141"/>
      <c r="R1198" s="282"/>
      <c r="S1198" s="282"/>
      <c r="T1198" s="282"/>
      <c r="U1198" s="282"/>
      <c r="V1198" s="282"/>
      <c r="W1198" s="282"/>
      <c r="X1198" s="282"/>
      <c r="Y1198" s="282"/>
      <c r="Z1198" s="282"/>
      <c r="AA1198" s="282"/>
    </row>
    <row r="1199" spans="1:27" outlineLevel="2" x14ac:dyDescent="0.25">
      <c r="A1199" s="276">
        <f t="shared" si="400"/>
        <v>128</v>
      </c>
      <c r="B1199" s="545" t="str">
        <f>$B$128</f>
        <v>Total Administrators and Office Staff</v>
      </c>
      <c r="C1199" s="708"/>
      <c r="D1199" s="545"/>
      <c r="E1199" s="517"/>
      <c r="F1199" s="517"/>
      <c r="G1199" s="1291">
        <f t="shared" ref="G1199:M1199" si="402">SUM(G1187:G1197)</f>
        <v>0</v>
      </c>
      <c r="H1199" s="1291">
        <f t="shared" si="402"/>
        <v>0</v>
      </c>
      <c r="I1199" s="1291">
        <f t="shared" si="402"/>
        <v>0</v>
      </c>
      <c r="J1199" s="1291">
        <f t="shared" si="402"/>
        <v>0</v>
      </c>
      <c r="K1199" s="1291">
        <f t="shared" si="402"/>
        <v>0</v>
      </c>
      <c r="L1199" s="1291">
        <f t="shared" si="402"/>
        <v>0</v>
      </c>
      <c r="M1199" s="1291">
        <f t="shared" si="402"/>
        <v>0</v>
      </c>
      <c r="N1199" s="141"/>
      <c r="R1199" s="282"/>
      <c r="S1199" s="282"/>
      <c r="T1199" s="282"/>
      <c r="U1199" s="282"/>
      <c r="V1199" s="282"/>
      <c r="W1199" s="282"/>
      <c r="X1199" s="282"/>
      <c r="Y1199" s="282"/>
      <c r="Z1199" s="282"/>
      <c r="AA1199" s="282"/>
    </row>
    <row r="1200" spans="1:27" outlineLevel="2" x14ac:dyDescent="0.25">
      <c r="A1200" s="276">
        <f t="shared" si="400"/>
        <v>129</v>
      </c>
      <c r="B1200" s="244"/>
      <c r="C1200" s="564"/>
      <c r="D1200" s="282"/>
      <c r="G1200" s="1290"/>
      <c r="H1200" s="1290"/>
      <c r="I1200" s="1290"/>
      <c r="J1200" s="1290"/>
      <c r="K1200" s="1290"/>
      <c r="L1200" s="1290"/>
      <c r="M1200" s="1290"/>
      <c r="N1200" s="141"/>
      <c r="R1200" s="282"/>
      <c r="S1200" s="282"/>
      <c r="T1200" s="282"/>
      <c r="U1200" s="282"/>
      <c r="V1200" s="282"/>
      <c r="W1200" s="282"/>
      <c r="X1200" s="282"/>
      <c r="Y1200" s="282"/>
      <c r="Z1200" s="282"/>
      <c r="AA1200" s="282"/>
    </row>
    <row r="1201" spans="1:27" outlineLevel="2" x14ac:dyDescent="0.25">
      <c r="A1201" s="276">
        <f t="shared" si="400"/>
        <v>130</v>
      </c>
      <c r="B1201" s="244" t="str">
        <f>$B$130</f>
        <v>Special Education (SPED) Teachers</v>
      </c>
      <c r="C1201" s="564"/>
      <c r="D1201" s="282"/>
      <c r="G1201" s="1290"/>
      <c r="H1201" s="1290"/>
      <c r="I1201" s="1290"/>
      <c r="J1201" s="1290"/>
      <c r="K1201" s="1290"/>
      <c r="L1201" s="1290"/>
      <c r="M1201" s="1290"/>
      <c r="N1201" s="141"/>
      <c r="R1201" s="282"/>
      <c r="S1201" s="282"/>
      <c r="T1201" s="282"/>
      <c r="U1201" s="282"/>
      <c r="V1201" s="282"/>
      <c r="W1201" s="282"/>
      <c r="X1201" s="282"/>
      <c r="Y1201" s="282"/>
      <c r="Z1201" s="282"/>
      <c r="AA1201" s="282"/>
    </row>
    <row r="1202" spans="1:27" outlineLevel="2" x14ac:dyDescent="0.25">
      <c r="A1202" s="276">
        <f t="shared" si="400"/>
        <v>131</v>
      </c>
      <c r="B1202" s="740" t="str">
        <f>$B$131</f>
        <v>Special Education (SPED) Teacher</v>
      </c>
      <c r="C1202" s="707"/>
      <c r="D1202" s="724"/>
      <c r="E1202" s="517"/>
      <c r="F1202" s="517"/>
      <c r="G1202" s="1296">
        <f t="shared" ref="G1202:M1210" si="403">G131*$C$94</f>
        <v>0</v>
      </c>
      <c r="H1202" s="1296">
        <f t="shared" si="403"/>
        <v>0</v>
      </c>
      <c r="I1202" s="1296">
        <f t="shared" si="403"/>
        <v>0</v>
      </c>
      <c r="J1202" s="1296">
        <f t="shared" si="403"/>
        <v>0</v>
      </c>
      <c r="K1202" s="1296">
        <f t="shared" si="403"/>
        <v>0</v>
      </c>
      <c r="L1202" s="1296">
        <f t="shared" si="403"/>
        <v>0</v>
      </c>
      <c r="M1202" s="1296">
        <f t="shared" si="403"/>
        <v>0</v>
      </c>
      <c r="N1202" s="141"/>
      <c r="R1202" s="282"/>
      <c r="S1202" s="282"/>
      <c r="T1202" s="282"/>
      <c r="U1202" s="282"/>
      <c r="V1202" s="282"/>
      <c r="W1202" s="282"/>
      <c r="X1202" s="282"/>
      <c r="Y1202" s="282"/>
      <c r="Z1202" s="282"/>
      <c r="AA1202" s="282"/>
    </row>
    <row r="1203" spans="1:27" outlineLevel="2" x14ac:dyDescent="0.25">
      <c r="A1203" s="276">
        <f t="shared" si="400"/>
        <v>132</v>
      </c>
      <c r="B1203" s="725" t="str">
        <f>$B$132</f>
        <v>Special Education (SPED) Teacher</v>
      </c>
      <c r="C1203" s="564"/>
      <c r="D1203" s="282"/>
      <c r="G1203" s="1290">
        <f t="shared" si="403"/>
        <v>0</v>
      </c>
      <c r="H1203" s="1290">
        <f t="shared" si="403"/>
        <v>0</v>
      </c>
      <c r="I1203" s="1290">
        <f t="shared" si="403"/>
        <v>0</v>
      </c>
      <c r="J1203" s="1290">
        <f t="shared" si="403"/>
        <v>0</v>
      </c>
      <c r="K1203" s="1290">
        <f t="shared" si="403"/>
        <v>0</v>
      </c>
      <c r="L1203" s="1290">
        <f t="shared" si="403"/>
        <v>0</v>
      </c>
      <c r="M1203" s="1290">
        <f t="shared" si="403"/>
        <v>0</v>
      </c>
      <c r="N1203" s="141"/>
      <c r="R1203" s="282"/>
      <c r="S1203" s="282"/>
      <c r="T1203" s="282"/>
      <c r="U1203" s="282"/>
      <c r="V1203" s="282"/>
      <c r="W1203" s="282"/>
      <c r="X1203" s="282"/>
      <c r="Y1203" s="282"/>
      <c r="Z1203" s="282"/>
      <c r="AA1203" s="282"/>
    </row>
    <row r="1204" spans="1:27" outlineLevel="2" x14ac:dyDescent="0.25">
      <c r="A1204" s="276">
        <f t="shared" si="400"/>
        <v>133</v>
      </c>
      <c r="B1204" s="725" t="str">
        <f>$B$133</f>
        <v>Special Education (SPED) Teacher</v>
      </c>
      <c r="C1204" s="564"/>
      <c r="D1204" s="282"/>
      <c r="G1204" s="1290">
        <f t="shared" si="403"/>
        <v>0</v>
      </c>
      <c r="H1204" s="1290">
        <f t="shared" si="403"/>
        <v>0</v>
      </c>
      <c r="I1204" s="1290">
        <f t="shared" si="403"/>
        <v>0</v>
      </c>
      <c r="J1204" s="1290">
        <f t="shared" si="403"/>
        <v>0</v>
      </c>
      <c r="K1204" s="1290">
        <f t="shared" si="403"/>
        <v>0</v>
      </c>
      <c r="L1204" s="1290">
        <f t="shared" si="403"/>
        <v>0</v>
      </c>
      <c r="M1204" s="1290">
        <f t="shared" si="403"/>
        <v>0</v>
      </c>
      <c r="N1204" s="141"/>
      <c r="R1204" s="282"/>
      <c r="S1204" s="282"/>
      <c r="T1204" s="282"/>
      <c r="U1204" s="282"/>
      <c r="V1204" s="282"/>
      <c r="W1204" s="282"/>
      <c r="X1204" s="282"/>
      <c r="Y1204" s="282"/>
      <c r="Z1204" s="282"/>
      <c r="AA1204" s="282"/>
    </row>
    <row r="1205" spans="1:27" outlineLevel="2" x14ac:dyDescent="0.25">
      <c r="A1205" s="276">
        <f t="shared" si="400"/>
        <v>134</v>
      </c>
      <c r="B1205" s="725" t="str">
        <f>$B$134</f>
        <v>Special Education (SPED) Teacher</v>
      </c>
      <c r="C1205" s="564"/>
      <c r="D1205" s="282"/>
      <c r="G1205" s="1290">
        <f t="shared" si="403"/>
        <v>0</v>
      </c>
      <c r="H1205" s="1290">
        <f t="shared" si="403"/>
        <v>0</v>
      </c>
      <c r="I1205" s="1290">
        <f t="shared" si="403"/>
        <v>0</v>
      </c>
      <c r="J1205" s="1290">
        <f t="shared" si="403"/>
        <v>0</v>
      </c>
      <c r="K1205" s="1290">
        <f t="shared" si="403"/>
        <v>0</v>
      </c>
      <c r="L1205" s="1290">
        <f t="shared" si="403"/>
        <v>0</v>
      </c>
      <c r="M1205" s="1290">
        <f t="shared" si="403"/>
        <v>0</v>
      </c>
      <c r="N1205" s="141"/>
      <c r="R1205" s="282"/>
      <c r="S1205" s="282"/>
      <c r="T1205" s="282"/>
      <c r="U1205" s="282"/>
      <c r="V1205" s="282"/>
      <c r="W1205" s="282"/>
      <c r="X1205" s="282"/>
      <c r="Y1205" s="282"/>
      <c r="Z1205" s="282"/>
      <c r="AA1205" s="282"/>
    </row>
    <row r="1206" spans="1:27" outlineLevel="2" x14ac:dyDescent="0.25">
      <c r="A1206" s="276">
        <f t="shared" si="400"/>
        <v>135</v>
      </c>
      <c r="B1206" s="725" t="str">
        <f>$B$135</f>
        <v>Special Education (SPED) Teacher</v>
      </c>
      <c r="C1206" s="564"/>
      <c r="D1206" s="282"/>
      <c r="G1206" s="1290">
        <f t="shared" si="403"/>
        <v>0</v>
      </c>
      <c r="H1206" s="1290">
        <f t="shared" si="403"/>
        <v>0</v>
      </c>
      <c r="I1206" s="1290">
        <f t="shared" si="403"/>
        <v>0</v>
      </c>
      <c r="J1206" s="1290">
        <f t="shared" si="403"/>
        <v>0</v>
      </c>
      <c r="K1206" s="1290">
        <f t="shared" si="403"/>
        <v>0</v>
      </c>
      <c r="L1206" s="1290">
        <f t="shared" si="403"/>
        <v>0</v>
      </c>
      <c r="M1206" s="1290">
        <f t="shared" si="403"/>
        <v>0</v>
      </c>
      <c r="N1206" s="141"/>
      <c r="R1206" s="282"/>
      <c r="S1206" s="282"/>
      <c r="T1206" s="282"/>
      <c r="U1206" s="282"/>
      <c r="V1206" s="282"/>
      <c r="W1206" s="282"/>
      <c r="X1206" s="282"/>
      <c r="Y1206" s="282"/>
      <c r="Z1206" s="282"/>
      <c r="AA1206" s="282"/>
    </row>
    <row r="1207" spans="1:27" outlineLevel="2" x14ac:dyDescent="0.25">
      <c r="A1207" s="276">
        <f t="shared" si="400"/>
        <v>136</v>
      </c>
      <c r="B1207" s="725" t="str">
        <f>$B$136</f>
        <v>Special Education (SPED) Teacher</v>
      </c>
      <c r="C1207" s="564"/>
      <c r="D1207" s="282"/>
      <c r="G1207" s="1290">
        <f t="shared" si="403"/>
        <v>0</v>
      </c>
      <c r="H1207" s="1290">
        <f t="shared" si="403"/>
        <v>0</v>
      </c>
      <c r="I1207" s="1290">
        <f t="shared" si="403"/>
        <v>0</v>
      </c>
      <c r="J1207" s="1290">
        <f t="shared" si="403"/>
        <v>0</v>
      </c>
      <c r="K1207" s="1290">
        <f t="shared" si="403"/>
        <v>0</v>
      </c>
      <c r="L1207" s="1290">
        <f t="shared" si="403"/>
        <v>0</v>
      </c>
      <c r="M1207" s="1290">
        <f t="shared" si="403"/>
        <v>0</v>
      </c>
      <c r="N1207" s="141"/>
      <c r="R1207" s="282"/>
      <c r="S1207" s="282"/>
      <c r="T1207" s="282"/>
      <c r="U1207" s="282"/>
      <c r="V1207" s="282"/>
      <c r="W1207" s="282"/>
      <c r="X1207" s="282"/>
      <c r="Y1207" s="282"/>
      <c r="Z1207" s="282"/>
      <c r="AA1207" s="282"/>
    </row>
    <row r="1208" spans="1:27" outlineLevel="2" x14ac:dyDescent="0.25">
      <c r="A1208" s="276">
        <f t="shared" si="400"/>
        <v>137</v>
      </c>
      <c r="B1208" s="725" t="str">
        <f>$B137</f>
        <v>Special Education (SPED) Teacher</v>
      </c>
      <c r="C1208" s="564"/>
      <c r="D1208" s="282"/>
      <c r="G1208" s="1290">
        <f t="shared" si="403"/>
        <v>0</v>
      </c>
      <c r="H1208" s="1290">
        <f t="shared" si="403"/>
        <v>0</v>
      </c>
      <c r="I1208" s="1290">
        <f t="shared" si="403"/>
        <v>0</v>
      </c>
      <c r="J1208" s="1290">
        <f t="shared" si="403"/>
        <v>0</v>
      </c>
      <c r="K1208" s="1290">
        <f t="shared" si="403"/>
        <v>0</v>
      </c>
      <c r="L1208" s="1290">
        <f t="shared" si="403"/>
        <v>0</v>
      </c>
      <c r="M1208" s="1290">
        <f t="shared" si="403"/>
        <v>0</v>
      </c>
      <c r="N1208" s="141"/>
      <c r="R1208" s="282"/>
      <c r="S1208" s="282"/>
      <c r="T1208" s="282"/>
      <c r="U1208" s="282"/>
      <c r="V1208" s="282"/>
      <c r="W1208" s="282"/>
      <c r="X1208" s="282"/>
      <c r="Y1208" s="282"/>
      <c r="Z1208" s="282"/>
      <c r="AA1208" s="282"/>
    </row>
    <row r="1209" spans="1:27" outlineLevel="2" x14ac:dyDescent="0.25">
      <c r="A1209" s="276">
        <f t="shared" si="400"/>
        <v>138</v>
      </c>
      <c r="B1209" s="725" t="str">
        <f>$B138</f>
        <v>Teacher Assistant/Aide</v>
      </c>
      <c r="C1209" s="564"/>
      <c r="D1209" s="282"/>
      <c r="G1209" s="1290">
        <f t="shared" si="403"/>
        <v>0</v>
      </c>
      <c r="H1209" s="1290">
        <f t="shared" si="403"/>
        <v>0</v>
      </c>
      <c r="I1209" s="1290">
        <f t="shared" si="403"/>
        <v>0</v>
      </c>
      <c r="J1209" s="1290">
        <f t="shared" si="403"/>
        <v>0</v>
      </c>
      <c r="K1209" s="1290">
        <f t="shared" si="403"/>
        <v>0</v>
      </c>
      <c r="L1209" s="1290">
        <f t="shared" si="403"/>
        <v>0</v>
      </c>
      <c r="M1209" s="1290">
        <f t="shared" si="403"/>
        <v>0</v>
      </c>
      <c r="N1209" s="141"/>
      <c r="R1209" s="282"/>
      <c r="S1209" s="282"/>
      <c r="T1209" s="282"/>
      <c r="U1209" s="282"/>
      <c r="V1209" s="282"/>
      <c r="W1209" s="282"/>
      <c r="X1209" s="282"/>
      <c r="Y1209" s="282"/>
      <c r="Z1209" s="282"/>
      <c r="AA1209" s="282"/>
    </row>
    <row r="1210" spans="1:27" outlineLevel="2" x14ac:dyDescent="0.25">
      <c r="A1210" s="276">
        <f t="shared" si="400"/>
        <v>139</v>
      </c>
      <c r="B1210" s="725" t="str">
        <f>$B139</f>
        <v>Teacher Assistant/Aide</v>
      </c>
      <c r="C1210" s="564"/>
      <c r="D1210" s="282"/>
      <c r="G1210" s="1290">
        <f t="shared" si="403"/>
        <v>0</v>
      </c>
      <c r="H1210" s="1290">
        <f t="shared" si="403"/>
        <v>0</v>
      </c>
      <c r="I1210" s="1290">
        <f t="shared" si="403"/>
        <v>0</v>
      </c>
      <c r="J1210" s="1290">
        <f t="shared" si="403"/>
        <v>0</v>
      </c>
      <c r="K1210" s="1290">
        <f t="shared" si="403"/>
        <v>0</v>
      </c>
      <c r="L1210" s="1290">
        <f t="shared" si="403"/>
        <v>0</v>
      </c>
      <c r="M1210" s="1290">
        <f t="shared" si="403"/>
        <v>0</v>
      </c>
      <c r="N1210" s="141"/>
      <c r="R1210" s="282"/>
      <c r="S1210" s="282"/>
      <c r="T1210" s="282"/>
      <c r="U1210" s="282"/>
      <c r="V1210" s="282"/>
      <c r="W1210" s="282"/>
      <c r="X1210" s="282"/>
      <c r="Y1210" s="282"/>
      <c r="Z1210" s="282"/>
      <c r="AA1210" s="282"/>
    </row>
    <row r="1211" spans="1:27" outlineLevel="2" x14ac:dyDescent="0.25">
      <c r="A1211" s="276">
        <f t="shared" si="400"/>
        <v>140</v>
      </c>
      <c r="B1211" s="709" t="str">
        <f>$B140</f>
        <v xml:space="preserve">Total Special EducationTeachers </v>
      </c>
      <c r="C1211" s="707"/>
      <c r="D1211" s="724"/>
      <c r="E1211" s="517"/>
      <c r="F1211" s="517"/>
      <c r="G1211" s="1296">
        <f>SUM(G1202:G1210)</f>
        <v>0</v>
      </c>
      <c r="H1211" s="1296">
        <f t="shared" ref="H1211:M1211" si="404">SUM(H1202:H1210)</f>
        <v>0</v>
      </c>
      <c r="I1211" s="1296">
        <f t="shared" si="404"/>
        <v>0</v>
      </c>
      <c r="J1211" s="1296">
        <f t="shared" si="404"/>
        <v>0</v>
      </c>
      <c r="K1211" s="1296">
        <f t="shared" si="404"/>
        <v>0</v>
      </c>
      <c r="L1211" s="1296">
        <f t="shared" si="404"/>
        <v>0</v>
      </c>
      <c r="M1211" s="1296">
        <f t="shared" si="404"/>
        <v>0</v>
      </c>
      <c r="N1211" s="141"/>
      <c r="R1211" s="282"/>
      <c r="S1211" s="282"/>
      <c r="T1211" s="282"/>
      <c r="U1211" s="282"/>
      <c r="V1211" s="282"/>
      <c r="W1211" s="282"/>
      <c r="X1211" s="282"/>
      <c r="Y1211" s="282"/>
      <c r="Z1211" s="282"/>
      <c r="AA1211" s="282"/>
    </row>
    <row r="1212" spans="1:27" outlineLevel="2" x14ac:dyDescent="0.25">
      <c r="A1212" s="276">
        <f t="shared" si="400"/>
        <v>141</v>
      </c>
      <c r="B1212" s="725"/>
      <c r="C1212" s="564"/>
      <c r="D1212" s="282"/>
      <c r="G1212" s="1290"/>
      <c r="H1212" s="1290"/>
      <c r="I1212" s="1290"/>
      <c r="J1212" s="1290"/>
      <c r="K1212" s="1290"/>
      <c r="L1212" s="1290"/>
      <c r="M1212" s="1290"/>
      <c r="N1212" s="141"/>
      <c r="R1212" s="282"/>
      <c r="S1212" s="282"/>
      <c r="T1212" s="282"/>
      <c r="U1212" s="282"/>
      <c r="V1212" s="282"/>
      <c r="W1212" s="282"/>
      <c r="X1212" s="282"/>
      <c r="Y1212" s="282"/>
      <c r="Z1212" s="282"/>
      <c r="AA1212" s="282"/>
    </row>
    <row r="1213" spans="1:27" outlineLevel="2" x14ac:dyDescent="0.25">
      <c r="A1213" s="276">
        <f t="shared" si="400"/>
        <v>142</v>
      </c>
      <c r="B1213" s="1395" t="str">
        <f>$B142</f>
        <v>English Language Learner (ELL) Teachers</v>
      </c>
      <c r="C1213" s="743"/>
      <c r="D1213" s="728"/>
      <c r="E1213" s="1289"/>
      <c r="F1213" s="1289"/>
      <c r="G1213" s="1396"/>
      <c r="H1213" s="1396"/>
      <c r="I1213" s="1396"/>
      <c r="J1213" s="1396"/>
      <c r="K1213" s="1396"/>
      <c r="L1213" s="1396"/>
      <c r="M1213" s="1396"/>
      <c r="N1213" s="141"/>
      <c r="R1213" s="282"/>
      <c r="S1213" s="282"/>
      <c r="T1213" s="282"/>
      <c r="U1213" s="282"/>
      <c r="V1213" s="282"/>
      <c r="W1213" s="282"/>
      <c r="X1213" s="282"/>
      <c r="Y1213" s="282"/>
      <c r="Z1213" s="282"/>
      <c r="AA1213" s="282"/>
    </row>
    <row r="1214" spans="1:27" outlineLevel="2" x14ac:dyDescent="0.25">
      <c r="A1214" s="276">
        <f t="shared" si="400"/>
        <v>143</v>
      </c>
      <c r="B1214" s="725" t="str">
        <f>$B143</f>
        <v>ELL Coordinator</v>
      </c>
      <c r="C1214" s="564"/>
      <c r="D1214" s="282"/>
      <c r="G1214" s="1290">
        <f>G143*$C$94</f>
        <v>0</v>
      </c>
      <c r="H1214" s="1290">
        <f t="shared" ref="H1214:M1214" si="405">H143*$C$94</f>
        <v>0</v>
      </c>
      <c r="I1214" s="1290">
        <f t="shared" si="405"/>
        <v>0</v>
      </c>
      <c r="J1214" s="1290">
        <f t="shared" si="405"/>
        <v>0</v>
      </c>
      <c r="K1214" s="1290">
        <f t="shared" si="405"/>
        <v>0</v>
      </c>
      <c r="L1214" s="1290">
        <f t="shared" si="405"/>
        <v>0</v>
      </c>
      <c r="M1214" s="1290">
        <f t="shared" si="405"/>
        <v>0</v>
      </c>
      <c r="N1214" s="141"/>
      <c r="R1214" s="282"/>
      <c r="S1214" s="282"/>
      <c r="T1214" s="282"/>
      <c r="U1214" s="282"/>
      <c r="V1214" s="282"/>
      <c r="W1214" s="282"/>
      <c r="X1214" s="282"/>
      <c r="Y1214" s="282"/>
      <c r="Z1214" s="282"/>
      <c r="AA1214" s="282"/>
    </row>
    <row r="1215" spans="1:27" outlineLevel="2" x14ac:dyDescent="0.25">
      <c r="A1215" s="276">
        <f t="shared" si="400"/>
        <v>144</v>
      </c>
      <c r="B1215" s="725" t="str">
        <f>$B144</f>
        <v>Teacher Assistant/Aide</v>
      </c>
      <c r="C1215" s="564"/>
      <c r="D1215" s="282"/>
      <c r="G1215" s="1290">
        <f t="shared" ref="G1215:M1215" si="406">G144*$C$94</f>
        <v>0</v>
      </c>
      <c r="H1215" s="1290">
        <f t="shared" si="406"/>
        <v>0</v>
      </c>
      <c r="I1215" s="1290">
        <f t="shared" si="406"/>
        <v>0</v>
      </c>
      <c r="J1215" s="1290">
        <f t="shared" si="406"/>
        <v>0</v>
      </c>
      <c r="K1215" s="1290">
        <f t="shared" si="406"/>
        <v>0</v>
      </c>
      <c r="L1215" s="1290">
        <f t="shared" si="406"/>
        <v>0</v>
      </c>
      <c r="M1215" s="1290">
        <f t="shared" si="406"/>
        <v>0</v>
      </c>
      <c r="N1215" s="141"/>
      <c r="R1215" s="282"/>
      <c r="S1215" s="282"/>
      <c r="T1215" s="282"/>
      <c r="U1215" s="282"/>
      <c r="V1215" s="282"/>
      <c r="W1215" s="282"/>
      <c r="X1215" s="282"/>
      <c r="Y1215" s="282"/>
      <c r="Z1215" s="282"/>
      <c r="AA1215" s="282"/>
    </row>
    <row r="1216" spans="1:27" outlineLevel="2" x14ac:dyDescent="0.25">
      <c r="A1216" s="276">
        <f t="shared" si="400"/>
        <v>145</v>
      </c>
      <c r="B1216" s="725" t="str">
        <f>$B145</f>
        <v>Teacher Assistant/Aide</v>
      </c>
      <c r="C1216" s="564"/>
      <c r="D1216" s="282"/>
      <c r="G1216" s="1290">
        <f t="shared" ref="G1216:M1216" si="407">G145*$C$94</f>
        <v>0</v>
      </c>
      <c r="H1216" s="1290">
        <f t="shared" si="407"/>
        <v>0</v>
      </c>
      <c r="I1216" s="1290">
        <f t="shared" si="407"/>
        <v>0</v>
      </c>
      <c r="J1216" s="1290">
        <f t="shared" si="407"/>
        <v>0</v>
      </c>
      <c r="K1216" s="1290">
        <f t="shared" si="407"/>
        <v>0</v>
      </c>
      <c r="L1216" s="1290">
        <f t="shared" si="407"/>
        <v>0</v>
      </c>
      <c r="M1216" s="1290">
        <f t="shared" si="407"/>
        <v>0</v>
      </c>
      <c r="N1216" s="141"/>
      <c r="R1216" s="282"/>
      <c r="S1216" s="282"/>
      <c r="T1216" s="282"/>
      <c r="U1216" s="282"/>
      <c r="V1216" s="282"/>
      <c r="W1216" s="282"/>
      <c r="X1216" s="282"/>
      <c r="Y1216" s="282"/>
      <c r="Z1216" s="282"/>
      <c r="AA1216" s="282"/>
    </row>
    <row r="1217" spans="1:27" outlineLevel="2" x14ac:dyDescent="0.25">
      <c r="A1217" s="276">
        <f t="shared" ref="A1217:A1223" si="408">ROW(A146)</f>
        <v>146</v>
      </c>
      <c r="B1217" s="725" t="str">
        <f t="shared" ref="B1217:B1241" si="409">$B146</f>
        <v>Teacher Assistant/Aide</v>
      </c>
      <c r="C1217" s="564"/>
      <c r="D1217" s="282"/>
      <c r="G1217" s="1290">
        <f t="shared" ref="G1217:M1217" si="410">G146*$C$94</f>
        <v>0</v>
      </c>
      <c r="H1217" s="1290">
        <f t="shared" si="410"/>
        <v>0</v>
      </c>
      <c r="I1217" s="1290">
        <f t="shared" si="410"/>
        <v>0</v>
      </c>
      <c r="J1217" s="1290">
        <f t="shared" si="410"/>
        <v>0</v>
      </c>
      <c r="K1217" s="1290">
        <f t="shared" si="410"/>
        <v>0</v>
      </c>
      <c r="L1217" s="1290">
        <f t="shared" si="410"/>
        <v>0</v>
      </c>
      <c r="M1217" s="1290">
        <f t="shared" si="410"/>
        <v>0</v>
      </c>
      <c r="N1217" s="141"/>
      <c r="R1217" s="282"/>
      <c r="S1217" s="282"/>
      <c r="T1217" s="282"/>
      <c r="U1217" s="282"/>
      <c r="V1217" s="282"/>
      <c r="W1217" s="282"/>
      <c r="X1217" s="282"/>
      <c r="Y1217" s="282"/>
      <c r="Z1217" s="282"/>
      <c r="AA1217" s="282"/>
    </row>
    <row r="1218" spans="1:27" outlineLevel="2" x14ac:dyDescent="0.25">
      <c r="A1218" s="276">
        <f t="shared" si="408"/>
        <v>147</v>
      </c>
      <c r="B1218" s="725" t="str">
        <f t="shared" si="409"/>
        <v>Teacher Assistant/Aide</v>
      </c>
      <c r="C1218" s="564"/>
      <c r="D1218" s="282"/>
      <c r="G1218" s="1290">
        <f t="shared" ref="G1218:M1218" si="411">G147*$C$94</f>
        <v>0</v>
      </c>
      <c r="H1218" s="1290">
        <f t="shared" si="411"/>
        <v>0</v>
      </c>
      <c r="I1218" s="1290">
        <f t="shared" si="411"/>
        <v>0</v>
      </c>
      <c r="J1218" s="1290">
        <f t="shared" si="411"/>
        <v>0</v>
      </c>
      <c r="K1218" s="1290">
        <f t="shared" si="411"/>
        <v>0</v>
      </c>
      <c r="L1218" s="1290">
        <f t="shared" si="411"/>
        <v>0</v>
      </c>
      <c r="M1218" s="1290">
        <f t="shared" si="411"/>
        <v>0</v>
      </c>
      <c r="N1218" s="141"/>
      <c r="R1218" s="282"/>
      <c r="S1218" s="282"/>
      <c r="T1218" s="282"/>
      <c r="U1218" s="282"/>
      <c r="V1218" s="282"/>
      <c r="W1218" s="282"/>
      <c r="X1218" s="282"/>
      <c r="Y1218" s="282"/>
      <c r="Z1218" s="282"/>
      <c r="AA1218" s="282"/>
    </row>
    <row r="1219" spans="1:27" outlineLevel="2" x14ac:dyDescent="0.25">
      <c r="A1219" s="276">
        <f t="shared" si="408"/>
        <v>148</v>
      </c>
      <c r="B1219" s="725" t="str">
        <f t="shared" si="409"/>
        <v>Teacher Assistant/Aide</v>
      </c>
      <c r="C1219" s="564"/>
      <c r="D1219" s="282"/>
      <c r="G1219" s="1290">
        <f t="shared" ref="G1219:M1219" si="412">G148*$C$94</f>
        <v>0</v>
      </c>
      <c r="H1219" s="1290">
        <f t="shared" si="412"/>
        <v>0</v>
      </c>
      <c r="I1219" s="1290">
        <f t="shared" si="412"/>
        <v>0</v>
      </c>
      <c r="J1219" s="1290">
        <f t="shared" si="412"/>
        <v>0</v>
      </c>
      <c r="K1219" s="1290">
        <f t="shared" si="412"/>
        <v>0</v>
      </c>
      <c r="L1219" s="1290">
        <f t="shared" si="412"/>
        <v>0</v>
      </c>
      <c r="M1219" s="1290">
        <f t="shared" si="412"/>
        <v>0</v>
      </c>
      <c r="N1219" s="141"/>
      <c r="R1219" s="282"/>
      <c r="S1219" s="282"/>
      <c r="T1219" s="282"/>
      <c r="U1219" s="282"/>
      <c r="V1219" s="282"/>
      <c r="W1219" s="282"/>
      <c r="X1219" s="282"/>
      <c r="Y1219" s="282"/>
      <c r="Z1219" s="282"/>
      <c r="AA1219" s="282"/>
    </row>
    <row r="1220" spans="1:27" outlineLevel="2" x14ac:dyDescent="0.25">
      <c r="A1220" s="276">
        <f t="shared" si="408"/>
        <v>149</v>
      </c>
      <c r="B1220" s="725" t="str">
        <f t="shared" si="409"/>
        <v>Teacher Assistant/Aide</v>
      </c>
      <c r="C1220" s="564"/>
      <c r="D1220" s="282"/>
      <c r="G1220" s="1290">
        <f t="shared" ref="G1220:M1220" si="413">G149*$C$94</f>
        <v>0</v>
      </c>
      <c r="H1220" s="1290">
        <f t="shared" si="413"/>
        <v>0</v>
      </c>
      <c r="I1220" s="1290">
        <f t="shared" si="413"/>
        <v>0</v>
      </c>
      <c r="J1220" s="1290">
        <f t="shared" si="413"/>
        <v>0</v>
      </c>
      <c r="K1220" s="1290">
        <f t="shared" si="413"/>
        <v>0</v>
      </c>
      <c r="L1220" s="1290">
        <f t="shared" si="413"/>
        <v>0</v>
      </c>
      <c r="M1220" s="1290">
        <f t="shared" si="413"/>
        <v>0</v>
      </c>
      <c r="N1220" s="141"/>
      <c r="R1220" s="282"/>
      <c r="S1220" s="282"/>
      <c r="T1220" s="282"/>
      <c r="U1220" s="282"/>
      <c r="V1220" s="282"/>
      <c r="W1220" s="282"/>
      <c r="X1220" s="282"/>
      <c r="Y1220" s="282"/>
      <c r="Z1220" s="282"/>
      <c r="AA1220" s="282"/>
    </row>
    <row r="1221" spans="1:27" outlineLevel="2" x14ac:dyDescent="0.25">
      <c r="A1221" s="276">
        <f t="shared" si="408"/>
        <v>150</v>
      </c>
      <c r="B1221" s="725" t="str">
        <f t="shared" si="409"/>
        <v>Teacher Assistant/Aide</v>
      </c>
      <c r="C1221" s="564"/>
      <c r="D1221" s="282"/>
      <c r="G1221" s="1290">
        <f t="shared" ref="G1221:M1221" si="414">G150*$C$94</f>
        <v>0</v>
      </c>
      <c r="H1221" s="1290">
        <f t="shared" si="414"/>
        <v>0</v>
      </c>
      <c r="I1221" s="1290">
        <f t="shared" si="414"/>
        <v>0</v>
      </c>
      <c r="J1221" s="1290">
        <f t="shared" si="414"/>
        <v>0</v>
      </c>
      <c r="K1221" s="1290">
        <f t="shared" si="414"/>
        <v>0</v>
      </c>
      <c r="L1221" s="1290">
        <f t="shared" si="414"/>
        <v>0</v>
      </c>
      <c r="M1221" s="1290">
        <f t="shared" si="414"/>
        <v>0</v>
      </c>
      <c r="N1221" s="141"/>
      <c r="R1221" s="282"/>
      <c r="S1221" s="282"/>
      <c r="T1221" s="282"/>
      <c r="U1221" s="282"/>
      <c r="V1221" s="282"/>
      <c r="W1221" s="282"/>
      <c r="X1221" s="282"/>
      <c r="Y1221" s="282"/>
      <c r="Z1221" s="282"/>
      <c r="AA1221" s="282"/>
    </row>
    <row r="1222" spans="1:27" outlineLevel="2" x14ac:dyDescent="0.25">
      <c r="A1222" s="276">
        <f t="shared" si="408"/>
        <v>151</v>
      </c>
      <c r="B1222" s="725" t="str">
        <f t="shared" si="409"/>
        <v>Teacher Assistant/Aide</v>
      </c>
      <c r="C1222" s="564"/>
      <c r="D1222" s="282"/>
      <c r="G1222" s="1290">
        <f t="shared" ref="G1222:M1222" si="415">G151*$C$94</f>
        <v>0</v>
      </c>
      <c r="H1222" s="1290">
        <f t="shared" si="415"/>
        <v>0</v>
      </c>
      <c r="I1222" s="1290">
        <f t="shared" si="415"/>
        <v>0</v>
      </c>
      <c r="J1222" s="1290">
        <f t="shared" si="415"/>
        <v>0</v>
      </c>
      <c r="K1222" s="1290">
        <f t="shared" si="415"/>
        <v>0</v>
      </c>
      <c r="L1222" s="1290">
        <f t="shared" si="415"/>
        <v>0</v>
      </c>
      <c r="M1222" s="1290">
        <f t="shared" si="415"/>
        <v>0</v>
      </c>
      <c r="N1222" s="141"/>
      <c r="R1222" s="282"/>
      <c r="S1222" s="282"/>
      <c r="T1222" s="282"/>
      <c r="U1222" s="282"/>
      <c r="V1222" s="282"/>
      <c r="W1222" s="282"/>
      <c r="X1222" s="282"/>
      <c r="Y1222" s="282"/>
      <c r="Z1222" s="282"/>
      <c r="AA1222" s="282"/>
    </row>
    <row r="1223" spans="1:27" outlineLevel="2" x14ac:dyDescent="0.25">
      <c r="A1223" s="276">
        <f t="shared" si="408"/>
        <v>152</v>
      </c>
      <c r="B1223" s="709" t="str">
        <f t="shared" si="409"/>
        <v>Total ELL Teachers</v>
      </c>
      <c r="C1223" s="707"/>
      <c r="D1223" s="724"/>
      <c r="E1223" s="517"/>
      <c r="F1223" s="517"/>
      <c r="G1223" s="1296">
        <f>SUM(G1214:G1222)</f>
        <v>0</v>
      </c>
      <c r="H1223" s="1296">
        <f t="shared" ref="H1223:M1223" si="416">SUM(H1214:H1222)</f>
        <v>0</v>
      </c>
      <c r="I1223" s="1296">
        <f t="shared" si="416"/>
        <v>0</v>
      </c>
      <c r="J1223" s="1296">
        <f t="shared" si="416"/>
        <v>0</v>
      </c>
      <c r="K1223" s="1296">
        <f t="shared" si="416"/>
        <v>0</v>
      </c>
      <c r="L1223" s="1296">
        <f t="shared" si="416"/>
        <v>0</v>
      </c>
      <c r="M1223" s="1296">
        <f t="shared" si="416"/>
        <v>0</v>
      </c>
      <c r="N1223" s="141"/>
      <c r="R1223" s="282"/>
      <c r="S1223" s="282"/>
      <c r="T1223" s="282"/>
      <c r="U1223" s="282"/>
      <c r="V1223" s="282"/>
      <c r="W1223" s="282"/>
      <c r="X1223" s="282"/>
      <c r="Y1223" s="282"/>
      <c r="Z1223" s="282"/>
      <c r="AA1223" s="282"/>
    </row>
    <row r="1224" spans="1:27" outlineLevel="2" x14ac:dyDescent="0.25">
      <c r="A1224" s="276">
        <f>ROW(A147)</f>
        <v>147</v>
      </c>
      <c r="B1224" s="741"/>
      <c r="C1224" s="564"/>
      <c r="D1224" s="282"/>
      <c r="E1224" s="385"/>
      <c r="F1224" s="385"/>
      <c r="G1224" s="1290"/>
      <c r="H1224" s="1290"/>
      <c r="I1224" s="1290"/>
      <c r="J1224" s="1290"/>
      <c r="K1224" s="1290"/>
      <c r="L1224" s="1290"/>
      <c r="M1224" s="1290"/>
      <c r="N1224" s="141"/>
      <c r="R1224" s="282"/>
      <c r="S1224" s="282"/>
      <c r="T1224" s="282"/>
      <c r="U1224" s="282"/>
      <c r="V1224" s="282"/>
      <c r="W1224" s="282"/>
      <c r="X1224" s="282"/>
      <c r="Y1224" s="282"/>
      <c r="Z1224" s="282"/>
      <c r="AA1224" s="282"/>
    </row>
    <row r="1225" spans="1:27" outlineLevel="2" x14ac:dyDescent="0.25">
      <c r="A1225" s="276">
        <f>ROW(A148)</f>
        <v>148</v>
      </c>
      <c r="B1225" s="741" t="str">
        <f t="shared" si="409"/>
        <v>Guidance Counselor &amp; Other</v>
      </c>
      <c r="C1225" s="564"/>
      <c r="D1225" s="282"/>
      <c r="G1225" s="1290"/>
      <c r="H1225" s="1290"/>
      <c r="I1225" s="1290"/>
      <c r="J1225" s="1290"/>
      <c r="K1225" s="1290"/>
      <c r="L1225" s="1290"/>
      <c r="M1225" s="1290"/>
      <c r="N1225" s="141"/>
      <c r="R1225" s="282"/>
      <c r="S1225" s="282"/>
      <c r="T1225" s="282"/>
      <c r="U1225" s="282"/>
      <c r="V1225" s="282"/>
      <c r="W1225" s="282"/>
      <c r="X1225" s="282"/>
      <c r="Y1225" s="282"/>
      <c r="Z1225" s="282"/>
      <c r="AA1225" s="282"/>
    </row>
    <row r="1226" spans="1:27" outlineLevel="2" x14ac:dyDescent="0.25">
      <c r="A1226" s="276">
        <f t="shared" ref="A1226:A1233" si="417">ROW(A152)</f>
        <v>152</v>
      </c>
      <c r="B1226" s="740" t="str">
        <f t="shared" si="409"/>
        <v xml:space="preserve">Guidance Counselor </v>
      </c>
      <c r="C1226" s="708"/>
      <c r="D1226" s="545"/>
      <c r="E1226" s="517"/>
      <c r="F1226" s="517"/>
      <c r="G1226" s="1291">
        <f t="shared" ref="G1226:M1226" si="418">G155*$C$94</f>
        <v>0</v>
      </c>
      <c r="H1226" s="1291">
        <f t="shared" si="418"/>
        <v>0</v>
      </c>
      <c r="I1226" s="1291">
        <f t="shared" si="418"/>
        <v>0</v>
      </c>
      <c r="J1226" s="1291">
        <f t="shared" si="418"/>
        <v>0</v>
      </c>
      <c r="K1226" s="1291">
        <f t="shared" si="418"/>
        <v>0</v>
      </c>
      <c r="L1226" s="1291">
        <f t="shared" si="418"/>
        <v>0</v>
      </c>
      <c r="M1226" s="1291">
        <f t="shared" si="418"/>
        <v>0</v>
      </c>
      <c r="N1226" s="141"/>
      <c r="R1226" s="282"/>
      <c r="S1226" s="282"/>
      <c r="T1226" s="282"/>
      <c r="U1226" s="282"/>
      <c r="V1226" s="282"/>
      <c r="W1226" s="282"/>
      <c r="X1226" s="282"/>
      <c r="Y1226" s="282"/>
      <c r="Z1226" s="282"/>
      <c r="AA1226" s="282"/>
    </row>
    <row r="1227" spans="1:27" outlineLevel="2" x14ac:dyDescent="0.25">
      <c r="A1227" s="276">
        <f t="shared" si="417"/>
        <v>153</v>
      </c>
      <c r="B1227" s="725" t="str">
        <f t="shared" si="409"/>
        <v>Guidance Counselor</v>
      </c>
      <c r="C1227" s="564"/>
      <c r="D1227" s="282"/>
      <c r="G1227" s="1290">
        <f t="shared" ref="G1227:M1227" si="419">G156*$C$94</f>
        <v>0</v>
      </c>
      <c r="H1227" s="1290">
        <f t="shared" si="419"/>
        <v>0</v>
      </c>
      <c r="I1227" s="1290">
        <f t="shared" si="419"/>
        <v>0</v>
      </c>
      <c r="J1227" s="1290">
        <f t="shared" si="419"/>
        <v>0</v>
      </c>
      <c r="K1227" s="1290">
        <f t="shared" si="419"/>
        <v>0</v>
      </c>
      <c r="L1227" s="1290">
        <f t="shared" si="419"/>
        <v>0</v>
      </c>
      <c r="M1227" s="1290">
        <f t="shared" si="419"/>
        <v>0</v>
      </c>
      <c r="N1227" s="141"/>
      <c r="R1227" s="282"/>
      <c r="S1227" s="282"/>
      <c r="T1227" s="282"/>
      <c r="U1227" s="282"/>
      <c r="V1227" s="282"/>
      <c r="W1227" s="282"/>
      <c r="X1227" s="282"/>
      <c r="Y1227" s="282"/>
      <c r="Z1227" s="282"/>
      <c r="AA1227" s="282"/>
    </row>
    <row r="1228" spans="1:27" outlineLevel="2" x14ac:dyDescent="0.25">
      <c r="A1228" s="276">
        <f t="shared" si="417"/>
        <v>154</v>
      </c>
      <c r="B1228" s="725" t="str">
        <f t="shared" si="409"/>
        <v>Curriculum Coach</v>
      </c>
      <c r="C1228" s="563"/>
      <c r="D1228" s="421"/>
      <c r="E1228" s="282"/>
      <c r="F1228" s="282"/>
      <c r="G1228" s="1290">
        <f t="shared" ref="G1228:M1228" si="420">G157*$C$94</f>
        <v>0</v>
      </c>
      <c r="H1228" s="1290">
        <f t="shared" si="420"/>
        <v>0</v>
      </c>
      <c r="I1228" s="1290">
        <f t="shared" si="420"/>
        <v>0</v>
      </c>
      <c r="J1228" s="1290">
        <f t="shared" si="420"/>
        <v>0</v>
      </c>
      <c r="K1228" s="1290">
        <f t="shared" si="420"/>
        <v>0</v>
      </c>
      <c r="L1228" s="1290">
        <f t="shared" si="420"/>
        <v>0</v>
      </c>
      <c r="M1228" s="1290">
        <f t="shared" si="420"/>
        <v>0</v>
      </c>
      <c r="N1228" s="141"/>
      <c r="R1228" s="282"/>
      <c r="S1228" s="282"/>
      <c r="T1228" s="282"/>
      <c r="U1228" s="282"/>
      <c r="V1228" s="282"/>
      <c r="W1228" s="282"/>
      <c r="X1228" s="282"/>
      <c r="Y1228" s="282"/>
      <c r="Z1228" s="282"/>
      <c r="AA1228" s="282"/>
    </row>
    <row r="1229" spans="1:27" s="282" customFormat="1" outlineLevel="2" x14ac:dyDescent="0.25">
      <c r="A1229" s="276">
        <f t="shared" si="417"/>
        <v>155</v>
      </c>
      <c r="B1229" s="725" t="str">
        <f t="shared" si="409"/>
        <v>School Nurse</v>
      </c>
      <c r="C1229" s="563"/>
      <c r="D1229" s="421"/>
      <c r="G1229" s="1290">
        <f t="shared" ref="G1229:M1229" si="421">G158*$C$94</f>
        <v>0</v>
      </c>
      <c r="H1229" s="1290">
        <f t="shared" si="421"/>
        <v>0</v>
      </c>
      <c r="I1229" s="1290">
        <f t="shared" si="421"/>
        <v>0</v>
      </c>
      <c r="J1229" s="1290">
        <f t="shared" si="421"/>
        <v>0</v>
      </c>
      <c r="K1229" s="1290">
        <f t="shared" si="421"/>
        <v>0</v>
      </c>
      <c r="L1229" s="1290">
        <f t="shared" si="421"/>
        <v>0</v>
      </c>
      <c r="M1229" s="1290">
        <f t="shared" si="421"/>
        <v>0</v>
      </c>
      <c r="N1229" s="168"/>
    </row>
    <row r="1230" spans="1:27" s="282" customFormat="1" outlineLevel="2" x14ac:dyDescent="0.25">
      <c r="A1230" s="276">
        <f t="shared" si="417"/>
        <v>156</v>
      </c>
      <c r="B1230" s="725" t="str">
        <f t="shared" si="409"/>
        <v>NSLP/Cafeteria Manager</v>
      </c>
      <c r="C1230" s="563"/>
      <c r="D1230" s="421"/>
      <c r="G1230" s="1290">
        <f t="shared" ref="G1230:M1230" si="422">G159*$C$94</f>
        <v>0</v>
      </c>
      <c r="H1230" s="1290">
        <f t="shared" si="422"/>
        <v>0</v>
      </c>
      <c r="I1230" s="1290">
        <f t="shared" si="422"/>
        <v>0</v>
      </c>
      <c r="J1230" s="1290">
        <f t="shared" si="422"/>
        <v>0</v>
      </c>
      <c r="K1230" s="1290">
        <f t="shared" si="422"/>
        <v>0</v>
      </c>
      <c r="L1230" s="1290">
        <f t="shared" si="422"/>
        <v>0</v>
      </c>
      <c r="M1230" s="1290">
        <f t="shared" si="422"/>
        <v>0</v>
      </c>
      <c r="N1230" s="168"/>
    </row>
    <row r="1231" spans="1:27" s="282" customFormat="1" outlineLevel="2" x14ac:dyDescent="0.25">
      <c r="A1231" s="276">
        <f t="shared" si="417"/>
        <v>157</v>
      </c>
      <c r="B1231" s="725" t="str">
        <f t="shared" si="409"/>
        <v>Campus Monitor/Custodian</v>
      </c>
      <c r="C1231" s="563"/>
      <c r="D1231" s="421"/>
      <c r="G1231" s="1290">
        <f t="shared" ref="G1231:M1231" si="423">G160*$C$94</f>
        <v>0</v>
      </c>
      <c r="H1231" s="1290">
        <f t="shared" si="423"/>
        <v>0</v>
      </c>
      <c r="I1231" s="1290">
        <f t="shared" si="423"/>
        <v>0</v>
      </c>
      <c r="J1231" s="1290">
        <f t="shared" si="423"/>
        <v>0</v>
      </c>
      <c r="K1231" s="1290">
        <f t="shared" si="423"/>
        <v>0</v>
      </c>
      <c r="L1231" s="1290">
        <f t="shared" si="423"/>
        <v>0</v>
      </c>
      <c r="M1231" s="1290">
        <f t="shared" si="423"/>
        <v>0</v>
      </c>
      <c r="N1231" s="168"/>
    </row>
    <row r="1232" spans="1:27" s="282" customFormat="1" outlineLevel="2" x14ac:dyDescent="0.25">
      <c r="A1232" s="276">
        <f t="shared" si="417"/>
        <v>158</v>
      </c>
      <c r="B1232" s="725" t="str">
        <f t="shared" si="409"/>
        <v xml:space="preserve">Receptionist </v>
      </c>
      <c r="C1232" s="563"/>
      <c r="D1232" s="421"/>
      <c r="G1232" s="1290">
        <f t="shared" ref="G1232:M1232" si="424">G161*$C$94</f>
        <v>0</v>
      </c>
      <c r="H1232" s="1290">
        <f t="shared" si="424"/>
        <v>0</v>
      </c>
      <c r="I1232" s="1290">
        <f t="shared" si="424"/>
        <v>0</v>
      </c>
      <c r="J1232" s="1290">
        <f t="shared" si="424"/>
        <v>0</v>
      </c>
      <c r="K1232" s="1290">
        <f t="shared" si="424"/>
        <v>0</v>
      </c>
      <c r="L1232" s="1290">
        <f t="shared" si="424"/>
        <v>0</v>
      </c>
      <c r="M1232" s="1290">
        <f t="shared" si="424"/>
        <v>0</v>
      </c>
      <c r="N1232" s="168"/>
    </row>
    <row r="1233" spans="1:14" s="282" customFormat="1" outlineLevel="2" x14ac:dyDescent="0.25">
      <c r="A1233" s="276">
        <f t="shared" si="417"/>
        <v>159</v>
      </c>
      <c r="B1233" s="725" t="str">
        <f t="shared" si="409"/>
        <v>Clinic Aide / FASA</v>
      </c>
      <c r="C1233" s="563"/>
      <c r="D1233" s="421"/>
      <c r="G1233" s="1290">
        <f t="shared" ref="G1233:M1233" si="425">G162*$C$94</f>
        <v>0</v>
      </c>
      <c r="H1233" s="1290">
        <f t="shared" si="425"/>
        <v>0</v>
      </c>
      <c r="I1233" s="1290">
        <f t="shared" si="425"/>
        <v>0</v>
      </c>
      <c r="J1233" s="1290">
        <f t="shared" si="425"/>
        <v>0</v>
      </c>
      <c r="K1233" s="1290">
        <f t="shared" si="425"/>
        <v>0</v>
      </c>
      <c r="L1233" s="1290">
        <f t="shared" si="425"/>
        <v>0</v>
      </c>
      <c r="M1233" s="1290">
        <f t="shared" si="425"/>
        <v>0</v>
      </c>
      <c r="N1233" s="168"/>
    </row>
    <row r="1234" spans="1:14" s="282" customFormat="1" outlineLevel="2" x14ac:dyDescent="0.25">
      <c r="A1234" s="276">
        <f t="shared" ref="A1234:A1235" si="426">ROW(A160)</f>
        <v>160</v>
      </c>
      <c r="B1234" s="725">
        <f t="shared" si="409"/>
        <v>0</v>
      </c>
      <c r="C1234" s="563"/>
      <c r="D1234" s="421"/>
      <c r="G1234" s="1290">
        <f t="shared" ref="G1234:M1234" si="427">G163*$C$94</f>
        <v>0</v>
      </c>
      <c r="H1234" s="1290">
        <f t="shared" si="427"/>
        <v>0</v>
      </c>
      <c r="I1234" s="1290">
        <f t="shared" si="427"/>
        <v>0</v>
      </c>
      <c r="J1234" s="1290">
        <f t="shared" si="427"/>
        <v>0</v>
      </c>
      <c r="K1234" s="1290">
        <f t="shared" si="427"/>
        <v>0</v>
      </c>
      <c r="L1234" s="1290">
        <f t="shared" si="427"/>
        <v>0</v>
      </c>
      <c r="M1234" s="1290">
        <f t="shared" si="427"/>
        <v>0</v>
      </c>
      <c r="N1234" s="168"/>
    </row>
    <row r="1235" spans="1:14" s="282" customFormat="1" outlineLevel="2" x14ac:dyDescent="0.25">
      <c r="A1235" s="276">
        <f t="shared" si="426"/>
        <v>161</v>
      </c>
      <c r="B1235" s="709" t="str">
        <f t="shared" si="409"/>
        <v>Total Guidance Counselors/Other</v>
      </c>
      <c r="C1235" s="708"/>
      <c r="D1235" s="546"/>
      <c r="E1235" s="724"/>
      <c r="F1235" s="724"/>
      <c r="G1235" s="1296">
        <f t="shared" ref="G1235:M1235" si="428">SUM(G1226:G1234)</f>
        <v>0</v>
      </c>
      <c r="H1235" s="1296">
        <f t="shared" si="428"/>
        <v>0</v>
      </c>
      <c r="I1235" s="1296">
        <f t="shared" si="428"/>
        <v>0</v>
      </c>
      <c r="J1235" s="1296">
        <f t="shared" si="428"/>
        <v>0</v>
      </c>
      <c r="K1235" s="1296">
        <f t="shared" si="428"/>
        <v>0</v>
      </c>
      <c r="L1235" s="1296">
        <f t="shared" si="428"/>
        <v>0</v>
      </c>
      <c r="M1235" s="1296">
        <f t="shared" si="428"/>
        <v>0</v>
      </c>
      <c r="N1235" s="168"/>
    </row>
    <row r="1236" spans="1:14" s="282" customFormat="1" outlineLevel="2" x14ac:dyDescent="0.25">
      <c r="A1236" s="276">
        <f>ROW(A160)</f>
        <v>160</v>
      </c>
      <c r="B1236" s="725"/>
      <c r="C1236" s="563"/>
      <c r="D1236" s="421"/>
      <c r="G1236" s="1290"/>
      <c r="H1236" s="1290"/>
      <c r="I1236" s="1290"/>
      <c r="J1236" s="1290"/>
      <c r="K1236" s="1290"/>
      <c r="L1236" s="1290"/>
      <c r="M1236" s="1290"/>
      <c r="N1236" s="168"/>
    </row>
    <row r="1237" spans="1:14" s="282" customFormat="1" outlineLevel="2" x14ac:dyDescent="0.25">
      <c r="A1237" s="276">
        <f>ROW(A170)</f>
        <v>170</v>
      </c>
      <c r="B1237" s="545" t="str">
        <f t="shared" si="409"/>
        <v xml:space="preserve">Total Special Education/ELL Teachers/Guidance Counselors </v>
      </c>
      <c r="C1237" s="708"/>
      <c r="D1237" s="546"/>
      <c r="E1237" s="724"/>
      <c r="F1237" s="724"/>
      <c r="G1237" s="1296">
        <f>+G1235+G1223+G1211</f>
        <v>0</v>
      </c>
      <c r="H1237" s="1296">
        <f t="shared" ref="H1237:M1237" si="429">+H1235+H1223+H1211</f>
        <v>0</v>
      </c>
      <c r="I1237" s="1296">
        <f t="shared" si="429"/>
        <v>0</v>
      </c>
      <c r="J1237" s="1296">
        <f t="shared" si="429"/>
        <v>0</v>
      </c>
      <c r="K1237" s="1296">
        <f t="shared" si="429"/>
        <v>0</v>
      </c>
      <c r="L1237" s="1296">
        <f t="shared" si="429"/>
        <v>0</v>
      </c>
      <c r="M1237" s="1296">
        <f t="shared" si="429"/>
        <v>0</v>
      </c>
      <c r="N1237" s="168"/>
    </row>
    <row r="1238" spans="1:14" s="282" customFormat="1" outlineLevel="2" x14ac:dyDescent="0.25">
      <c r="A1238" s="276">
        <f t="shared" ref="A1238:A1242" si="430">ROW(A171)</f>
        <v>171</v>
      </c>
      <c r="B1238" s="1397"/>
      <c r="C1238" s="1398"/>
      <c r="D1238" s="1399"/>
      <c r="E1238" s="1400"/>
      <c r="F1238" s="1400"/>
      <c r="G1238" s="1401"/>
      <c r="H1238" s="1401"/>
      <c r="I1238" s="1401"/>
      <c r="J1238" s="1401"/>
      <c r="K1238" s="1401"/>
      <c r="L1238" s="1401"/>
      <c r="M1238" s="1401"/>
      <c r="N1238" s="168"/>
    </row>
    <row r="1239" spans="1:14" s="282" customFormat="1" outlineLevel="2" x14ac:dyDescent="0.25">
      <c r="A1239" s="276">
        <f t="shared" si="430"/>
        <v>172</v>
      </c>
      <c r="B1239" s="1395" t="str">
        <f t="shared" si="409"/>
        <v>Grade Level (Core) Teachers</v>
      </c>
      <c r="C1239" s="743"/>
      <c r="D1239" s="744"/>
      <c r="E1239" s="728"/>
      <c r="F1239" s="728"/>
      <c r="G1239" s="1396"/>
      <c r="H1239" s="1396"/>
      <c r="I1239" s="1396"/>
      <c r="J1239" s="1396"/>
      <c r="K1239" s="1396"/>
      <c r="L1239" s="1396"/>
      <c r="M1239" s="1396"/>
      <c r="N1239" s="168"/>
    </row>
    <row r="1240" spans="1:14" s="282" customFormat="1" outlineLevel="2" x14ac:dyDescent="0.25">
      <c r="A1240" s="276">
        <f t="shared" si="430"/>
        <v>173</v>
      </c>
      <c r="B1240" s="725" t="str">
        <f t="shared" si="409"/>
        <v>Teacher</v>
      </c>
      <c r="C1240" s="563"/>
      <c r="D1240" s="421"/>
      <c r="G1240" s="1290"/>
      <c r="H1240" s="1290"/>
      <c r="I1240" s="1290"/>
      <c r="J1240" s="1290"/>
      <c r="K1240" s="1290"/>
      <c r="L1240" s="1290"/>
      <c r="M1240" s="1290"/>
      <c r="N1240" s="168"/>
    </row>
    <row r="1241" spans="1:14" s="282" customFormat="1" outlineLevel="2" x14ac:dyDescent="0.25">
      <c r="A1241" s="276">
        <f t="shared" si="430"/>
        <v>174</v>
      </c>
      <c r="B1241" s="1394" t="str">
        <f t="shared" si="409"/>
        <v>Fall of School Year 1 =</v>
      </c>
      <c r="C1241" s="743"/>
      <c r="D1241" s="744"/>
      <c r="E1241" s="289"/>
      <c r="F1241" s="289"/>
      <c r="G1241" s="1295"/>
      <c r="H1241" s="1295"/>
      <c r="I1241" s="1295"/>
      <c r="J1241" s="1295"/>
      <c r="K1241" s="1295"/>
      <c r="L1241" s="1295"/>
      <c r="M1241" s="1295"/>
      <c r="N1241" s="168"/>
    </row>
    <row r="1242" spans="1:14" s="282" customFormat="1" outlineLevel="2" x14ac:dyDescent="0.25">
      <c r="A1242" s="276">
        <f t="shared" si="430"/>
        <v>175</v>
      </c>
      <c r="B1242" s="725"/>
      <c r="C1242" s="563"/>
      <c r="D1242" s="421"/>
      <c r="G1242" s="1290"/>
      <c r="H1242" s="1290"/>
      <c r="I1242" s="1290"/>
      <c r="J1242" s="1290"/>
      <c r="K1242" s="1290"/>
      <c r="L1242" s="1290"/>
      <c r="M1242" s="1290"/>
      <c r="N1242" s="168"/>
    </row>
    <row r="1243" spans="1:14" s="282" customFormat="1" outlineLevel="2" x14ac:dyDescent="0.25">
      <c r="A1243" s="276">
        <f t="shared" ref="A1243:A1270" si="431">ROW(A172)</f>
        <v>172</v>
      </c>
      <c r="B1243" s="725" t="str">
        <f>$B172</f>
        <v>Kindergarten Teacher</v>
      </c>
      <c r="C1243" s="563"/>
      <c r="D1243" s="421"/>
      <c r="G1243" s="1290">
        <f t="shared" ref="G1243:M1245" si="432">G172*$C$94</f>
        <v>0</v>
      </c>
      <c r="H1243" s="1290">
        <f t="shared" si="432"/>
        <v>0</v>
      </c>
      <c r="I1243" s="1290">
        <f t="shared" si="432"/>
        <v>0</v>
      </c>
      <c r="J1243" s="1290">
        <f t="shared" si="432"/>
        <v>0</v>
      </c>
      <c r="K1243" s="1290">
        <f t="shared" si="432"/>
        <v>0</v>
      </c>
      <c r="L1243" s="1290">
        <f t="shared" si="432"/>
        <v>0</v>
      </c>
      <c r="M1243" s="1290">
        <f t="shared" si="432"/>
        <v>0</v>
      </c>
      <c r="N1243" s="168"/>
    </row>
    <row r="1244" spans="1:14" s="282" customFormat="1" outlineLevel="2" x14ac:dyDescent="0.25">
      <c r="A1244" s="276">
        <f t="shared" si="431"/>
        <v>173</v>
      </c>
      <c r="B1244" s="725" t="str">
        <f>$B173</f>
        <v>Kindergarten Teacher</v>
      </c>
      <c r="C1244" s="563"/>
      <c r="D1244" s="421"/>
      <c r="G1244" s="1290">
        <f t="shared" si="432"/>
        <v>0</v>
      </c>
      <c r="H1244" s="1290">
        <f t="shared" si="432"/>
        <v>0</v>
      </c>
      <c r="I1244" s="1290">
        <f t="shared" si="432"/>
        <v>0</v>
      </c>
      <c r="J1244" s="1290">
        <f t="shared" si="432"/>
        <v>0</v>
      </c>
      <c r="K1244" s="1290">
        <f t="shared" si="432"/>
        <v>0</v>
      </c>
      <c r="L1244" s="1290">
        <f t="shared" si="432"/>
        <v>0</v>
      </c>
      <c r="M1244" s="1290">
        <f t="shared" si="432"/>
        <v>0</v>
      </c>
      <c r="N1244" s="168"/>
    </row>
    <row r="1245" spans="1:14" s="282" customFormat="1" outlineLevel="2" x14ac:dyDescent="0.25">
      <c r="A1245" s="276">
        <f t="shared" si="431"/>
        <v>174</v>
      </c>
      <c r="B1245" s="725" t="str">
        <f>$B174</f>
        <v>Kindergarten Teacher</v>
      </c>
      <c r="C1245" s="563"/>
      <c r="D1245" s="421"/>
      <c r="G1245" s="1290">
        <f t="shared" si="432"/>
        <v>0</v>
      </c>
      <c r="H1245" s="1290">
        <f t="shared" si="432"/>
        <v>0</v>
      </c>
      <c r="I1245" s="1290">
        <f t="shared" si="432"/>
        <v>0</v>
      </c>
      <c r="J1245" s="1290">
        <f t="shared" si="432"/>
        <v>0</v>
      </c>
      <c r="K1245" s="1290">
        <f t="shared" si="432"/>
        <v>0</v>
      </c>
      <c r="L1245" s="1290">
        <f t="shared" si="432"/>
        <v>0</v>
      </c>
      <c r="M1245" s="1290">
        <f t="shared" si="432"/>
        <v>0</v>
      </c>
      <c r="N1245" s="168"/>
    </row>
    <row r="1246" spans="1:14" s="282" customFormat="1" outlineLevel="2" x14ac:dyDescent="0.25">
      <c r="A1246" s="276">
        <f t="shared" si="431"/>
        <v>175</v>
      </c>
      <c r="B1246" s="725"/>
      <c r="C1246" s="563"/>
      <c r="D1246" s="421"/>
      <c r="G1246" s="1290"/>
      <c r="H1246" s="1290"/>
      <c r="I1246" s="1290"/>
      <c r="J1246" s="1290"/>
      <c r="K1246" s="1290"/>
      <c r="L1246" s="1290"/>
      <c r="M1246" s="1290"/>
      <c r="N1246" s="168"/>
    </row>
    <row r="1247" spans="1:14" s="282" customFormat="1" outlineLevel="2" x14ac:dyDescent="0.25">
      <c r="A1247" s="276">
        <f t="shared" si="431"/>
        <v>176</v>
      </c>
      <c r="B1247" s="725" t="str">
        <f>$B176</f>
        <v>Kindergarten Teacher</v>
      </c>
      <c r="C1247" s="563"/>
      <c r="D1247" s="421"/>
      <c r="G1247" s="1290">
        <f t="shared" ref="G1247:M1251" si="433">G176*$C$94</f>
        <v>0</v>
      </c>
      <c r="H1247" s="1290">
        <f t="shared" si="433"/>
        <v>0</v>
      </c>
      <c r="I1247" s="1290">
        <f t="shared" si="433"/>
        <v>0</v>
      </c>
      <c r="J1247" s="1290">
        <f t="shared" si="433"/>
        <v>0</v>
      </c>
      <c r="K1247" s="1290">
        <f t="shared" si="433"/>
        <v>0</v>
      </c>
      <c r="L1247" s="1290">
        <f t="shared" si="433"/>
        <v>0</v>
      </c>
      <c r="M1247" s="1290">
        <f t="shared" si="433"/>
        <v>0</v>
      </c>
      <c r="N1247" s="168"/>
    </row>
    <row r="1248" spans="1:14" s="282" customFormat="1" outlineLevel="2" x14ac:dyDescent="0.25">
      <c r="A1248" s="276">
        <f t="shared" si="431"/>
        <v>177</v>
      </c>
      <c r="B1248" s="725" t="str">
        <f>$B177</f>
        <v>1st Grade Teacher</v>
      </c>
      <c r="C1248" s="563"/>
      <c r="D1248" s="421"/>
      <c r="G1248" s="1290">
        <f t="shared" si="433"/>
        <v>0</v>
      </c>
      <c r="H1248" s="1290">
        <f t="shared" si="433"/>
        <v>0</v>
      </c>
      <c r="I1248" s="1290">
        <f t="shared" si="433"/>
        <v>0</v>
      </c>
      <c r="J1248" s="1290">
        <f t="shared" si="433"/>
        <v>0</v>
      </c>
      <c r="K1248" s="1290">
        <f t="shared" si="433"/>
        <v>0</v>
      </c>
      <c r="L1248" s="1290">
        <f t="shared" si="433"/>
        <v>0</v>
      </c>
      <c r="M1248" s="1290">
        <f t="shared" si="433"/>
        <v>0</v>
      </c>
      <c r="N1248" s="168"/>
    </row>
    <row r="1249" spans="1:27" s="282" customFormat="1" outlineLevel="2" x14ac:dyDescent="0.25">
      <c r="A1249" s="276">
        <f t="shared" si="431"/>
        <v>178</v>
      </c>
      <c r="B1249" s="725" t="str">
        <f>$B178</f>
        <v>1st Grade Teacher</v>
      </c>
      <c r="C1249" s="563"/>
      <c r="D1249" s="421"/>
      <c r="G1249" s="1290">
        <f t="shared" si="433"/>
        <v>0</v>
      </c>
      <c r="H1249" s="1290">
        <f t="shared" si="433"/>
        <v>0</v>
      </c>
      <c r="I1249" s="1290">
        <f t="shared" si="433"/>
        <v>0</v>
      </c>
      <c r="J1249" s="1290">
        <f t="shared" si="433"/>
        <v>0</v>
      </c>
      <c r="K1249" s="1290">
        <f t="shared" si="433"/>
        <v>0</v>
      </c>
      <c r="L1249" s="1290">
        <f t="shared" si="433"/>
        <v>0</v>
      </c>
      <c r="M1249" s="1290">
        <f t="shared" si="433"/>
        <v>0</v>
      </c>
      <c r="N1249" s="168"/>
    </row>
    <row r="1250" spans="1:27" s="282" customFormat="1" outlineLevel="2" x14ac:dyDescent="0.25">
      <c r="A1250" s="276">
        <f t="shared" si="431"/>
        <v>179</v>
      </c>
      <c r="B1250" s="725" t="str">
        <f>$B179</f>
        <v>1st Grade Teacher</v>
      </c>
      <c r="C1250" s="563"/>
      <c r="D1250" s="421"/>
      <c r="G1250" s="1290">
        <f t="shared" si="433"/>
        <v>0</v>
      </c>
      <c r="H1250" s="1290">
        <f t="shared" si="433"/>
        <v>0</v>
      </c>
      <c r="I1250" s="1290">
        <f t="shared" si="433"/>
        <v>0</v>
      </c>
      <c r="J1250" s="1290">
        <f t="shared" si="433"/>
        <v>0</v>
      </c>
      <c r="K1250" s="1290">
        <f t="shared" si="433"/>
        <v>0</v>
      </c>
      <c r="L1250" s="1290">
        <f t="shared" si="433"/>
        <v>0</v>
      </c>
      <c r="M1250" s="1290">
        <f t="shared" si="433"/>
        <v>0</v>
      </c>
      <c r="N1250" s="168"/>
    </row>
    <row r="1251" spans="1:27" outlineLevel="2" x14ac:dyDescent="0.25">
      <c r="A1251" s="276">
        <f t="shared" si="431"/>
        <v>180</v>
      </c>
      <c r="B1251" s="725" t="str">
        <f>$B180</f>
        <v>1st Grade Teacher</v>
      </c>
      <c r="C1251" s="563"/>
      <c r="D1251" s="421"/>
      <c r="G1251" s="1290">
        <f t="shared" si="433"/>
        <v>0</v>
      </c>
      <c r="H1251" s="1290">
        <f t="shared" si="433"/>
        <v>0</v>
      </c>
      <c r="I1251" s="1290">
        <f t="shared" si="433"/>
        <v>0</v>
      </c>
      <c r="J1251" s="1290">
        <f t="shared" si="433"/>
        <v>0</v>
      </c>
      <c r="K1251" s="1290">
        <f t="shared" si="433"/>
        <v>0</v>
      </c>
      <c r="L1251" s="1290">
        <f t="shared" si="433"/>
        <v>0</v>
      </c>
      <c r="M1251" s="1290">
        <f t="shared" si="433"/>
        <v>0</v>
      </c>
      <c r="N1251" s="141"/>
      <c r="R1251" s="282"/>
      <c r="S1251" s="282"/>
      <c r="T1251" s="282"/>
      <c r="U1251" s="282"/>
      <c r="V1251" s="282"/>
      <c r="W1251" s="282"/>
      <c r="X1251" s="282"/>
      <c r="Y1251" s="282"/>
      <c r="Z1251" s="282"/>
      <c r="AA1251" s="282"/>
    </row>
    <row r="1252" spans="1:27" outlineLevel="2" x14ac:dyDescent="0.25">
      <c r="A1252" s="276">
        <f t="shared" si="431"/>
        <v>181</v>
      </c>
      <c r="B1252" s="725"/>
      <c r="C1252" s="564"/>
      <c r="D1252" s="282"/>
      <c r="G1252" s="1290"/>
      <c r="H1252" s="1290"/>
      <c r="I1252" s="1290"/>
      <c r="J1252" s="1290"/>
      <c r="K1252" s="1290"/>
      <c r="L1252" s="1290"/>
      <c r="M1252" s="1290"/>
      <c r="N1252" s="141"/>
      <c r="R1252" s="282"/>
      <c r="S1252" s="282"/>
      <c r="T1252" s="282"/>
      <c r="U1252" s="282"/>
      <c r="V1252" s="282"/>
      <c r="W1252" s="282"/>
      <c r="X1252" s="282"/>
      <c r="Y1252" s="282"/>
      <c r="Z1252" s="282"/>
      <c r="AA1252" s="282"/>
    </row>
    <row r="1253" spans="1:27" s="282" customFormat="1" outlineLevel="2" x14ac:dyDescent="0.25">
      <c r="A1253" s="276">
        <f t="shared" si="431"/>
        <v>182</v>
      </c>
      <c r="B1253" s="725" t="str">
        <f>$B182</f>
        <v>2nd Grade Teacher</v>
      </c>
      <c r="C1253" s="563"/>
      <c r="D1253" s="421"/>
      <c r="G1253" s="1290">
        <f t="shared" ref="G1253:M1257" si="434">G182*$C$94</f>
        <v>0</v>
      </c>
      <c r="H1253" s="1290">
        <f t="shared" si="434"/>
        <v>0</v>
      </c>
      <c r="I1253" s="1290">
        <f t="shared" si="434"/>
        <v>0</v>
      </c>
      <c r="J1253" s="1290">
        <f t="shared" si="434"/>
        <v>0</v>
      </c>
      <c r="K1253" s="1290">
        <f t="shared" si="434"/>
        <v>0</v>
      </c>
      <c r="L1253" s="1290">
        <f t="shared" si="434"/>
        <v>0</v>
      </c>
      <c r="M1253" s="1290">
        <f t="shared" si="434"/>
        <v>0</v>
      </c>
      <c r="N1253" s="168"/>
    </row>
    <row r="1254" spans="1:27" s="282" customFormat="1" outlineLevel="2" x14ac:dyDescent="0.25">
      <c r="A1254" s="276">
        <f t="shared" si="431"/>
        <v>183</v>
      </c>
      <c r="B1254" s="725" t="str">
        <f>$B183</f>
        <v>2nd Grade Teacher</v>
      </c>
      <c r="C1254" s="563"/>
      <c r="D1254" s="421"/>
      <c r="G1254" s="1290">
        <f t="shared" si="434"/>
        <v>0</v>
      </c>
      <c r="H1254" s="1290">
        <f t="shared" si="434"/>
        <v>0</v>
      </c>
      <c r="I1254" s="1290">
        <f t="shared" si="434"/>
        <v>0</v>
      </c>
      <c r="J1254" s="1290">
        <f t="shared" si="434"/>
        <v>0</v>
      </c>
      <c r="K1254" s="1290">
        <f t="shared" si="434"/>
        <v>0</v>
      </c>
      <c r="L1254" s="1290">
        <f t="shared" si="434"/>
        <v>0</v>
      </c>
      <c r="M1254" s="1290">
        <f t="shared" si="434"/>
        <v>0</v>
      </c>
      <c r="N1254" s="168"/>
    </row>
    <row r="1255" spans="1:27" s="282" customFormat="1" outlineLevel="2" x14ac:dyDescent="0.25">
      <c r="A1255" s="276">
        <f t="shared" si="431"/>
        <v>184</v>
      </c>
      <c r="B1255" s="725" t="str">
        <f>$B184</f>
        <v>2nd Grade Teacher</v>
      </c>
      <c r="C1255" s="563"/>
      <c r="D1255" s="421"/>
      <c r="G1255" s="1290">
        <f t="shared" si="434"/>
        <v>0</v>
      </c>
      <c r="H1255" s="1290">
        <f t="shared" si="434"/>
        <v>0</v>
      </c>
      <c r="I1255" s="1290">
        <f t="shared" si="434"/>
        <v>0</v>
      </c>
      <c r="J1255" s="1290">
        <f t="shared" si="434"/>
        <v>0</v>
      </c>
      <c r="K1255" s="1290">
        <f t="shared" si="434"/>
        <v>0</v>
      </c>
      <c r="L1255" s="1290">
        <f t="shared" si="434"/>
        <v>0</v>
      </c>
      <c r="M1255" s="1290">
        <f t="shared" si="434"/>
        <v>0</v>
      </c>
      <c r="N1255" s="168"/>
    </row>
    <row r="1256" spans="1:27" s="282" customFormat="1" outlineLevel="2" x14ac:dyDescent="0.25">
      <c r="A1256" s="276">
        <f t="shared" si="431"/>
        <v>185</v>
      </c>
      <c r="B1256" s="725" t="str">
        <f>$B185</f>
        <v>2nd Grade Teacher</v>
      </c>
      <c r="C1256" s="563"/>
      <c r="D1256" s="421"/>
      <c r="G1256" s="1290">
        <f t="shared" si="434"/>
        <v>0</v>
      </c>
      <c r="H1256" s="1290">
        <f t="shared" si="434"/>
        <v>0</v>
      </c>
      <c r="I1256" s="1290">
        <f t="shared" si="434"/>
        <v>0</v>
      </c>
      <c r="J1256" s="1290">
        <f t="shared" si="434"/>
        <v>0</v>
      </c>
      <c r="K1256" s="1290">
        <f t="shared" si="434"/>
        <v>0</v>
      </c>
      <c r="L1256" s="1290">
        <f t="shared" si="434"/>
        <v>0</v>
      </c>
      <c r="M1256" s="1290">
        <f t="shared" si="434"/>
        <v>0</v>
      </c>
      <c r="N1256" s="168"/>
    </row>
    <row r="1257" spans="1:27" s="282" customFormat="1" outlineLevel="2" x14ac:dyDescent="0.25">
      <c r="A1257" s="276">
        <f t="shared" si="431"/>
        <v>186</v>
      </c>
      <c r="B1257" s="725" t="str">
        <f>$B186</f>
        <v>3rd Grade Teacher</v>
      </c>
      <c r="C1257" s="563"/>
      <c r="D1257" s="421"/>
      <c r="G1257" s="1290">
        <f t="shared" si="434"/>
        <v>0</v>
      </c>
      <c r="H1257" s="1290">
        <f t="shared" si="434"/>
        <v>0</v>
      </c>
      <c r="I1257" s="1290">
        <f t="shared" si="434"/>
        <v>0</v>
      </c>
      <c r="J1257" s="1290">
        <f t="shared" si="434"/>
        <v>0</v>
      </c>
      <c r="K1257" s="1290">
        <f t="shared" si="434"/>
        <v>0</v>
      </c>
      <c r="L1257" s="1290">
        <f t="shared" si="434"/>
        <v>0</v>
      </c>
      <c r="M1257" s="1290">
        <f t="shared" si="434"/>
        <v>0</v>
      </c>
      <c r="N1257" s="168"/>
    </row>
    <row r="1258" spans="1:27" s="282" customFormat="1" outlineLevel="2" x14ac:dyDescent="0.25">
      <c r="A1258" s="276">
        <f t="shared" si="431"/>
        <v>187</v>
      </c>
      <c r="B1258" s="725"/>
      <c r="C1258" s="563"/>
      <c r="D1258" s="421"/>
      <c r="G1258" s="1290"/>
      <c r="H1258" s="1290"/>
      <c r="I1258" s="1290"/>
      <c r="J1258" s="1290"/>
      <c r="K1258" s="1290"/>
      <c r="L1258" s="1290"/>
      <c r="M1258" s="1290"/>
      <c r="N1258" s="168"/>
    </row>
    <row r="1259" spans="1:27" s="282" customFormat="1" outlineLevel="2" x14ac:dyDescent="0.25">
      <c r="A1259" s="276">
        <f t="shared" si="431"/>
        <v>188</v>
      </c>
      <c r="B1259" s="725" t="str">
        <f>$B188</f>
        <v>3rd Grade Teacher</v>
      </c>
      <c r="C1259" s="563"/>
      <c r="D1259" s="421"/>
      <c r="G1259" s="1290">
        <f t="shared" ref="G1259:M1263" si="435">G188*$C$94</f>
        <v>0</v>
      </c>
      <c r="H1259" s="1290">
        <f t="shared" si="435"/>
        <v>0</v>
      </c>
      <c r="I1259" s="1290">
        <f t="shared" si="435"/>
        <v>0</v>
      </c>
      <c r="J1259" s="1290">
        <f t="shared" si="435"/>
        <v>0</v>
      </c>
      <c r="K1259" s="1290">
        <f t="shared" si="435"/>
        <v>0</v>
      </c>
      <c r="L1259" s="1290">
        <f t="shared" si="435"/>
        <v>0</v>
      </c>
      <c r="M1259" s="1290">
        <f t="shared" si="435"/>
        <v>0</v>
      </c>
      <c r="N1259" s="168"/>
    </row>
    <row r="1260" spans="1:27" s="282" customFormat="1" outlineLevel="2" x14ac:dyDescent="0.25">
      <c r="A1260" s="276">
        <f t="shared" si="431"/>
        <v>189</v>
      </c>
      <c r="B1260" s="725" t="str">
        <f>$B189</f>
        <v>3rd Grade Teacher</v>
      </c>
      <c r="C1260" s="563"/>
      <c r="D1260" s="421"/>
      <c r="G1260" s="1290">
        <f t="shared" si="435"/>
        <v>0</v>
      </c>
      <c r="H1260" s="1290">
        <f t="shared" si="435"/>
        <v>0</v>
      </c>
      <c r="I1260" s="1290">
        <f t="shared" si="435"/>
        <v>0</v>
      </c>
      <c r="J1260" s="1290">
        <f t="shared" si="435"/>
        <v>0</v>
      </c>
      <c r="K1260" s="1290">
        <f t="shared" si="435"/>
        <v>0</v>
      </c>
      <c r="L1260" s="1290">
        <f t="shared" si="435"/>
        <v>0</v>
      </c>
      <c r="M1260" s="1290">
        <f t="shared" si="435"/>
        <v>0</v>
      </c>
      <c r="N1260" s="168"/>
    </row>
    <row r="1261" spans="1:27" s="282" customFormat="1" outlineLevel="2" x14ac:dyDescent="0.25">
      <c r="A1261" s="276">
        <f t="shared" si="431"/>
        <v>190</v>
      </c>
      <c r="B1261" s="725" t="str">
        <f>$B190</f>
        <v>3rd Grade Teacher</v>
      </c>
      <c r="C1261" s="563"/>
      <c r="D1261" s="421"/>
      <c r="G1261" s="1290">
        <f t="shared" si="435"/>
        <v>0</v>
      </c>
      <c r="H1261" s="1290">
        <f t="shared" si="435"/>
        <v>0</v>
      </c>
      <c r="I1261" s="1290">
        <f t="shared" si="435"/>
        <v>0</v>
      </c>
      <c r="J1261" s="1290">
        <f t="shared" si="435"/>
        <v>0</v>
      </c>
      <c r="K1261" s="1290">
        <f t="shared" si="435"/>
        <v>0</v>
      </c>
      <c r="L1261" s="1290">
        <f t="shared" si="435"/>
        <v>0</v>
      </c>
      <c r="M1261" s="1290">
        <f t="shared" si="435"/>
        <v>0</v>
      </c>
      <c r="N1261" s="168"/>
    </row>
    <row r="1262" spans="1:27" s="282" customFormat="1" outlineLevel="2" x14ac:dyDescent="0.25">
      <c r="A1262" s="276">
        <f t="shared" si="431"/>
        <v>191</v>
      </c>
      <c r="B1262" s="725" t="str">
        <f>$B191</f>
        <v>4th Grade Teacher</v>
      </c>
      <c r="C1262" s="563"/>
      <c r="D1262" s="421"/>
      <c r="G1262" s="1290">
        <f t="shared" si="435"/>
        <v>0</v>
      </c>
      <c r="H1262" s="1290">
        <f t="shared" si="435"/>
        <v>0</v>
      </c>
      <c r="I1262" s="1290">
        <f t="shared" si="435"/>
        <v>0</v>
      </c>
      <c r="J1262" s="1290">
        <f t="shared" si="435"/>
        <v>0</v>
      </c>
      <c r="K1262" s="1290">
        <f t="shared" si="435"/>
        <v>0</v>
      </c>
      <c r="L1262" s="1290">
        <f t="shared" si="435"/>
        <v>0</v>
      </c>
      <c r="M1262" s="1290">
        <f t="shared" si="435"/>
        <v>0</v>
      </c>
      <c r="N1262" s="168"/>
    </row>
    <row r="1263" spans="1:27" outlineLevel="2" x14ac:dyDescent="0.25">
      <c r="A1263" s="276">
        <f t="shared" si="431"/>
        <v>192</v>
      </c>
      <c r="B1263" s="725" t="str">
        <f>$B192</f>
        <v>4th Grade Teacher</v>
      </c>
      <c r="C1263" s="563"/>
      <c r="D1263" s="421"/>
      <c r="G1263" s="1290">
        <f t="shared" si="435"/>
        <v>0</v>
      </c>
      <c r="H1263" s="1290">
        <f t="shared" si="435"/>
        <v>0</v>
      </c>
      <c r="I1263" s="1290">
        <f t="shared" si="435"/>
        <v>0</v>
      </c>
      <c r="J1263" s="1290">
        <f t="shared" si="435"/>
        <v>0</v>
      </c>
      <c r="K1263" s="1290">
        <f t="shared" si="435"/>
        <v>0</v>
      </c>
      <c r="L1263" s="1290">
        <f t="shared" si="435"/>
        <v>0</v>
      </c>
      <c r="M1263" s="1290">
        <f t="shared" si="435"/>
        <v>0</v>
      </c>
      <c r="N1263" s="141"/>
      <c r="R1263" s="282"/>
      <c r="S1263" s="282"/>
      <c r="T1263" s="282"/>
      <c r="U1263" s="282"/>
      <c r="V1263" s="282"/>
      <c r="W1263" s="282"/>
      <c r="X1263" s="282"/>
      <c r="Y1263" s="282"/>
      <c r="Z1263" s="282"/>
      <c r="AA1263" s="282"/>
    </row>
    <row r="1264" spans="1:27" outlineLevel="2" x14ac:dyDescent="0.25">
      <c r="A1264" s="276">
        <f t="shared" si="431"/>
        <v>193</v>
      </c>
      <c r="B1264" s="725"/>
      <c r="C1264" s="564"/>
      <c r="D1264" s="282"/>
      <c r="G1264" s="1290"/>
      <c r="H1264" s="1290"/>
      <c r="I1264" s="1290"/>
      <c r="J1264" s="1290"/>
      <c r="K1264" s="1290"/>
      <c r="L1264" s="1290"/>
      <c r="M1264" s="1290"/>
      <c r="N1264" s="141"/>
      <c r="R1264" s="282"/>
      <c r="S1264" s="282"/>
      <c r="T1264" s="282"/>
      <c r="U1264" s="282"/>
      <c r="V1264" s="282"/>
      <c r="W1264" s="282"/>
      <c r="X1264" s="282"/>
      <c r="Y1264" s="282"/>
      <c r="Z1264" s="282"/>
      <c r="AA1264" s="282"/>
    </row>
    <row r="1265" spans="1:27" s="282" customFormat="1" outlineLevel="2" x14ac:dyDescent="0.25">
      <c r="A1265" s="276">
        <f t="shared" si="431"/>
        <v>194</v>
      </c>
      <c r="B1265" s="725" t="str">
        <f>$B194</f>
        <v>4th Grade Teacher</v>
      </c>
      <c r="C1265" s="563"/>
      <c r="D1265" s="421"/>
      <c r="G1265" s="1290">
        <f t="shared" ref="G1265:M1269" si="436">G194*$C$94</f>
        <v>0</v>
      </c>
      <c r="H1265" s="1290">
        <f t="shared" si="436"/>
        <v>0</v>
      </c>
      <c r="I1265" s="1290">
        <f t="shared" si="436"/>
        <v>0</v>
      </c>
      <c r="J1265" s="1290">
        <f t="shared" si="436"/>
        <v>0</v>
      </c>
      <c r="K1265" s="1290">
        <f t="shared" si="436"/>
        <v>0</v>
      </c>
      <c r="L1265" s="1290">
        <f t="shared" si="436"/>
        <v>0</v>
      </c>
      <c r="M1265" s="1290">
        <f t="shared" si="436"/>
        <v>0</v>
      </c>
      <c r="N1265" s="168"/>
    </row>
    <row r="1266" spans="1:27" s="282" customFormat="1" outlineLevel="2" x14ac:dyDescent="0.25">
      <c r="A1266" s="276">
        <f t="shared" si="431"/>
        <v>195</v>
      </c>
      <c r="B1266" s="725" t="str">
        <f>$B195</f>
        <v>4th Grade Teacher</v>
      </c>
      <c r="C1266" s="563"/>
      <c r="D1266" s="421"/>
      <c r="G1266" s="1290">
        <f t="shared" si="436"/>
        <v>0</v>
      </c>
      <c r="H1266" s="1290">
        <f t="shared" si="436"/>
        <v>0</v>
      </c>
      <c r="I1266" s="1290">
        <f t="shared" si="436"/>
        <v>0</v>
      </c>
      <c r="J1266" s="1290">
        <f t="shared" si="436"/>
        <v>0</v>
      </c>
      <c r="K1266" s="1290">
        <f t="shared" si="436"/>
        <v>0</v>
      </c>
      <c r="L1266" s="1290">
        <f t="shared" si="436"/>
        <v>0</v>
      </c>
      <c r="M1266" s="1290">
        <f t="shared" si="436"/>
        <v>0</v>
      </c>
      <c r="N1266" s="168"/>
    </row>
    <row r="1267" spans="1:27" s="282" customFormat="1" outlineLevel="2" x14ac:dyDescent="0.25">
      <c r="A1267" s="276">
        <f t="shared" si="431"/>
        <v>196</v>
      </c>
      <c r="B1267" s="725" t="str">
        <f>$B196</f>
        <v>5th Grade Teacher</v>
      </c>
      <c r="C1267" s="563"/>
      <c r="D1267" s="421"/>
      <c r="G1267" s="1290">
        <f t="shared" si="436"/>
        <v>0</v>
      </c>
      <c r="H1267" s="1290">
        <f t="shared" si="436"/>
        <v>0</v>
      </c>
      <c r="I1267" s="1290">
        <f t="shared" si="436"/>
        <v>0</v>
      </c>
      <c r="J1267" s="1290">
        <f t="shared" si="436"/>
        <v>0</v>
      </c>
      <c r="K1267" s="1290">
        <f t="shared" si="436"/>
        <v>0</v>
      </c>
      <c r="L1267" s="1290">
        <f t="shared" si="436"/>
        <v>0</v>
      </c>
      <c r="M1267" s="1290">
        <f t="shared" si="436"/>
        <v>0</v>
      </c>
      <c r="N1267" s="168"/>
    </row>
    <row r="1268" spans="1:27" s="282" customFormat="1" outlineLevel="2" x14ac:dyDescent="0.25">
      <c r="A1268" s="276">
        <f t="shared" si="431"/>
        <v>197</v>
      </c>
      <c r="B1268" s="725" t="str">
        <f>$B197</f>
        <v>5th Grade Teacher</v>
      </c>
      <c r="C1268" s="563"/>
      <c r="D1268" s="421"/>
      <c r="G1268" s="1290">
        <f t="shared" si="436"/>
        <v>0</v>
      </c>
      <c r="H1268" s="1290">
        <f t="shared" si="436"/>
        <v>0</v>
      </c>
      <c r="I1268" s="1290">
        <f t="shared" si="436"/>
        <v>0</v>
      </c>
      <c r="J1268" s="1290">
        <f t="shared" si="436"/>
        <v>0</v>
      </c>
      <c r="K1268" s="1290">
        <f t="shared" si="436"/>
        <v>0</v>
      </c>
      <c r="L1268" s="1290">
        <f t="shared" si="436"/>
        <v>0</v>
      </c>
      <c r="M1268" s="1290">
        <f t="shared" si="436"/>
        <v>0</v>
      </c>
      <c r="N1268" s="168"/>
    </row>
    <row r="1269" spans="1:27" s="282" customFormat="1" outlineLevel="2" x14ac:dyDescent="0.25">
      <c r="A1269" s="276">
        <f t="shared" si="431"/>
        <v>198</v>
      </c>
      <c r="B1269" s="725" t="str">
        <f>$B198</f>
        <v>5th Grade Teacher</v>
      </c>
      <c r="C1269" s="563"/>
      <c r="D1269" s="421"/>
      <c r="G1269" s="1290">
        <f t="shared" si="436"/>
        <v>0</v>
      </c>
      <c r="H1269" s="1290">
        <f t="shared" si="436"/>
        <v>0</v>
      </c>
      <c r="I1269" s="1290">
        <f t="shared" si="436"/>
        <v>0</v>
      </c>
      <c r="J1269" s="1290">
        <f t="shared" si="436"/>
        <v>0</v>
      </c>
      <c r="K1269" s="1290">
        <f t="shared" si="436"/>
        <v>0</v>
      </c>
      <c r="L1269" s="1290">
        <f t="shared" si="436"/>
        <v>0</v>
      </c>
      <c r="M1269" s="1290">
        <f t="shared" si="436"/>
        <v>0</v>
      </c>
      <c r="N1269" s="168"/>
    </row>
    <row r="1270" spans="1:27" s="282" customFormat="1" outlineLevel="2" x14ac:dyDescent="0.25">
      <c r="A1270" s="276">
        <f t="shared" si="431"/>
        <v>199</v>
      </c>
      <c r="B1270" s="725"/>
      <c r="C1270" s="563"/>
      <c r="D1270" s="421"/>
      <c r="G1270" s="1290"/>
      <c r="H1270" s="1290"/>
      <c r="I1270" s="1290"/>
      <c r="J1270" s="1290"/>
      <c r="K1270" s="1290"/>
      <c r="L1270" s="1290"/>
      <c r="M1270" s="1290"/>
      <c r="N1270" s="168"/>
    </row>
    <row r="1271" spans="1:27" s="282" customFormat="1" outlineLevel="2" x14ac:dyDescent="0.25">
      <c r="A1271" s="276">
        <f t="shared" ref="A1271:A1302" si="437">ROW(A340)</f>
        <v>340</v>
      </c>
      <c r="B1271" s="725" t="str">
        <f>$B200</f>
        <v>5th Grade Teacher</v>
      </c>
      <c r="C1271" s="563"/>
      <c r="D1271" s="421"/>
      <c r="G1271" s="1290">
        <f t="shared" ref="G1271:M1275" si="438">G200*$C$94</f>
        <v>0</v>
      </c>
      <c r="H1271" s="1290">
        <f t="shared" si="438"/>
        <v>0</v>
      </c>
      <c r="I1271" s="1290">
        <f t="shared" si="438"/>
        <v>0</v>
      </c>
      <c r="J1271" s="1290">
        <f t="shared" si="438"/>
        <v>0</v>
      </c>
      <c r="K1271" s="1290">
        <f t="shared" si="438"/>
        <v>0</v>
      </c>
      <c r="L1271" s="1290">
        <f t="shared" si="438"/>
        <v>0</v>
      </c>
      <c r="M1271" s="1290">
        <f t="shared" si="438"/>
        <v>0</v>
      </c>
      <c r="N1271" s="168"/>
    </row>
    <row r="1272" spans="1:27" s="282" customFormat="1" outlineLevel="2" x14ac:dyDescent="0.25">
      <c r="A1272" s="276">
        <f t="shared" si="437"/>
        <v>341</v>
      </c>
      <c r="B1272" s="725" t="str">
        <f>$B201</f>
        <v>6th Grade Teacher</v>
      </c>
      <c r="C1272" s="563"/>
      <c r="D1272" s="421"/>
      <c r="G1272" s="1290">
        <f t="shared" si="438"/>
        <v>0</v>
      </c>
      <c r="H1272" s="1290">
        <f t="shared" si="438"/>
        <v>0</v>
      </c>
      <c r="I1272" s="1290">
        <f t="shared" si="438"/>
        <v>0</v>
      </c>
      <c r="J1272" s="1290">
        <f t="shared" si="438"/>
        <v>0</v>
      </c>
      <c r="K1272" s="1290">
        <f t="shared" si="438"/>
        <v>0</v>
      </c>
      <c r="L1272" s="1290">
        <f t="shared" si="438"/>
        <v>0</v>
      </c>
      <c r="M1272" s="1290">
        <f t="shared" si="438"/>
        <v>0</v>
      </c>
      <c r="N1272" s="168"/>
    </row>
    <row r="1273" spans="1:27" s="282" customFormat="1" outlineLevel="2" x14ac:dyDescent="0.25">
      <c r="A1273" s="276">
        <f t="shared" si="437"/>
        <v>342</v>
      </c>
      <c r="B1273" s="725" t="str">
        <f>$B202</f>
        <v>6th Grade Teacher</v>
      </c>
      <c r="C1273" s="563"/>
      <c r="D1273" s="421"/>
      <c r="G1273" s="1290">
        <f t="shared" si="438"/>
        <v>0</v>
      </c>
      <c r="H1273" s="1290">
        <f t="shared" si="438"/>
        <v>0</v>
      </c>
      <c r="I1273" s="1290">
        <f t="shared" si="438"/>
        <v>0</v>
      </c>
      <c r="J1273" s="1290">
        <f t="shared" si="438"/>
        <v>0</v>
      </c>
      <c r="K1273" s="1290">
        <f t="shared" si="438"/>
        <v>0</v>
      </c>
      <c r="L1273" s="1290">
        <f t="shared" si="438"/>
        <v>0</v>
      </c>
      <c r="M1273" s="1290">
        <f t="shared" si="438"/>
        <v>0</v>
      </c>
      <c r="N1273" s="168"/>
    </row>
    <row r="1274" spans="1:27" s="282" customFormat="1" outlineLevel="2" x14ac:dyDescent="0.25">
      <c r="A1274" s="276">
        <f t="shared" si="437"/>
        <v>343</v>
      </c>
      <c r="B1274" s="725" t="str">
        <f>$B203</f>
        <v>6th Grade Teacher</v>
      </c>
      <c r="C1274" s="563"/>
      <c r="D1274" s="421"/>
      <c r="G1274" s="1290">
        <f t="shared" si="438"/>
        <v>0</v>
      </c>
      <c r="H1274" s="1290">
        <f t="shared" si="438"/>
        <v>0</v>
      </c>
      <c r="I1274" s="1290">
        <f t="shared" si="438"/>
        <v>0</v>
      </c>
      <c r="J1274" s="1290">
        <f t="shared" si="438"/>
        <v>0</v>
      </c>
      <c r="K1274" s="1290">
        <f t="shared" si="438"/>
        <v>0</v>
      </c>
      <c r="L1274" s="1290">
        <f t="shared" si="438"/>
        <v>0</v>
      </c>
      <c r="M1274" s="1290">
        <f t="shared" si="438"/>
        <v>0</v>
      </c>
      <c r="N1274" s="168"/>
    </row>
    <row r="1275" spans="1:27" outlineLevel="2" x14ac:dyDescent="0.25">
      <c r="A1275" s="276">
        <f t="shared" si="437"/>
        <v>344</v>
      </c>
      <c r="B1275" s="725" t="str">
        <f>$B204</f>
        <v>6th Grade Teacher</v>
      </c>
      <c r="C1275" s="563"/>
      <c r="D1275" s="421"/>
      <c r="G1275" s="1290">
        <f t="shared" si="438"/>
        <v>0</v>
      </c>
      <c r="H1275" s="1290">
        <f t="shared" si="438"/>
        <v>0</v>
      </c>
      <c r="I1275" s="1290">
        <f t="shared" si="438"/>
        <v>0</v>
      </c>
      <c r="J1275" s="1290">
        <f t="shared" si="438"/>
        <v>0</v>
      </c>
      <c r="K1275" s="1290">
        <f t="shared" si="438"/>
        <v>0</v>
      </c>
      <c r="L1275" s="1290">
        <f t="shared" si="438"/>
        <v>0</v>
      </c>
      <c r="M1275" s="1290">
        <f t="shared" si="438"/>
        <v>0</v>
      </c>
      <c r="N1275" s="141"/>
      <c r="R1275" s="282"/>
      <c r="S1275" s="282"/>
      <c r="T1275" s="282"/>
      <c r="U1275" s="282"/>
      <c r="V1275" s="282"/>
      <c r="W1275" s="282"/>
      <c r="X1275" s="282"/>
      <c r="Y1275" s="282"/>
      <c r="Z1275" s="282"/>
      <c r="AA1275" s="282"/>
    </row>
    <row r="1276" spans="1:27" outlineLevel="2" x14ac:dyDescent="0.25">
      <c r="A1276" s="276">
        <f t="shared" si="437"/>
        <v>345</v>
      </c>
      <c r="B1276" s="725"/>
      <c r="C1276" s="564"/>
      <c r="D1276" s="282"/>
      <c r="G1276" s="1290"/>
      <c r="H1276" s="1290"/>
      <c r="I1276" s="1290"/>
      <c r="J1276" s="1290"/>
      <c r="K1276" s="1290"/>
      <c r="L1276" s="1290"/>
      <c r="M1276" s="1290"/>
      <c r="N1276" s="141"/>
      <c r="R1276" s="282"/>
      <c r="S1276" s="282"/>
      <c r="T1276" s="282"/>
      <c r="U1276" s="282"/>
      <c r="V1276" s="282"/>
      <c r="W1276" s="282"/>
      <c r="X1276" s="282"/>
      <c r="Y1276" s="282"/>
      <c r="Z1276" s="282"/>
      <c r="AA1276" s="282"/>
    </row>
    <row r="1277" spans="1:27" s="282" customFormat="1" outlineLevel="2" x14ac:dyDescent="0.25">
      <c r="A1277" s="276">
        <f t="shared" si="437"/>
        <v>346</v>
      </c>
      <c r="B1277" s="725" t="str">
        <f>$B206</f>
        <v>7th Grade Teacher</v>
      </c>
      <c r="C1277" s="563"/>
      <c r="D1277" s="421"/>
      <c r="G1277" s="1290">
        <f t="shared" ref="G1277:M1281" si="439">G206*$C$94</f>
        <v>0</v>
      </c>
      <c r="H1277" s="1290">
        <f t="shared" si="439"/>
        <v>0</v>
      </c>
      <c r="I1277" s="1290">
        <f t="shared" si="439"/>
        <v>0</v>
      </c>
      <c r="J1277" s="1290">
        <f t="shared" si="439"/>
        <v>0</v>
      </c>
      <c r="K1277" s="1290">
        <f t="shared" si="439"/>
        <v>0</v>
      </c>
      <c r="L1277" s="1290">
        <f t="shared" si="439"/>
        <v>0</v>
      </c>
      <c r="M1277" s="1290">
        <f t="shared" si="439"/>
        <v>0</v>
      </c>
      <c r="N1277" s="168"/>
    </row>
    <row r="1278" spans="1:27" s="282" customFormat="1" outlineLevel="2" x14ac:dyDescent="0.25">
      <c r="A1278" s="276">
        <f t="shared" si="437"/>
        <v>347</v>
      </c>
      <c r="B1278" s="725" t="str">
        <f>$B207</f>
        <v>7th Grade Teacher</v>
      </c>
      <c r="C1278" s="563"/>
      <c r="D1278" s="421"/>
      <c r="G1278" s="1290">
        <f t="shared" si="439"/>
        <v>0</v>
      </c>
      <c r="H1278" s="1290">
        <f t="shared" si="439"/>
        <v>0</v>
      </c>
      <c r="I1278" s="1290">
        <f t="shared" si="439"/>
        <v>0</v>
      </c>
      <c r="J1278" s="1290">
        <f t="shared" si="439"/>
        <v>0</v>
      </c>
      <c r="K1278" s="1290">
        <f t="shared" si="439"/>
        <v>0</v>
      </c>
      <c r="L1278" s="1290">
        <f t="shared" si="439"/>
        <v>0</v>
      </c>
      <c r="M1278" s="1290">
        <f t="shared" si="439"/>
        <v>0</v>
      </c>
      <c r="N1278" s="168"/>
    </row>
    <row r="1279" spans="1:27" s="282" customFormat="1" outlineLevel="2" x14ac:dyDescent="0.25">
      <c r="A1279" s="276">
        <f t="shared" si="437"/>
        <v>348</v>
      </c>
      <c r="B1279" s="725" t="str">
        <f>$B208</f>
        <v>7th Grade Teacher</v>
      </c>
      <c r="C1279" s="563"/>
      <c r="D1279" s="421"/>
      <c r="G1279" s="1290">
        <f t="shared" si="439"/>
        <v>0</v>
      </c>
      <c r="H1279" s="1290">
        <f t="shared" si="439"/>
        <v>0</v>
      </c>
      <c r="I1279" s="1290">
        <f t="shared" si="439"/>
        <v>0</v>
      </c>
      <c r="J1279" s="1290">
        <f t="shared" si="439"/>
        <v>0</v>
      </c>
      <c r="K1279" s="1290">
        <f t="shared" si="439"/>
        <v>0</v>
      </c>
      <c r="L1279" s="1290">
        <f t="shared" si="439"/>
        <v>0</v>
      </c>
      <c r="M1279" s="1290">
        <f t="shared" si="439"/>
        <v>0</v>
      </c>
      <c r="N1279" s="168"/>
    </row>
    <row r="1280" spans="1:27" s="282" customFormat="1" outlineLevel="2" x14ac:dyDescent="0.25">
      <c r="A1280" s="276">
        <f t="shared" si="437"/>
        <v>349</v>
      </c>
      <c r="B1280" s="725" t="str">
        <f>$B209</f>
        <v>7th Grade Teacher</v>
      </c>
      <c r="C1280" s="563"/>
      <c r="D1280" s="421"/>
      <c r="G1280" s="1290">
        <f t="shared" si="439"/>
        <v>0</v>
      </c>
      <c r="H1280" s="1290">
        <f t="shared" si="439"/>
        <v>0</v>
      </c>
      <c r="I1280" s="1290">
        <f t="shared" si="439"/>
        <v>0</v>
      </c>
      <c r="J1280" s="1290">
        <f t="shared" si="439"/>
        <v>0</v>
      </c>
      <c r="K1280" s="1290">
        <f t="shared" si="439"/>
        <v>0</v>
      </c>
      <c r="L1280" s="1290">
        <f t="shared" si="439"/>
        <v>0</v>
      </c>
      <c r="M1280" s="1290">
        <f t="shared" si="439"/>
        <v>0</v>
      </c>
      <c r="N1280" s="168"/>
    </row>
    <row r="1281" spans="1:27" s="282" customFormat="1" outlineLevel="2" x14ac:dyDescent="0.25">
      <c r="A1281" s="276">
        <f t="shared" si="437"/>
        <v>350</v>
      </c>
      <c r="B1281" s="725" t="str">
        <f>$B210</f>
        <v>8th Grade Teacher</v>
      </c>
      <c r="C1281" s="563"/>
      <c r="D1281" s="421"/>
      <c r="G1281" s="1290">
        <f t="shared" si="439"/>
        <v>0</v>
      </c>
      <c r="H1281" s="1290">
        <f t="shared" si="439"/>
        <v>0</v>
      </c>
      <c r="I1281" s="1290">
        <f t="shared" si="439"/>
        <v>0</v>
      </c>
      <c r="J1281" s="1290">
        <f t="shared" si="439"/>
        <v>0</v>
      </c>
      <c r="K1281" s="1290">
        <f t="shared" si="439"/>
        <v>0</v>
      </c>
      <c r="L1281" s="1290">
        <f t="shared" si="439"/>
        <v>0</v>
      </c>
      <c r="M1281" s="1290">
        <f t="shared" si="439"/>
        <v>0</v>
      </c>
      <c r="N1281" s="168"/>
    </row>
    <row r="1282" spans="1:27" s="282" customFormat="1" outlineLevel="2" x14ac:dyDescent="0.25">
      <c r="A1282" s="276">
        <f t="shared" si="437"/>
        <v>351</v>
      </c>
      <c r="B1282" s="725"/>
      <c r="C1282" s="563"/>
      <c r="D1282" s="421"/>
      <c r="G1282" s="1290"/>
      <c r="H1282" s="1290"/>
      <c r="I1282" s="1290"/>
      <c r="J1282" s="1290"/>
      <c r="K1282" s="1290"/>
      <c r="L1282" s="1290"/>
      <c r="M1282" s="1290"/>
      <c r="N1282" s="168"/>
    </row>
    <row r="1283" spans="1:27" s="282" customFormat="1" outlineLevel="2" x14ac:dyDescent="0.25">
      <c r="A1283" s="276">
        <f t="shared" si="437"/>
        <v>352</v>
      </c>
      <c r="B1283" s="725" t="str">
        <f>$B212</f>
        <v>8th Grade Teacher</v>
      </c>
      <c r="C1283" s="563"/>
      <c r="D1283" s="421"/>
      <c r="G1283" s="1290">
        <f t="shared" ref="G1283:M1287" si="440">G212*$C$94</f>
        <v>0</v>
      </c>
      <c r="H1283" s="1290">
        <f t="shared" si="440"/>
        <v>0</v>
      </c>
      <c r="I1283" s="1290">
        <f t="shared" si="440"/>
        <v>0</v>
      </c>
      <c r="J1283" s="1290">
        <f t="shared" si="440"/>
        <v>0</v>
      </c>
      <c r="K1283" s="1290">
        <f t="shared" si="440"/>
        <v>0</v>
      </c>
      <c r="L1283" s="1290">
        <f t="shared" si="440"/>
        <v>0</v>
      </c>
      <c r="M1283" s="1290">
        <f t="shared" si="440"/>
        <v>0</v>
      </c>
      <c r="N1283" s="168"/>
    </row>
    <row r="1284" spans="1:27" s="282" customFormat="1" outlineLevel="2" x14ac:dyDescent="0.25">
      <c r="A1284" s="276">
        <f t="shared" si="437"/>
        <v>353</v>
      </c>
      <c r="B1284" s="725" t="str">
        <f>$B213</f>
        <v>8th Grade Teacher</v>
      </c>
      <c r="C1284" s="563"/>
      <c r="D1284" s="421"/>
      <c r="G1284" s="1290">
        <f t="shared" si="440"/>
        <v>0</v>
      </c>
      <c r="H1284" s="1290">
        <f t="shared" si="440"/>
        <v>0</v>
      </c>
      <c r="I1284" s="1290">
        <f t="shared" si="440"/>
        <v>0</v>
      </c>
      <c r="J1284" s="1290">
        <f t="shared" si="440"/>
        <v>0</v>
      </c>
      <c r="K1284" s="1290">
        <f t="shared" si="440"/>
        <v>0</v>
      </c>
      <c r="L1284" s="1290">
        <f t="shared" si="440"/>
        <v>0</v>
      </c>
      <c r="M1284" s="1290">
        <f t="shared" si="440"/>
        <v>0</v>
      </c>
      <c r="N1284" s="168"/>
    </row>
    <row r="1285" spans="1:27" s="282" customFormat="1" outlineLevel="2" x14ac:dyDescent="0.25">
      <c r="A1285" s="276">
        <f t="shared" si="437"/>
        <v>354</v>
      </c>
      <c r="B1285" s="725" t="str">
        <f>$B214</f>
        <v>8th Grade Teacher</v>
      </c>
      <c r="C1285" s="563"/>
      <c r="D1285" s="421"/>
      <c r="G1285" s="1290">
        <f t="shared" si="440"/>
        <v>0</v>
      </c>
      <c r="H1285" s="1290">
        <f t="shared" si="440"/>
        <v>0</v>
      </c>
      <c r="I1285" s="1290">
        <f t="shared" si="440"/>
        <v>0</v>
      </c>
      <c r="J1285" s="1290">
        <f t="shared" si="440"/>
        <v>0</v>
      </c>
      <c r="K1285" s="1290">
        <f t="shared" si="440"/>
        <v>0</v>
      </c>
      <c r="L1285" s="1290">
        <f t="shared" si="440"/>
        <v>0</v>
      </c>
      <c r="M1285" s="1290">
        <f t="shared" si="440"/>
        <v>0</v>
      </c>
      <c r="N1285" s="168"/>
    </row>
    <row r="1286" spans="1:27" s="282" customFormat="1" outlineLevel="2" x14ac:dyDescent="0.25">
      <c r="A1286" s="276">
        <f t="shared" si="437"/>
        <v>355</v>
      </c>
      <c r="B1286" s="725" t="str">
        <f>$B215</f>
        <v>Grade Level Teacher</v>
      </c>
      <c r="C1286" s="563"/>
      <c r="D1286" s="421"/>
      <c r="G1286" s="1290">
        <f t="shared" si="440"/>
        <v>0</v>
      </c>
      <c r="H1286" s="1290">
        <f t="shared" si="440"/>
        <v>0</v>
      </c>
      <c r="I1286" s="1290">
        <f t="shared" si="440"/>
        <v>0</v>
      </c>
      <c r="J1286" s="1290">
        <f t="shared" si="440"/>
        <v>0</v>
      </c>
      <c r="K1286" s="1290">
        <f t="shared" si="440"/>
        <v>0</v>
      </c>
      <c r="L1286" s="1290">
        <f t="shared" si="440"/>
        <v>0</v>
      </c>
      <c r="M1286" s="1290">
        <f t="shared" si="440"/>
        <v>0</v>
      </c>
      <c r="N1286" s="168"/>
    </row>
    <row r="1287" spans="1:27" outlineLevel="2" x14ac:dyDescent="0.25">
      <c r="A1287" s="276">
        <f t="shared" si="437"/>
        <v>356</v>
      </c>
      <c r="B1287" s="725" t="str">
        <f>$B216</f>
        <v>Grade Level Teacher</v>
      </c>
      <c r="C1287" s="563"/>
      <c r="D1287" s="421"/>
      <c r="G1287" s="1290">
        <f t="shared" si="440"/>
        <v>0</v>
      </c>
      <c r="H1287" s="1290">
        <f t="shared" si="440"/>
        <v>0</v>
      </c>
      <c r="I1287" s="1290">
        <f t="shared" si="440"/>
        <v>0</v>
      </c>
      <c r="J1287" s="1290">
        <f t="shared" si="440"/>
        <v>0</v>
      </c>
      <c r="K1287" s="1290">
        <f t="shared" si="440"/>
        <v>0</v>
      </c>
      <c r="L1287" s="1290">
        <f t="shared" si="440"/>
        <v>0</v>
      </c>
      <c r="M1287" s="1290">
        <f t="shared" si="440"/>
        <v>0</v>
      </c>
      <c r="N1287" s="141"/>
      <c r="R1287" s="282"/>
      <c r="S1287" s="282"/>
      <c r="T1287" s="282"/>
      <c r="U1287" s="282"/>
      <c r="V1287" s="282"/>
      <c r="W1287" s="282"/>
      <c r="X1287" s="282"/>
      <c r="Y1287" s="282"/>
      <c r="Z1287" s="282"/>
      <c r="AA1287" s="282"/>
    </row>
    <row r="1288" spans="1:27" outlineLevel="2" x14ac:dyDescent="0.25">
      <c r="A1288" s="276">
        <f t="shared" si="437"/>
        <v>357</v>
      </c>
      <c r="B1288" s="725"/>
      <c r="C1288" s="564"/>
      <c r="D1288" s="282"/>
      <c r="G1288" s="1290"/>
      <c r="H1288" s="1290"/>
      <c r="I1288" s="1290"/>
      <c r="J1288" s="1290"/>
      <c r="K1288" s="1290"/>
      <c r="L1288" s="1290"/>
      <c r="M1288" s="1290"/>
      <c r="N1288" s="141"/>
      <c r="R1288" s="282"/>
      <c r="S1288" s="282"/>
      <c r="T1288" s="282"/>
      <c r="U1288" s="282"/>
      <c r="V1288" s="282"/>
      <c r="W1288" s="282"/>
      <c r="X1288" s="282"/>
      <c r="Y1288" s="282"/>
      <c r="Z1288" s="282"/>
      <c r="AA1288" s="282"/>
    </row>
    <row r="1289" spans="1:27" s="282" customFormat="1" outlineLevel="2" x14ac:dyDescent="0.25">
      <c r="A1289" s="276">
        <f t="shared" si="437"/>
        <v>358</v>
      </c>
      <c r="B1289" s="725" t="str">
        <f t="shared" ref="B1289:B1294" si="441">$B218</f>
        <v>Grade Level Teacher</v>
      </c>
      <c r="C1289" s="563"/>
      <c r="D1289" s="421"/>
      <c r="G1289" s="1290">
        <f t="shared" ref="G1289:M1294" si="442">G218*$C$94</f>
        <v>0</v>
      </c>
      <c r="H1289" s="1290">
        <f t="shared" si="442"/>
        <v>0</v>
      </c>
      <c r="I1289" s="1290">
        <f t="shared" si="442"/>
        <v>0</v>
      </c>
      <c r="J1289" s="1290">
        <f t="shared" si="442"/>
        <v>0</v>
      </c>
      <c r="K1289" s="1290">
        <f t="shared" si="442"/>
        <v>0</v>
      </c>
      <c r="L1289" s="1290">
        <f t="shared" si="442"/>
        <v>0</v>
      </c>
      <c r="M1289" s="1290">
        <f t="shared" si="442"/>
        <v>0</v>
      </c>
      <c r="N1289" s="168"/>
    </row>
    <row r="1290" spans="1:27" s="282" customFormat="1" outlineLevel="2" x14ac:dyDescent="0.25">
      <c r="A1290" s="276">
        <f t="shared" si="437"/>
        <v>359</v>
      </c>
      <c r="B1290" s="725" t="str">
        <f t="shared" si="441"/>
        <v>Grade Level Teacher</v>
      </c>
      <c r="C1290" s="563"/>
      <c r="D1290" s="421"/>
      <c r="G1290" s="1290">
        <f t="shared" si="442"/>
        <v>0</v>
      </c>
      <c r="H1290" s="1290">
        <f t="shared" si="442"/>
        <v>0</v>
      </c>
      <c r="I1290" s="1290">
        <f t="shared" si="442"/>
        <v>0</v>
      </c>
      <c r="J1290" s="1290">
        <f t="shared" si="442"/>
        <v>0</v>
      </c>
      <c r="K1290" s="1290">
        <f t="shared" si="442"/>
        <v>0</v>
      </c>
      <c r="L1290" s="1290">
        <f t="shared" si="442"/>
        <v>0</v>
      </c>
      <c r="M1290" s="1290">
        <f t="shared" si="442"/>
        <v>0</v>
      </c>
      <c r="N1290" s="168"/>
    </row>
    <row r="1291" spans="1:27" s="282" customFormat="1" outlineLevel="2" x14ac:dyDescent="0.25">
      <c r="A1291" s="276">
        <f t="shared" si="437"/>
        <v>360</v>
      </c>
      <c r="B1291" s="725" t="str">
        <f t="shared" si="441"/>
        <v>Grade Level Teacher</v>
      </c>
      <c r="C1291" s="563"/>
      <c r="D1291" s="421"/>
      <c r="G1291" s="1290">
        <f t="shared" si="442"/>
        <v>0</v>
      </c>
      <c r="H1291" s="1290">
        <f t="shared" si="442"/>
        <v>0</v>
      </c>
      <c r="I1291" s="1290">
        <f t="shared" si="442"/>
        <v>0</v>
      </c>
      <c r="J1291" s="1290">
        <f t="shared" si="442"/>
        <v>0</v>
      </c>
      <c r="K1291" s="1290">
        <f t="shared" si="442"/>
        <v>0</v>
      </c>
      <c r="L1291" s="1290">
        <f t="shared" si="442"/>
        <v>0</v>
      </c>
      <c r="M1291" s="1290">
        <f t="shared" si="442"/>
        <v>0</v>
      </c>
      <c r="N1291" s="168"/>
    </row>
    <row r="1292" spans="1:27" s="282" customFormat="1" outlineLevel="2" x14ac:dyDescent="0.25">
      <c r="A1292" s="276">
        <f t="shared" si="437"/>
        <v>361</v>
      </c>
      <c r="B1292" s="725" t="str">
        <f t="shared" si="441"/>
        <v>Grade Level Teacher</v>
      </c>
      <c r="C1292" s="563"/>
      <c r="D1292" s="421"/>
      <c r="G1292" s="1290">
        <f t="shared" si="442"/>
        <v>0</v>
      </c>
      <c r="H1292" s="1290">
        <f t="shared" si="442"/>
        <v>0</v>
      </c>
      <c r="I1292" s="1290">
        <f t="shared" si="442"/>
        <v>0</v>
      </c>
      <c r="J1292" s="1290">
        <f t="shared" si="442"/>
        <v>0</v>
      </c>
      <c r="K1292" s="1290">
        <f t="shared" si="442"/>
        <v>0</v>
      </c>
      <c r="L1292" s="1290">
        <f t="shared" si="442"/>
        <v>0</v>
      </c>
      <c r="M1292" s="1290">
        <f t="shared" si="442"/>
        <v>0</v>
      </c>
      <c r="N1292" s="168"/>
    </row>
    <row r="1293" spans="1:27" s="282" customFormat="1" outlineLevel="2" x14ac:dyDescent="0.25">
      <c r="A1293" s="276">
        <f t="shared" si="437"/>
        <v>362</v>
      </c>
      <c r="B1293" s="725" t="str">
        <f t="shared" si="441"/>
        <v>Grade Level Teacher</v>
      </c>
      <c r="C1293" s="563"/>
      <c r="D1293" s="421"/>
      <c r="G1293" s="1290">
        <f t="shared" si="442"/>
        <v>0</v>
      </c>
      <c r="H1293" s="1290">
        <f t="shared" si="442"/>
        <v>0</v>
      </c>
      <c r="I1293" s="1290">
        <f t="shared" si="442"/>
        <v>0</v>
      </c>
      <c r="J1293" s="1290">
        <f t="shared" si="442"/>
        <v>0</v>
      </c>
      <c r="K1293" s="1290">
        <f t="shared" si="442"/>
        <v>0</v>
      </c>
      <c r="L1293" s="1290">
        <f t="shared" si="442"/>
        <v>0</v>
      </c>
      <c r="M1293" s="1290">
        <f t="shared" si="442"/>
        <v>0</v>
      </c>
      <c r="N1293" s="168"/>
    </row>
    <row r="1294" spans="1:27" s="282" customFormat="1" outlineLevel="2" x14ac:dyDescent="0.25">
      <c r="A1294" s="276">
        <f t="shared" si="437"/>
        <v>363</v>
      </c>
      <c r="B1294" s="725" t="str">
        <f t="shared" si="441"/>
        <v>Grade Level Teacher</v>
      </c>
      <c r="C1294" s="563"/>
      <c r="D1294" s="421"/>
      <c r="G1294" s="1290">
        <f t="shared" si="442"/>
        <v>0</v>
      </c>
      <c r="H1294" s="1290">
        <f t="shared" si="442"/>
        <v>0</v>
      </c>
      <c r="I1294" s="1290">
        <f t="shared" si="442"/>
        <v>0</v>
      </c>
      <c r="J1294" s="1290">
        <f t="shared" si="442"/>
        <v>0</v>
      </c>
      <c r="K1294" s="1290">
        <f t="shared" si="442"/>
        <v>0</v>
      </c>
      <c r="L1294" s="1290">
        <f t="shared" si="442"/>
        <v>0</v>
      </c>
      <c r="M1294" s="1290">
        <f t="shared" si="442"/>
        <v>0</v>
      </c>
      <c r="N1294" s="168"/>
    </row>
    <row r="1295" spans="1:27" outlineLevel="2" x14ac:dyDescent="0.25">
      <c r="A1295" s="276">
        <f t="shared" si="437"/>
        <v>364</v>
      </c>
      <c r="B1295" s="725"/>
      <c r="C1295" s="564"/>
      <c r="D1295" s="282"/>
      <c r="G1295" s="1290"/>
      <c r="H1295" s="1290"/>
      <c r="I1295" s="1290"/>
      <c r="J1295" s="1290"/>
      <c r="K1295" s="1290"/>
      <c r="L1295" s="1290"/>
      <c r="M1295" s="1290"/>
      <c r="N1295" s="141"/>
      <c r="R1295" s="282"/>
      <c r="S1295" s="282"/>
      <c r="T1295" s="282"/>
      <c r="U1295" s="282"/>
      <c r="V1295" s="282"/>
      <c r="W1295" s="282"/>
      <c r="X1295" s="282"/>
      <c r="Y1295" s="282"/>
      <c r="Z1295" s="282"/>
      <c r="AA1295" s="282"/>
    </row>
    <row r="1296" spans="1:27" s="282" customFormat="1" outlineLevel="2" x14ac:dyDescent="0.25">
      <c r="A1296" s="276">
        <f t="shared" si="437"/>
        <v>365</v>
      </c>
      <c r="B1296" s="725" t="str">
        <f>$B225</f>
        <v>8th Grade Teacher</v>
      </c>
      <c r="C1296" s="563"/>
      <c r="D1296" s="421"/>
      <c r="G1296" s="1290">
        <f t="shared" ref="G1296:M1300" si="443">G225*$C$94</f>
        <v>0</v>
      </c>
      <c r="H1296" s="1290">
        <f t="shared" si="443"/>
        <v>0</v>
      </c>
      <c r="I1296" s="1290">
        <f t="shared" si="443"/>
        <v>0</v>
      </c>
      <c r="J1296" s="1290">
        <f t="shared" si="443"/>
        <v>0</v>
      </c>
      <c r="K1296" s="1290">
        <f t="shared" si="443"/>
        <v>0</v>
      </c>
      <c r="L1296" s="1290">
        <f t="shared" si="443"/>
        <v>0</v>
      </c>
      <c r="M1296" s="1290">
        <f t="shared" si="443"/>
        <v>0</v>
      </c>
      <c r="N1296" s="168"/>
    </row>
    <row r="1297" spans="1:14" s="282" customFormat="1" outlineLevel="2" x14ac:dyDescent="0.25">
      <c r="A1297" s="276">
        <f t="shared" si="437"/>
        <v>366</v>
      </c>
      <c r="B1297" s="725" t="str">
        <f>$B$226</f>
        <v>8th Grade Teacher</v>
      </c>
      <c r="C1297" s="563"/>
      <c r="D1297" s="421"/>
      <c r="G1297" s="1290">
        <f t="shared" si="443"/>
        <v>0</v>
      </c>
      <c r="H1297" s="1290">
        <f t="shared" si="443"/>
        <v>0</v>
      </c>
      <c r="I1297" s="1290">
        <f t="shared" si="443"/>
        <v>0</v>
      </c>
      <c r="J1297" s="1290">
        <f t="shared" si="443"/>
        <v>0</v>
      </c>
      <c r="K1297" s="1290">
        <f t="shared" si="443"/>
        <v>0</v>
      </c>
      <c r="L1297" s="1290">
        <f t="shared" si="443"/>
        <v>0</v>
      </c>
      <c r="M1297" s="1290">
        <f t="shared" si="443"/>
        <v>0</v>
      </c>
      <c r="N1297" s="168"/>
    </row>
    <row r="1298" spans="1:14" s="282" customFormat="1" outlineLevel="2" x14ac:dyDescent="0.25">
      <c r="A1298" s="276">
        <f t="shared" si="437"/>
        <v>367</v>
      </c>
      <c r="B1298" s="725" t="str">
        <f>$B$227</f>
        <v>8th Grade Teacher</v>
      </c>
      <c r="C1298" s="563"/>
      <c r="D1298" s="421"/>
      <c r="G1298" s="1290">
        <f t="shared" si="443"/>
        <v>0</v>
      </c>
      <c r="H1298" s="1290">
        <f t="shared" si="443"/>
        <v>0</v>
      </c>
      <c r="I1298" s="1290">
        <f t="shared" si="443"/>
        <v>0</v>
      </c>
      <c r="J1298" s="1290">
        <f t="shared" si="443"/>
        <v>0</v>
      </c>
      <c r="K1298" s="1290">
        <f t="shared" si="443"/>
        <v>0</v>
      </c>
      <c r="L1298" s="1290">
        <f t="shared" si="443"/>
        <v>0</v>
      </c>
      <c r="M1298" s="1290">
        <f t="shared" si="443"/>
        <v>0</v>
      </c>
      <c r="N1298" s="168"/>
    </row>
    <row r="1299" spans="1:14" s="282" customFormat="1" outlineLevel="2" x14ac:dyDescent="0.25">
      <c r="A1299" s="276">
        <f t="shared" si="437"/>
        <v>368</v>
      </c>
      <c r="B1299" s="725" t="str">
        <f>$B$228</f>
        <v>8th Grade Teacher</v>
      </c>
      <c r="C1299" s="563"/>
      <c r="D1299" s="421"/>
      <c r="G1299" s="1290">
        <f t="shared" si="443"/>
        <v>0</v>
      </c>
      <c r="H1299" s="1290">
        <f t="shared" si="443"/>
        <v>0</v>
      </c>
      <c r="I1299" s="1290">
        <f t="shared" si="443"/>
        <v>0</v>
      </c>
      <c r="J1299" s="1290">
        <f t="shared" si="443"/>
        <v>0</v>
      </c>
      <c r="K1299" s="1290">
        <f t="shared" si="443"/>
        <v>0</v>
      </c>
      <c r="L1299" s="1290">
        <f t="shared" si="443"/>
        <v>0</v>
      </c>
      <c r="M1299" s="1290">
        <f t="shared" si="443"/>
        <v>0</v>
      </c>
      <c r="N1299" s="168"/>
    </row>
    <row r="1300" spans="1:14" s="282" customFormat="1" outlineLevel="2" x14ac:dyDescent="0.25">
      <c r="A1300" s="276">
        <f t="shared" si="437"/>
        <v>369</v>
      </c>
      <c r="B1300" s="725">
        <f>$B$229</f>
        <v>0</v>
      </c>
      <c r="C1300" s="563"/>
      <c r="D1300" s="421"/>
      <c r="G1300" s="1290">
        <f t="shared" si="443"/>
        <v>0</v>
      </c>
      <c r="H1300" s="1290">
        <f t="shared" si="443"/>
        <v>0</v>
      </c>
      <c r="I1300" s="1290">
        <f t="shared" si="443"/>
        <v>0</v>
      </c>
      <c r="J1300" s="1290">
        <f t="shared" si="443"/>
        <v>0</v>
      </c>
      <c r="K1300" s="1290">
        <f t="shared" si="443"/>
        <v>0</v>
      </c>
      <c r="L1300" s="1290">
        <f t="shared" si="443"/>
        <v>0</v>
      </c>
      <c r="M1300" s="1290">
        <f t="shared" si="443"/>
        <v>0</v>
      </c>
      <c r="N1300" s="168"/>
    </row>
    <row r="1301" spans="1:14" s="282" customFormat="1" outlineLevel="2" x14ac:dyDescent="0.25">
      <c r="A1301" s="276">
        <f t="shared" si="437"/>
        <v>370</v>
      </c>
      <c r="B1301" s="725"/>
      <c r="C1301" s="563"/>
      <c r="D1301" s="421"/>
      <c r="G1301" s="1290"/>
      <c r="H1301" s="1290"/>
      <c r="I1301" s="1290"/>
      <c r="J1301" s="1290"/>
      <c r="K1301" s="1290"/>
      <c r="L1301" s="1290"/>
      <c r="M1301" s="1290"/>
      <c r="N1301" s="168"/>
    </row>
    <row r="1302" spans="1:14" s="282" customFormat="1" outlineLevel="2" x14ac:dyDescent="0.25">
      <c r="A1302" s="276">
        <f t="shared" si="437"/>
        <v>371</v>
      </c>
      <c r="B1302" s="282" t="str">
        <f>$B$231</f>
        <v>PE teacher</v>
      </c>
      <c r="C1302" s="563"/>
      <c r="D1302" s="421"/>
      <c r="G1302" s="1290">
        <f t="shared" ref="G1302:M1306" si="444">G231*$C$94</f>
        <v>0</v>
      </c>
      <c r="H1302" s="1290">
        <f t="shared" si="444"/>
        <v>0</v>
      </c>
      <c r="I1302" s="1290">
        <f t="shared" si="444"/>
        <v>0</v>
      </c>
      <c r="J1302" s="1290">
        <f t="shared" si="444"/>
        <v>0</v>
      </c>
      <c r="K1302" s="1290">
        <f t="shared" si="444"/>
        <v>0</v>
      </c>
      <c r="L1302" s="1290">
        <f t="shared" si="444"/>
        <v>0</v>
      </c>
      <c r="M1302" s="1290">
        <f t="shared" si="444"/>
        <v>0</v>
      </c>
      <c r="N1302" s="168"/>
    </row>
    <row r="1303" spans="1:14" s="282" customFormat="1" outlineLevel="2" x14ac:dyDescent="0.25">
      <c r="A1303" s="276">
        <f t="shared" ref="A1303:A1334" si="445">ROW(A372)</f>
        <v>372</v>
      </c>
      <c r="B1303" s="282" t="str">
        <f>$B$232</f>
        <v>PE teacher</v>
      </c>
      <c r="C1303" s="563"/>
      <c r="D1303" s="421"/>
      <c r="G1303" s="1290">
        <f t="shared" si="444"/>
        <v>0</v>
      </c>
      <c r="H1303" s="1290">
        <f t="shared" si="444"/>
        <v>0</v>
      </c>
      <c r="I1303" s="1290">
        <f t="shared" si="444"/>
        <v>0</v>
      </c>
      <c r="J1303" s="1290">
        <f t="shared" si="444"/>
        <v>0</v>
      </c>
      <c r="K1303" s="1290">
        <f t="shared" si="444"/>
        <v>0</v>
      </c>
      <c r="L1303" s="1290">
        <f t="shared" si="444"/>
        <v>0</v>
      </c>
      <c r="M1303" s="1290">
        <f t="shared" si="444"/>
        <v>0</v>
      </c>
      <c r="N1303" s="168"/>
    </row>
    <row r="1304" spans="1:14" s="282" customFormat="1" outlineLevel="2" x14ac:dyDescent="0.25">
      <c r="A1304" s="276">
        <f t="shared" si="445"/>
        <v>373</v>
      </c>
      <c r="B1304" s="282" t="str">
        <f>$B$233</f>
        <v>Grade Level Teacher</v>
      </c>
      <c r="C1304" s="563"/>
      <c r="D1304" s="421"/>
      <c r="G1304" s="1290">
        <f t="shared" si="444"/>
        <v>0</v>
      </c>
      <c r="H1304" s="1290">
        <f t="shared" si="444"/>
        <v>0</v>
      </c>
      <c r="I1304" s="1290">
        <f t="shared" si="444"/>
        <v>0</v>
      </c>
      <c r="J1304" s="1290">
        <f t="shared" si="444"/>
        <v>0</v>
      </c>
      <c r="K1304" s="1290">
        <f t="shared" si="444"/>
        <v>0</v>
      </c>
      <c r="L1304" s="1290">
        <f t="shared" si="444"/>
        <v>0</v>
      </c>
      <c r="M1304" s="1290">
        <f t="shared" si="444"/>
        <v>0</v>
      </c>
      <c r="N1304" s="168"/>
    </row>
    <row r="1305" spans="1:14" s="282" customFormat="1" outlineLevel="2" x14ac:dyDescent="0.25">
      <c r="A1305" s="276">
        <f t="shared" si="445"/>
        <v>374</v>
      </c>
      <c r="B1305" s="282" t="str">
        <f>$B$234</f>
        <v>Grade Level Teacher</v>
      </c>
      <c r="C1305" s="563"/>
      <c r="D1305" s="421"/>
      <c r="G1305" s="1290">
        <f t="shared" si="444"/>
        <v>0</v>
      </c>
      <c r="H1305" s="1290">
        <f t="shared" si="444"/>
        <v>0</v>
      </c>
      <c r="I1305" s="1290">
        <f t="shared" si="444"/>
        <v>0</v>
      </c>
      <c r="J1305" s="1290">
        <f t="shared" si="444"/>
        <v>0</v>
      </c>
      <c r="K1305" s="1290">
        <f t="shared" si="444"/>
        <v>0</v>
      </c>
      <c r="L1305" s="1290">
        <f t="shared" si="444"/>
        <v>0</v>
      </c>
      <c r="M1305" s="1290">
        <f t="shared" si="444"/>
        <v>0</v>
      </c>
      <c r="N1305" s="168"/>
    </row>
    <row r="1306" spans="1:14" s="282" customFormat="1" outlineLevel="2" x14ac:dyDescent="0.25">
      <c r="A1306" s="276">
        <f t="shared" si="445"/>
        <v>375</v>
      </c>
      <c r="B1306" s="282" t="str">
        <f>$B$235</f>
        <v>Grade Level Teacher</v>
      </c>
      <c r="C1306" s="563"/>
      <c r="D1306" s="421"/>
      <c r="G1306" s="1290">
        <f t="shared" si="444"/>
        <v>0</v>
      </c>
      <c r="H1306" s="1290">
        <f t="shared" si="444"/>
        <v>0</v>
      </c>
      <c r="I1306" s="1290">
        <f t="shared" si="444"/>
        <v>0</v>
      </c>
      <c r="J1306" s="1290">
        <f t="shared" si="444"/>
        <v>0</v>
      </c>
      <c r="K1306" s="1290">
        <f t="shared" si="444"/>
        <v>0</v>
      </c>
      <c r="L1306" s="1290">
        <f t="shared" si="444"/>
        <v>0</v>
      </c>
      <c r="M1306" s="1290">
        <f t="shared" si="444"/>
        <v>0</v>
      </c>
      <c r="N1306" s="168"/>
    </row>
    <row r="1307" spans="1:14" s="282" customFormat="1" outlineLevel="2" x14ac:dyDescent="0.25">
      <c r="A1307" s="276">
        <f t="shared" si="445"/>
        <v>376</v>
      </c>
      <c r="C1307" s="563"/>
      <c r="D1307" s="421"/>
      <c r="G1307" s="1290"/>
      <c r="H1307" s="1290"/>
      <c r="I1307" s="1290"/>
      <c r="J1307" s="1290"/>
      <c r="K1307" s="1290"/>
      <c r="L1307" s="1290"/>
      <c r="M1307" s="1290"/>
      <c r="N1307" s="168"/>
    </row>
    <row r="1308" spans="1:14" s="282" customFormat="1" outlineLevel="2" x14ac:dyDescent="0.25">
      <c r="A1308" s="276">
        <f t="shared" si="445"/>
        <v>377</v>
      </c>
      <c r="B1308" s="282" t="str">
        <f>$B$237</f>
        <v>STEAM Teacher</v>
      </c>
      <c r="C1308" s="563"/>
      <c r="D1308" s="421"/>
      <c r="G1308" s="1290">
        <f t="shared" ref="G1308:M1312" si="446">G237*$C$94</f>
        <v>0</v>
      </c>
      <c r="H1308" s="1290">
        <f t="shared" si="446"/>
        <v>0</v>
      </c>
      <c r="I1308" s="1290">
        <f t="shared" si="446"/>
        <v>0</v>
      </c>
      <c r="J1308" s="1290">
        <f t="shared" si="446"/>
        <v>0</v>
      </c>
      <c r="K1308" s="1290">
        <f t="shared" si="446"/>
        <v>0</v>
      </c>
      <c r="L1308" s="1290">
        <f t="shared" si="446"/>
        <v>0</v>
      </c>
      <c r="M1308" s="1290">
        <f t="shared" si="446"/>
        <v>0</v>
      </c>
      <c r="N1308" s="168"/>
    </row>
    <row r="1309" spans="1:14" s="282" customFormat="1" outlineLevel="2" x14ac:dyDescent="0.25">
      <c r="A1309" s="276">
        <f t="shared" si="445"/>
        <v>378</v>
      </c>
      <c r="B1309" s="282" t="str">
        <f>$B$238</f>
        <v>STEAM Teacher</v>
      </c>
      <c r="C1309" s="563"/>
      <c r="D1309" s="421"/>
      <c r="G1309" s="1290">
        <f t="shared" si="446"/>
        <v>0</v>
      </c>
      <c r="H1309" s="1290">
        <f t="shared" si="446"/>
        <v>0</v>
      </c>
      <c r="I1309" s="1290">
        <f t="shared" si="446"/>
        <v>0</v>
      </c>
      <c r="J1309" s="1290">
        <f t="shared" si="446"/>
        <v>0</v>
      </c>
      <c r="K1309" s="1290">
        <f t="shared" si="446"/>
        <v>0</v>
      </c>
      <c r="L1309" s="1290">
        <f t="shared" si="446"/>
        <v>0</v>
      </c>
      <c r="M1309" s="1290">
        <f t="shared" si="446"/>
        <v>0</v>
      </c>
      <c r="N1309" s="168"/>
    </row>
    <row r="1310" spans="1:14" s="282" customFormat="1" outlineLevel="2" x14ac:dyDescent="0.25">
      <c r="A1310" s="276">
        <f t="shared" si="445"/>
        <v>379</v>
      </c>
      <c r="B1310" s="282" t="str">
        <f>$B$239</f>
        <v>Grade Level Teacher</v>
      </c>
      <c r="C1310" s="563"/>
      <c r="D1310" s="421"/>
      <c r="G1310" s="1290">
        <f t="shared" si="446"/>
        <v>0</v>
      </c>
      <c r="H1310" s="1290">
        <f t="shared" si="446"/>
        <v>0</v>
      </c>
      <c r="I1310" s="1290">
        <f t="shared" si="446"/>
        <v>0</v>
      </c>
      <c r="J1310" s="1290">
        <f t="shared" si="446"/>
        <v>0</v>
      </c>
      <c r="K1310" s="1290">
        <f t="shared" si="446"/>
        <v>0</v>
      </c>
      <c r="L1310" s="1290">
        <f t="shared" si="446"/>
        <v>0</v>
      </c>
      <c r="M1310" s="1290">
        <f t="shared" si="446"/>
        <v>0</v>
      </c>
      <c r="N1310" s="168"/>
    </row>
    <row r="1311" spans="1:14" s="282" customFormat="1" outlineLevel="2" x14ac:dyDescent="0.25">
      <c r="A1311" s="276">
        <f t="shared" si="445"/>
        <v>380</v>
      </c>
      <c r="B1311" s="282" t="str">
        <f>$B$240</f>
        <v>Grade Level Teacher</v>
      </c>
      <c r="C1311" s="563"/>
      <c r="D1311" s="421"/>
      <c r="G1311" s="1290">
        <f t="shared" si="446"/>
        <v>0</v>
      </c>
      <c r="H1311" s="1290">
        <f t="shared" si="446"/>
        <v>0</v>
      </c>
      <c r="I1311" s="1290">
        <f t="shared" si="446"/>
        <v>0</v>
      </c>
      <c r="J1311" s="1290">
        <f t="shared" si="446"/>
        <v>0</v>
      </c>
      <c r="K1311" s="1290">
        <f t="shared" si="446"/>
        <v>0</v>
      </c>
      <c r="L1311" s="1290">
        <f t="shared" si="446"/>
        <v>0</v>
      </c>
      <c r="M1311" s="1290">
        <f t="shared" si="446"/>
        <v>0</v>
      </c>
      <c r="N1311" s="168"/>
    </row>
    <row r="1312" spans="1:14" s="282" customFormat="1" outlineLevel="2" x14ac:dyDescent="0.25">
      <c r="A1312" s="276">
        <f t="shared" si="445"/>
        <v>381</v>
      </c>
      <c r="B1312" s="282" t="str">
        <f>$B$241</f>
        <v>Grade Level Teacher</v>
      </c>
      <c r="C1312" s="563"/>
      <c r="D1312" s="421"/>
      <c r="G1312" s="1290">
        <f t="shared" si="446"/>
        <v>0</v>
      </c>
      <c r="H1312" s="1290">
        <f t="shared" si="446"/>
        <v>0</v>
      </c>
      <c r="I1312" s="1290">
        <f t="shared" si="446"/>
        <v>0</v>
      </c>
      <c r="J1312" s="1290">
        <f t="shared" si="446"/>
        <v>0</v>
      </c>
      <c r="K1312" s="1290">
        <f t="shared" si="446"/>
        <v>0</v>
      </c>
      <c r="L1312" s="1290">
        <f t="shared" si="446"/>
        <v>0</v>
      </c>
      <c r="M1312" s="1290">
        <f t="shared" si="446"/>
        <v>0</v>
      </c>
      <c r="N1312" s="168"/>
    </row>
    <row r="1313" spans="1:27" outlineLevel="2" x14ac:dyDescent="0.25">
      <c r="A1313" s="276">
        <f t="shared" si="445"/>
        <v>382</v>
      </c>
      <c r="B1313" s="282"/>
      <c r="C1313" s="564"/>
      <c r="D1313" s="282"/>
      <c r="G1313" s="1290"/>
      <c r="H1313" s="1290"/>
      <c r="I1313" s="1290"/>
      <c r="J1313" s="1290"/>
      <c r="K1313" s="1290"/>
      <c r="L1313" s="1290"/>
      <c r="M1313" s="1290"/>
      <c r="N1313" s="141"/>
      <c r="R1313" s="282"/>
      <c r="S1313" s="282"/>
      <c r="T1313" s="282"/>
      <c r="U1313" s="282"/>
      <c r="V1313" s="282"/>
      <c r="W1313" s="282"/>
      <c r="X1313" s="282"/>
      <c r="Y1313" s="282"/>
      <c r="Z1313" s="282"/>
      <c r="AA1313" s="282"/>
    </row>
    <row r="1314" spans="1:27" s="282" customFormat="1" outlineLevel="2" x14ac:dyDescent="0.25">
      <c r="A1314" s="276">
        <f t="shared" si="445"/>
        <v>383</v>
      </c>
      <c r="B1314" s="282" t="str">
        <f>$B$243</f>
        <v>Spanish Teacher</v>
      </c>
      <c r="C1314" s="563"/>
      <c r="D1314" s="421"/>
      <c r="G1314" s="1290">
        <f t="shared" ref="G1314:M1318" si="447">G243*$C$94</f>
        <v>0</v>
      </c>
      <c r="H1314" s="1290">
        <f t="shared" si="447"/>
        <v>0</v>
      </c>
      <c r="I1314" s="1290">
        <f t="shared" si="447"/>
        <v>0</v>
      </c>
      <c r="J1314" s="1290">
        <f t="shared" si="447"/>
        <v>0</v>
      </c>
      <c r="K1314" s="1290">
        <f t="shared" si="447"/>
        <v>0</v>
      </c>
      <c r="L1314" s="1290">
        <f t="shared" si="447"/>
        <v>0</v>
      </c>
      <c r="M1314" s="1290">
        <f t="shared" si="447"/>
        <v>0</v>
      </c>
      <c r="N1314" s="168"/>
    </row>
    <row r="1315" spans="1:27" s="282" customFormat="1" outlineLevel="2" x14ac:dyDescent="0.25">
      <c r="A1315" s="276">
        <f t="shared" si="445"/>
        <v>384</v>
      </c>
      <c r="B1315" s="282" t="str">
        <f>$B$244</f>
        <v>Art Teacher</v>
      </c>
      <c r="C1315" s="563"/>
      <c r="D1315" s="421"/>
      <c r="G1315" s="1290">
        <f t="shared" si="447"/>
        <v>0</v>
      </c>
      <c r="H1315" s="1290">
        <f t="shared" si="447"/>
        <v>0</v>
      </c>
      <c r="I1315" s="1290">
        <f t="shared" si="447"/>
        <v>0</v>
      </c>
      <c r="J1315" s="1290">
        <f t="shared" si="447"/>
        <v>0</v>
      </c>
      <c r="K1315" s="1290">
        <f t="shared" si="447"/>
        <v>0</v>
      </c>
      <c r="L1315" s="1290">
        <f t="shared" si="447"/>
        <v>0</v>
      </c>
      <c r="M1315" s="1290">
        <f t="shared" si="447"/>
        <v>0</v>
      </c>
      <c r="N1315" s="168"/>
    </row>
    <row r="1316" spans="1:27" s="282" customFormat="1" outlineLevel="2" x14ac:dyDescent="0.25">
      <c r="A1316" s="276">
        <f t="shared" si="445"/>
        <v>385</v>
      </c>
      <c r="B1316" s="282" t="str">
        <f>$B$245</f>
        <v>Grade Level Teacher</v>
      </c>
      <c r="C1316" s="563"/>
      <c r="D1316" s="421"/>
      <c r="G1316" s="1290">
        <f t="shared" si="447"/>
        <v>0</v>
      </c>
      <c r="H1316" s="1290">
        <f t="shared" si="447"/>
        <v>0</v>
      </c>
      <c r="I1316" s="1290">
        <f t="shared" si="447"/>
        <v>0</v>
      </c>
      <c r="J1316" s="1290">
        <f t="shared" si="447"/>
        <v>0</v>
      </c>
      <c r="K1316" s="1290">
        <f t="shared" si="447"/>
        <v>0</v>
      </c>
      <c r="L1316" s="1290">
        <f t="shared" si="447"/>
        <v>0</v>
      </c>
      <c r="M1316" s="1290">
        <f t="shared" si="447"/>
        <v>0</v>
      </c>
      <c r="N1316" s="168"/>
    </row>
    <row r="1317" spans="1:27" s="282" customFormat="1" outlineLevel="2" x14ac:dyDescent="0.25">
      <c r="A1317" s="276">
        <f t="shared" si="445"/>
        <v>386</v>
      </c>
      <c r="B1317" s="282" t="str">
        <f>$B$246</f>
        <v>Grade Level Teacher</v>
      </c>
      <c r="C1317" s="563"/>
      <c r="D1317" s="421"/>
      <c r="G1317" s="1290">
        <f t="shared" si="447"/>
        <v>0</v>
      </c>
      <c r="H1317" s="1290">
        <f t="shared" si="447"/>
        <v>0</v>
      </c>
      <c r="I1317" s="1290">
        <f t="shared" si="447"/>
        <v>0</v>
      </c>
      <c r="J1317" s="1290">
        <f t="shared" si="447"/>
        <v>0</v>
      </c>
      <c r="K1317" s="1290">
        <f t="shared" si="447"/>
        <v>0</v>
      </c>
      <c r="L1317" s="1290">
        <f t="shared" si="447"/>
        <v>0</v>
      </c>
      <c r="M1317" s="1290">
        <f t="shared" si="447"/>
        <v>0</v>
      </c>
      <c r="N1317" s="168"/>
    </row>
    <row r="1318" spans="1:27" s="282" customFormat="1" outlineLevel="2" x14ac:dyDescent="0.25">
      <c r="A1318" s="276">
        <f t="shared" si="445"/>
        <v>387</v>
      </c>
      <c r="B1318" s="282" t="str">
        <f>$B$247</f>
        <v>Grade Level Teacher</v>
      </c>
      <c r="C1318" s="563"/>
      <c r="D1318" s="421"/>
      <c r="G1318" s="1290">
        <f t="shared" si="447"/>
        <v>0</v>
      </c>
      <c r="H1318" s="1290">
        <f t="shared" si="447"/>
        <v>0</v>
      </c>
      <c r="I1318" s="1290">
        <f t="shared" si="447"/>
        <v>0</v>
      </c>
      <c r="J1318" s="1290">
        <f t="shared" si="447"/>
        <v>0</v>
      </c>
      <c r="K1318" s="1290">
        <f t="shared" si="447"/>
        <v>0</v>
      </c>
      <c r="L1318" s="1290">
        <f t="shared" si="447"/>
        <v>0</v>
      </c>
      <c r="M1318" s="1290">
        <f t="shared" si="447"/>
        <v>0</v>
      </c>
      <c r="N1318" s="168"/>
    </row>
    <row r="1319" spans="1:27" outlineLevel="2" x14ac:dyDescent="0.25">
      <c r="A1319" s="276">
        <f t="shared" si="445"/>
        <v>388</v>
      </c>
      <c r="B1319" s="282"/>
      <c r="C1319" s="564"/>
      <c r="D1319" s="282"/>
      <c r="G1319" s="1290"/>
      <c r="H1319" s="1290"/>
      <c r="I1319" s="1290"/>
      <c r="J1319" s="1290"/>
      <c r="K1319" s="1290"/>
      <c r="L1319" s="1290"/>
      <c r="M1319" s="1290"/>
      <c r="N1319" s="141"/>
      <c r="R1319" s="282"/>
      <c r="S1319" s="282"/>
      <c r="T1319" s="282"/>
      <c r="U1319" s="282"/>
      <c r="V1319" s="282"/>
      <c r="W1319" s="282"/>
      <c r="X1319" s="282"/>
      <c r="Y1319" s="282"/>
      <c r="Z1319" s="282"/>
      <c r="AA1319" s="282"/>
    </row>
    <row r="1320" spans="1:27" s="282" customFormat="1" outlineLevel="2" x14ac:dyDescent="0.25">
      <c r="A1320" s="276">
        <f t="shared" si="445"/>
        <v>389</v>
      </c>
      <c r="B1320" s="282" t="str">
        <f>$B$249</f>
        <v>Grade Level Teacher</v>
      </c>
      <c r="C1320" s="563"/>
      <c r="D1320" s="421"/>
      <c r="G1320" s="1290">
        <f t="shared" ref="G1320:M1324" si="448">G249*$C$94</f>
        <v>0</v>
      </c>
      <c r="H1320" s="1290">
        <f t="shared" si="448"/>
        <v>0</v>
      </c>
      <c r="I1320" s="1290">
        <f t="shared" si="448"/>
        <v>0</v>
      </c>
      <c r="J1320" s="1290">
        <f t="shared" si="448"/>
        <v>0</v>
      </c>
      <c r="K1320" s="1290">
        <f t="shared" si="448"/>
        <v>0</v>
      </c>
      <c r="L1320" s="1290">
        <f t="shared" si="448"/>
        <v>0</v>
      </c>
      <c r="M1320" s="1290">
        <f t="shared" si="448"/>
        <v>0</v>
      </c>
      <c r="N1320" s="168"/>
    </row>
    <row r="1321" spans="1:27" s="282" customFormat="1" outlineLevel="2" x14ac:dyDescent="0.25">
      <c r="A1321" s="276">
        <f t="shared" si="445"/>
        <v>390</v>
      </c>
      <c r="B1321" s="282" t="str">
        <f>$B$250</f>
        <v>Grade Level Teacher</v>
      </c>
      <c r="C1321" s="563"/>
      <c r="D1321" s="421"/>
      <c r="G1321" s="1290">
        <f t="shared" si="448"/>
        <v>0</v>
      </c>
      <c r="H1321" s="1290">
        <f t="shared" si="448"/>
        <v>0</v>
      </c>
      <c r="I1321" s="1290">
        <f t="shared" si="448"/>
        <v>0</v>
      </c>
      <c r="J1321" s="1290">
        <f t="shared" si="448"/>
        <v>0</v>
      </c>
      <c r="K1321" s="1290">
        <f t="shared" si="448"/>
        <v>0</v>
      </c>
      <c r="L1321" s="1290">
        <f t="shared" si="448"/>
        <v>0</v>
      </c>
      <c r="M1321" s="1290">
        <f t="shared" si="448"/>
        <v>0</v>
      </c>
      <c r="N1321" s="168"/>
    </row>
    <row r="1322" spans="1:27" s="282" customFormat="1" outlineLevel="2" x14ac:dyDescent="0.25">
      <c r="A1322" s="276">
        <f t="shared" si="445"/>
        <v>391</v>
      </c>
      <c r="B1322" s="282" t="str">
        <f>$B$251</f>
        <v>Grade Level Teacher</v>
      </c>
      <c r="C1322" s="563"/>
      <c r="D1322" s="421"/>
      <c r="G1322" s="1290">
        <f t="shared" si="448"/>
        <v>0</v>
      </c>
      <c r="H1322" s="1290">
        <f t="shared" si="448"/>
        <v>0</v>
      </c>
      <c r="I1322" s="1290">
        <f t="shared" si="448"/>
        <v>0</v>
      </c>
      <c r="J1322" s="1290">
        <f t="shared" si="448"/>
        <v>0</v>
      </c>
      <c r="K1322" s="1290">
        <f t="shared" si="448"/>
        <v>0</v>
      </c>
      <c r="L1322" s="1290">
        <f t="shared" si="448"/>
        <v>0</v>
      </c>
      <c r="M1322" s="1290">
        <f t="shared" si="448"/>
        <v>0</v>
      </c>
      <c r="N1322" s="168"/>
    </row>
    <row r="1323" spans="1:27" s="282" customFormat="1" outlineLevel="2" x14ac:dyDescent="0.25">
      <c r="A1323" s="276">
        <f t="shared" si="445"/>
        <v>392</v>
      </c>
      <c r="B1323" s="282" t="str">
        <f>$B$252</f>
        <v>Grade Level Teacher</v>
      </c>
      <c r="C1323" s="563"/>
      <c r="D1323" s="421"/>
      <c r="G1323" s="1290">
        <f t="shared" si="448"/>
        <v>0</v>
      </c>
      <c r="H1323" s="1290">
        <f t="shared" si="448"/>
        <v>0</v>
      </c>
      <c r="I1323" s="1290">
        <f t="shared" si="448"/>
        <v>0</v>
      </c>
      <c r="J1323" s="1290">
        <f t="shared" si="448"/>
        <v>0</v>
      </c>
      <c r="K1323" s="1290">
        <f t="shared" si="448"/>
        <v>0</v>
      </c>
      <c r="L1323" s="1290">
        <f t="shared" si="448"/>
        <v>0</v>
      </c>
      <c r="M1323" s="1290">
        <f t="shared" si="448"/>
        <v>0</v>
      </c>
      <c r="N1323" s="168"/>
    </row>
    <row r="1324" spans="1:27" s="282" customFormat="1" outlineLevel="2" x14ac:dyDescent="0.25">
      <c r="A1324" s="276">
        <f t="shared" si="445"/>
        <v>393</v>
      </c>
      <c r="B1324" s="282" t="str">
        <f>$B$253</f>
        <v>Grade Level Teacher</v>
      </c>
      <c r="C1324" s="563"/>
      <c r="D1324" s="421"/>
      <c r="G1324" s="1290">
        <f t="shared" si="448"/>
        <v>0</v>
      </c>
      <c r="H1324" s="1290">
        <f t="shared" si="448"/>
        <v>0</v>
      </c>
      <c r="I1324" s="1290">
        <f t="shared" si="448"/>
        <v>0</v>
      </c>
      <c r="J1324" s="1290">
        <f t="shared" si="448"/>
        <v>0</v>
      </c>
      <c r="K1324" s="1290">
        <f t="shared" si="448"/>
        <v>0</v>
      </c>
      <c r="L1324" s="1290">
        <f t="shared" si="448"/>
        <v>0</v>
      </c>
      <c r="M1324" s="1290">
        <f t="shared" si="448"/>
        <v>0</v>
      </c>
      <c r="N1324" s="168"/>
    </row>
    <row r="1325" spans="1:27" s="282" customFormat="1" outlineLevel="2" x14ac:dyDescent="0.25">
      <c r="A1325" s="276">
        <f t="shared" si="445"/>
        <v>394</v>
      </c>
      <c r="C1325" s="563"/>
      <c r="D1325" s="421"/>
      <c r="G1325" s="1290"/>
      <c r="H1325" s="1290"/>
      <c r="I1325" s="1290"/>
      <c r="J1325" s="1290"/>
      <c r="K1325" s="1290"/>
      <c r="L1325" s="1290"/>
      <c r="M1325" s="1290"/>
      <c r="N1325" s="168"/>
    </row>
    <row r="1326" spans="1:27" s="282" customFormat="1" outlineLevel="2" x14ac:dyDescent="0.25">
      <c r="A1326" s="276">
        <f t="shared" si="445"/>
        <v>395</v>
      </c>
      <c r="B1326" s="282" t="str">
        <f>$B$255</f>
        <v>Grade Level Teacher</v>
      </c>
      <c r="C1326" s="563"/>
      <c r="D1326" s="421"/>
      <c r="G1326" s="1290">
        <f t="shared" ref="G1326:M1330" si="449">G255*$C$94</f>
        <v>0</v>
      </c>
      <c r="H1326" s="1290">
        <f t="shared" si="449"/>
        <v>0</v>
      </c>
      <c r="I1326" s="1290">
        <f t="shared" si="449"/>
        <v>0</v>
      </c>
      <c r="J1326" s="1290">
        <f t="shared" si="449"/>
        <v>0</v>
      </c>
      <c r="K1326" s="1290">
        <f t="shared" si="449"/>
        <v>0</v>
      </c>
      <c r="L1326" s="1290">
        <f t="shared" si="449"/>
        <v>0</v>
      </c>
      <c r="M1326" s="1290">
        <f t="shared" si="449"/>
        <v>0</v>
      </c>
      <c r="N1326" s="168"/>
    </row>
    <row r="1327" spans="1:27" s="282" customFormat="1" outlineLevel="2" x14ac:dyDescent="0.25">
      <c r="A1327" s="276">
        <f t="shared" si="445"/>
        <v>396</v>
      </c>
      <c r="B1327" s="282" t="str">
        <f>$B$256</f>
        <v>Grade Level Teacher</v>
      </c>
      <c r="C1327" s="563"/>
      <c r="D1327" s="421"/>
      <c r="G1327" s="1290">
        <f t="shared" si="449"/>
        <v>0</v>
      </c>
      <c r="H1327" s="1290">
        <f t="shared" si="449"/>
        <v>0</v>
      </c>
      <c r="I1327" s="1290">
        <f t="shared" si="449"/>
        <v>0</v>
      </c>
      <c r="J1327" s="1290">
        <f t="shared" si="449"/>
        <v>0</v>
      </c>
      <c r="K1327" s="1290">
        <f t="shared" si="449"/>
        <v>0</v>
      </c>
      <c r="L1327" s="1290">
        <f t="shared" si="449"/>
        <v>0</v>
      </c>
      <c r="M1327" s="1290">
        <f t="shared" si="449"/>
        <v>0</v>
      </c>
      <c r="N1327" s="168"/>
    </row>
    <row r="1328" spans="1:27" s="282" customFormat="1" outlineLevel="2" x14ac:dyDescent="0.25">
      <c r="A1328" s="276">
        <f t="shared" si="445"/>
        <v>397</v>
      </c>
      <c r="B1328" s="282" t="str">
        <f>$B$257</f>
        <v>Grade Level Teacher</v>
      </c>
      <c r="C1328" s="563"/>
      <c r="D1328" s="421"/>
      <c r="G1328" s="1290">
        <f t="shared" si="449"/>
        <v>0</v>
      </c>
      <c r="H1328" s="1290">
        <f t="shared" si="449"/>
        <v>0</v>
      </c>
      <c r="I1328" s="1290">
        <f t="shared" si="449"/>
        <v>0</v>
      </c>
      <c r="J1328" s="1290">
        <f t="shared" si="449"/>
        <v>0</v>
      </c>
      <c r="K1328" s="1290">
        <f t="shared" si="449"/>
        <v>0</v>
      </c>
      <c r="L1328" s="1290">
        <f t="shared" si="449"/>
        <v>0</v>
      </c>
      <c r="M1328" s="1290">
        <f t="shared" si="449"/>
        <v>0</v>
      </c>
      <c r="N1328" s="168"/>
    </row>
    <row r="1329" spans="1:27" s="282" customFormat="1" outlineLevel="2" x14ac:dyDescent="0.25">
      <c r="A1329" s="276">
        <f t="shared" si="445"/>
        <v>398</v>
      </c>
      <c r="B1329" s="282" t="str">
        <f>$B$258</f>
        <v>Grade Level Teacher</v>
      </c>
      <c r="C1329" s="563"/>
      <c r="D1329" s="421"/>
      <c r="G1329" s="1290">
        <f t="shared" si="449"/>
        <v>0</v>
      </c>
      <c r="H1329" s="1290">
        <f t="shared" si="449"/>
        <v>0</v>
      </c>
      <c r="I1329" s="1290">
        <f t="shared" si="449"/>
        <v>0</v>
      </c>
      <c r="J1329" s="1290">
        <f t="shared" si="449"/>
        <v>0</v>
      </c>
      <c r="K1329" s="1290">
        <f t="shared" si="449"/>
        <v>0</v>
      </c>
      <c r="L1329" s="1290">
        <f t="shared" si="449"/>
        <v>0</v>
      </c>
      <c r="M1329" s="1290">
        <f t="shared" si="449"/>
        <v>0</v>
      </c>
      <c r="N1329" s="168"/>
    </row>
    <row r="1330" spans="1:27" s="282" customFormat="1" outlineLevel="2" x14ac:dyDescent="0.25">
      <c r="A1330" s="276">
        <f t="shared" si="445"/>
        <v>399</v>
      </c>
      <c r="B1330" s="282" t="str">
        <f>$B$259</f>
        <v>Grade Level Teacher</v>
      </c>
      <c r="C1330" s="563"/>
      <c r="D1330" s="421"/>
      <c r="G1330" s="1290">
        <f t="shared" si="449"/>
        <v>0</v>
      </c>
      <c r="H1330" s="1290">
        <f t="shared" si="449"/>
        <v>0</v>
      </c>
      <c r="I1330" s="1290">
        <f t="shared" si="449"/>
        <v>0</v>
      </c>
      <c r="J1330" s="1290">
        <f t="shared" si="449"/>
        <v>0</v>
      </c>
      <c r="K1330" s="1290">
        <f t="shared" si="449"/>
        <v>0</v>
      </c>
      <c r="L1330" s="1290">
        <f t="shared" si="449"/>
        <v>0</v>
      </c>
      <c r="M1330" s="1290">
        <f t="shared" si="449"/>
        <v>0</v>
      </c>
      <c r="N1330" s="168"/>
    </row>
    <row r="1331" spans="1:27" s="282" customFormat="1" outlineLevel="2" x14ac:dyDescent="0.25">
      <c r="A1331" s="276">
        <f t="shared" si="445"/>
        <v>400</v>
      </c>
      <c r="C1331" s="563"/>
      <c r="D1331" s="421"/>
      <c r="G1331" s="1290"/>
      <c r="H1331" s="1290"/>
      <c r="I1331" s="1290"/>
      <c r="J1331" s="1290"/>
      <c r="K1331" s="1290"/>
      <c r="L1331" s="1290"/>
      <c r="M1331" s="1290"/>
      <c r="N1331" s="168"/>
    </row>
    <row r="1332" spans="1:27" s="282" customFormat="1" outlineLevel="2" x14ac:dyDescent="0.25">
      <c r="A1332" s="276">
        <f t="shared" si="445"/>
        <v>401</v>
      </c>
      <c r="B1332" s="282" t="str">
        <f>$B$261</f>
        <v>Grade Level Teacher</v>
      </c>
      <c r="C1332" s="563"/>
      <c r="D1332" s="421"/>
      <c r="G1332" s="1290">
        <f t="shared" ref="G1332:M1336" si="450">G261*$C$94</f>
        <v>0</v>
      </c>
      <c r="H1332" s="1290">
        <f t="shared" si="450"/>
        <v>0</v>
      </c>
      <c r="I1332" s="1290">
        <f t="shared" si="450"/>
        <v>0</v>
      </c>
      <c r="J1332" s="1290">
        <f t="shared" si="450"/>
        <v>0</v>
      </c>
      <c r="K1332" s="1290">
        <f t="shared" si="450"/>
        <v>0</v>
      </c>
      <c r="L1332" s="1290">
        <f t="shared" si="450"/>
        <v>0</v>
      </c>
      <c r="M1332" s="1290">
        <f t="shared" si="450"/>
        <v>0</v>
      </c>
      <c r="N1332" s="168"/>
    </row>
    <row r="1333" spans="1:27" s="282" customFormat="1" outlineLevel="2" x14ac:dyDescent="0.25">
      <c r="A1333" s="276">
        <f t="shared" si="445"/>
        <v>402</v>
      </c>
      <c r="B1333" s="282" t="str">
        <f>$B$262</f>
        <v>Grade Level Teacher</v>
      </c>
      <c r="C1333" s="563"/>
      <c r="D1333" s="421"/>
      <c r="G1333" s="1290">
        <f t="shared" si="450"/>
        <v>0</v>
      </c>
      <c r="H1333" s="1290">
        <f t="shared" si="450"/>
        <v>0</v>
      </c>
      <c r="I1333" s="1290">
        <f t="shared" si="450"/>
        <v>0</v>
      </c>
      <c r="J1333" s="1290">
        <f t="shared" si="450"/>
        <v>0</v>
      </c>
      <c r="K1333" s="1290">
        <f t="shared" si="450"/>
        <v>0</v>
      </c>
      <c r="L1333" s="1290">
        <f t="shared" si="450"/>
        <v>0</v>
      </c>
      <c r="M1333" s="1290">
        <f t="shared" si="450"/>
        <v>0</v>
      </c>
      <c r="N1333" s="168"/>
    </row>
    <row r="1334" spans="1:27" s="282" customFormat="1" outlineLevel="2" x14ac:dyDescent="0.25">
      <c r="A1334" s="276">
        <f t="shared" si="445"/>
        <v>403</v>
      </c>
      <c r="B1334" s="282" t="str">
        <f>$B$263</f>
        <v>Grade Level Teacher</v>
      </c>
      <c r="C1334" s="563"/>
      <c r="D1334" s="421"/>
      <c r="G1334" s="1290">
        <f t="shared" si="450"/>
        <v>0</v>
      </c>
      <c r="H1334" s="1290">
        <f t="shared" si="450"/>
        <v>0</v>
      </c>
      <c r="I1334" s="1290">
        <f t="shared" si="450"/>
        <v>0</v>
      </c>
      <c r="J1334" s="1290">
        <f t="shared" si="450"/>
        <v>0</v>
      </c>
      <c r="K1334" s="1290">
        <f t="shared" si="450"/>
        <v>0</v>
      </c>
      <c r="L1334" s="1290">
        <f t="shared" si="450"/>
        <v>0</v>
      </c>
      <c r="M1334" s="1290">
        <f t="shared" si="450"/>
        <v>0</v>
      </c>
      <c r="N1334" s="168"/>
    </row>
    <row r="1335" spans="1:27" s="282" customFormat="1" outlineLevel="2" x14ac:dyDescent="0.25">
      <c r="A1335" s="276">
        <f t="shared" ref="A1335:A1343" si="451">ROW(A404)</f>
        <v>404</v>
      </c>
      <c r="B1335" s="282" t="str">
        <f>$B$264</f>
        <v>Grade Level Teacher</v>
      </c>
      <c r="C1335" s="563"/>
      <c r="D1335" s="421"/>
      <c r="G1335" s="1290">
        <f t="shared" si="450"/>
        <v>0</v>
      </c>
      <c r="H1335" s="1290">
        <f t="shared" si="450"/>
        <v>0</v>
      </c>
      <c r="I1335" s="1290">
        <f t="shared" si="450"/>
        <v>0</v>
      </c>
      <c r="J1335" s="1290">
        <f t="shared" si="450"/>
        <v>0</v>
      </c>
      <c r="K1335" s="1290">
        <f t="shared" si="450"/>
        <v>0</v>
      </c>
      <c r="L1335" s="1290">
        <f t="shared" si="450"/>
        <v>0</v>
      </c>
      <c r="M1335" s="1290">
        <f t="shared" si="450"/>
        <v>0</v>
      </c>
      <c r="N1335" s="168"/>
    </row>
    <row r="1336" spans="1:27" s="282" customFormat="1" outlineLevel="2" x14ac:dyDescent="0.25">
      <c r="A1336" s="276">
        <f t="shared" si="451"/>
        <v>405</v>
      </c>
      <c r="B1336" s="282" t="str">
        <f>$B$265</f>
        <v>Grade Level Teacher</v>
      </c>
      <c r="C1336" s="563"/>
      <c r="D1336" s="421"/>
      <c r="G1336" s="1290">
        <f t="shared" si="450"/>
        <v>0</v>
      </c>
      <c r="H1336" s="1290">
        <f t="shared" si="450"/>
        <v>0</v>
      </c>
      <c r="I1336" s="1290">
        <f t="shared" si="450"/>
        <v>0</v>
      </c>
      <c r="J1336" s="1290">
        <f t="shared" si="450"/>
        <v>0</v>
      </c>
      <c r="K1336" s="1290">
        <f t="shared" si="450"/>
        <v>0</v>
      </c>
      <c r="L1336" s="1290">
        <f t="shared" si="450"/>
        <v>0</v>
      </c>
      <c r="M1336" s="1290">
        <f t="shared" si="450"/>
        <v>0</v>
      </c>
      <c r="N1336" s="168"/>
    </row>
    <row r="1337" spans="1:27" outlineLevel="2" x14ac:dyDescent="0.25">
      <c r="A1337" s="276">
        <f t="shared" si="451"/>
        <v>406</v>
      </c>
      <c r="B1337" s="282"/>
      <c r="C1337" s="564"/>
      <c r="D1337" s="282"/>
      <c r="G1337" s="1290"/>
      <c r="H1337" s="1290"/>
      <c r="I1337" s="1290"/>
      <c r="J1337" s="1290"/>
      <c r="K1337" s="1290"/>
      <c r="L1337" s="1290"/>
      <c r="M1337" s="1290"/>
      <c r="N1337" s="141"/>
      <c r="R1337" s="282"/>
      <c r="S1337" s="282"/>
      <c r="T1337" s="282"/>
      <c r="U1337" s="282"/>
      <c r="V1337" s="282"/>
      <c r="W1337" s="282"/>
      <c r="X1337" s="282"/>
      <c r="Y1337" s="282"/>
      <c r="Z1337" s="282"/>
      <c r="AA1337" s="282"/>
    </row>
    <row r="1338" spans="1:27" outlineLevel="2" x14ac:dyDescent="0.25">
      <c r="A1338" s="276">
        <f t="shared" si="451"/>
        <v>407</v>
      </c>
      <c r="B1338" s="545" t="s">
        <v>237</v>
      </c>
      <c r="C1338" s="708"/>
      <c r="D1338" s="545"/>
      <c r="E1338" s="517"/>
      <c r="F1338" s="517"/>
      <c r="G1338" s="1291">
        <f t="shared" ref="G1338:M1338" si="452">SUM(G1229:G1336)</f>
        <v>0</v>
      </c>
      <c r="H1338" s="1291">
        <f t="shared" si="452"/>
        <v>0</v>
      </c>
      <c r="I1338" s="1291">
        <f t="shared" si="452"/>
        <v>0</v>
      </c>
      <c r="J1338" s="1291">
        <f t="shared" si="452"/>
        <v>0</v>
      </c>
      <c r="K1338" s="1291">
        <f t="shared" si="452"/>
        <v>0</v>
      </c>
      <c r="L1338" s="1291">
        <f t="shared" si="452"/>
        <v>0</v>
      </c>
      <c r="M1338" s="1291">
        <f t="shared" si="452"/>
        <v>0</v>
      </c>
      <c r="N1338" s="141"/>
      <c r="R1338" s="282"/>
      <c r="S1338" s="282"/>
      <c r="T1338" s="282"/>
      <c r="U1338" s="282"/>
      <c r="V1338" s="282"/>
      <c r="W1338" s="282"/>
      <c r="X1338" s="282"/>
      <c r="Y1338" s="282"/>
      <c r="Z1338" s="282"/>
      <c r="AA1338" s="282"/>
    </row>
    <row r="1339" spans="1:27" outlineLevel="2" x14ac:dyDescent="0.25">
      <c r="A1339" s="276">
        <f t="shared" si="451"/>
        <v>408</v>
      </c>
      <c r="B1339" s="282"/>
      <c r="C1339" s="564"/>
      <c r="D1339" s="282"/>
      <c r="G1339" s="1290"/>
      <c r="H1339" s="1290"/>
      <c r="I1339" s="1290"/>
      <c r="J1339" s="1290"/>
      <c r="K1339" s="1290"/>
      <c r="L1339" s="1290"/>
      <c r="M1339" s="1290"/>
      <c r="N1339" s="141"/>
    </row>
    <row r="1340" spans="1:27" outlineLevel="2" x14ac:dyDescent="0.25">
      <c r="A1340" s="276">
        <f t="shared" si="451"/>
        <v>409</v>
      </c>
      <c r="B1340" s="282"/>
      <c r="C1340" s="564"/>
      <c r="D1340" s="282"/>
      <c r="G1340" s="1290"/>
      <c r="H1340" s="1290"/>
      <c r="I1340" s="1290"/>
      <c r="J1340" s="1290"/>
      <c r="K1340" s="1290"/>
      <c r="L1340" s="1290"/>
      <c r="M1340" s="1290"/>
      <c r="N1340" s="141"/>
    </row>
    <row r="1341" spans="1:27" outlineLevel="1" x14ac:dyDescent="0.25">
      <c r="A1341" s="276">
        <f t="shared" si="451"/>
        <v>410</v>
      </c>
      <c r="B1341" s="529" t="s">
        <v>740</v>
      </c>
      <c r="C1341" s="747"/>
      <c r="D1341" s="529"/>
      <c r="E1341" s="517"/>
      <c r="F1341" s="517"/>
      <c r="G1341" s="1292">
        <f>G1338+G1199+G1237</f>
        <v>0</v>
      </c>
      <c r="H1341" s="1292">
        <f t="shared" ref="H1341:M1341" si="453">H1338+H1199+H1237</f>
        <v>0</v>
      </c>
      <c r="I1341" s="1292">
        <f t="shared" si="453"/>
        <v>0</v>
      </c>
      <c r="J1341" s="1292">
        <f t="shared" si="453"/>
        <v>0</v>
      </c>
      <c r="K1341" s="1292">
        <f t="shared" si="453"/>
        <v>0</v>
      </c>
      <c r="L1341" s="1292">
        <f t="shared" si="453"/>
        <v>0</v>
      </c>
      <c r="M1341" s="1292">
        <f t="shared" si="453"/>
        <v>0</v>
      </c>
      <c r="N1341" s="141"/>
    </row>
    <row r="1342" spans="1:27" outlineLevel="1" x14ac:dyDescent="0.25">
      <c r="A1342" s="276">
        <f t="shared" si="451"/>
        <v>411</v>
      </c>
      <c r="B1342" s="385"/>
      <c r="C1342" s="565"/>
      <c r="D1342" s="385"/>
      <c r="E1342" s="275"/>
      <c r="F1342" s="275"/>
      <c r="G1342" s="141"/>
      <c r="H1342" s="965"/>
      <c r="I1342" s="965"/>
      <c r="J1342" s="965"/>
      <c r="K1342" s="965"/>
      <c r="L1342" s="965"/>
      <c r="M1342" s="965"/>
      <c r="N1342" s="141"/>
    </row>
    <row r="1343" spans="1:27" x14ac:dyDescent="0.25">
      <c r="A1343" s="276">
        <f t="shared" si="451"/>
        <v>412</v>
      </c>
      <c r="B1343" s="279" t="s">
        <v>98</v>
      </c>
      <c r="C1343" s="566"/>
      <c r="D1343" s="529"/>
      <c r="G1343" s="182">
        <f t="shared" ref="G1343:M1343" si="454">G1341+G1182+G1026+G873+G719+G566</f>
        <v>0</v>
      </c>
      <c r="H1343" s="1300">
        <f t="shared" si="454"/>
        <v>413293.06600000005</v>
      </c>
      <c r="I1343" s="1300">
        <f t="shared" si="454"/>
        <v>756965.11306499992</v>
      </c>
      <c r="J1343" s="1300">
        <f t="shared" si="454"/>
        <v>1026679.5167712498</v>
      </c>
      <c r="K1343" s="1300">
        <f t="shared" si="454"/>
        <v>1305642.3672642577</v>
      </c>
      <c r="L1343" s="1300">
        <f t="shared" si="454"/>
        <v>1487755.0101613121</v>
      </c>
      <c r="M1343" s="1300">
        <f t="shared" si="454"/>
        <v>1654663.8940954003</v>
      </c>
      <c r="N1343" s="141"/>
    </row>
    <row r="1344" spans="1:27" s="380" customFormat="1" x14ac:dyDescent="0.25">
      <c r="A1344" s="276">
        <f>ROW()</f>
        <v>1344</v>
      </c>
      <c r="B1344" s="380" t="s">
        <v>36</v>
      </c>
      <c r="C1344" s="567"/>
      <c r="G1344" s="1301">
        <f>IFERROR(G1343/G421,0)</f>
        <v>0</v>
      </c>
      <c r="H1344" s="1301">
        <f t="shared" ref="H1344:M1344" si="455">IF(OR(H1343=0,H421=0),0,H1343/H421)</f>
        <v>0.46514773556025757</v>
      </c>
      <c r="I1344" s="1301">
        <f t="shared" si="455"/>
        <v>0.46651067096200832</v>
      </c>
      <c r="J1344" s="1301">
        <f t="shared" si="455"/>
        <v>0.4723720584861546</v>
      </c>
      <c r="K1344" s="1301">
        <f t="shared" si="455"/>
        <v>0.46640034447762391</v>
      </c>
      <c r="L1344" s="1301">
        <f t="shared" si="455"/>
        <v>0.47331690633571316</v>
      </c>
      <c r="M1344" s="1301">
        <f t="shared" si="455"/>
        <v>0.48037708189946043</v>
      </c>
      <c r="N1344" s="309"/>
    </row>
    <row r="1345" spans="1:14" x14ac:dyDescent="0.25">
      <c r="A1345" s="276">
        <f>ROW()</f>
        <v>1345</v>
      </c>
      <c r="C1345" s="568"/>
      <c r="G1345" s="179"/>
      <c r="H1345" s="179"/>
      <c r="I1345" s="179"/>
      <c r="J1345" s="179"/>
      <c r="K1345" s="179"/>
      <c r="L1345" s="179"/>
      <c r="M1345" s="179"/>
      <c r="N1345" s="141"/>
    </row>
    <row r="1346" spans="1:14" outlineLevel="1" x14ac:dyDescent="0.25">
      <c r="A1346" s="276">
        <f>ROW()</f>
        <v>1346</v>
      </c>
      <c r="B1346" s="223" t="s">
        <v>225</v>
      </c>
      <c r="C1346" s="568"/>
      <c r="G1346" s="179"/>
      <c r="H1346" s="179"/>
      <c r="I1346" s="179"/>
      <c r="J1346" s="179"/>
      <c r="K1346" s="179"/>
      <c r="L1346" s="179"/>
      <c r="M1346" s="179"/>
      <c r="N1346" s="141"/>
    </row>
    <row r="1347" spans="1:14" outlineLevel="1" x14ac:dyDescent="0.25">
      <c r="A1347" s="276">
        <f>ROW()</f>
        <v>1347</v>
      </c>
      <c r="C1347" s="568"/>
      <c r="G1347" s="179"/>
      <c r="H1347" s="179"/>
      <c r="I1347" s="179"/>
      <c r="J1347" s="179"/>
      <c r="K1347" s="179"/>
      <c r="L1347" s="179"/>
      <c r="M1347" s="179"/>
      <c r="N1347" s="141"/>
    </row>
    <row r="1348" spans="1:14" outlineLevel="1" x14ac:dyDescent="0.25">
      <c r="A1348" s="276">
        <f>ROW()</f>
        <v>1348</v>
      </c>
      <c r="B1348" s="217" t="s">
        <v>109</v>
      </c>
      <c r="C1348" s="568"/>
      <c r="G1348" s="179"/>
      <c r="H1348" s="179"/>
      <c r="I1348" s="179"/>
      <c r="J1348" s="179"/>
      <c r="K1348" s="179"/>
      <c r="L1348" s="179"/>
      <c r="M1348" s="179"/>
      <c r="N1348" s="141"/>
    </row>
    <row r="1349" spans="1:14" outlineLevel="1" x14ac:dyDescent="0.25">
      <c r="A1349" s="276">
        <f>ROW()</f>
        <v>1349</v>
      </c>
      <c r="B1349" s="217" t="s">
        <v>187</v>
      </c>
      <c r="C1349" s="568"/>
      <c r="G1349" s="434"/>
      <c r="H1349" s="434">
        <v>1</v>
      </c>
      <c r="I1349" s="434">
        <v>2</v>
      </c>
      <c r="J1349" s="434">
        <v>8</v>
      </c>
      <c r="K1349" s="434">
        <v>10</v>
      </c>
      <c r="L1349" s="434">
        <v>12</v>
      </c>
      <c r="M1349" s="434">
        <v>12</v>
      </c>
      <c r="N1349" s="141"/>
    </row>
    <row r="1350" spans="1:14" outlineLevel="1" x14ac:dyDescent="0.25">
      <c r="A1350" s="276">
        <f>ROW()</f>
        <v>1350</v>
      </c>
      <c r="B1350" s="217" t="s">
        <v>111</v>
      </c>
      <c r="C1350" s="569">
        <v>0</v>
      </c>
      <c r="D1350" s="544">
        <v>0</v>
      </c>
      <c r="G1350" s="195">
        <f>$C$1350*G1349</f>
        <v>0</v>
      </c>
      <c r="H1350" s="195">
        <f t="shared" ref="H1350:M1350" si="456">$C$1350*H1349</f>
        <v>0</v>
      </c>
      <c r="I1350" s="195">
        <f t="shared" si="456"/>
        <v>0</v>
      </c>
      <c r="J1350" s="195">
        <f t="shared" si="456"/>
        <v>0</v>
      </c>
      <c r="K1350" s="195">
        <f t="shared" si="456"/>
        <v>0</v>
      </c>
      <c r="L1350" s="195">
        <f t="shared" si="456"/>
        <v>0</v>
      </c>
      <c r="M1350" s="195">
        <f t="shared" si="456"/>
        <v>0</v>
      </c>
      <c r="N1350" s="141"/>
    </row>
    <row r="1351" spans="1:14" outlineLevel="1" x14ac:dyDescent="0.25">
      <c r="A1351" s="276">
        <f>ROW()</f>
        <v>1351</v>
      </c>
      <c r="C1351" s="1197"/>
      <c r="D1351" s="1198"/>
      <c r="G1351" s="179"/>
      <c r="H1351" s="179"/>
      <c r="I1351" s="179"/>
      <c r="J1351" s="179"/>
      <c r="K1351" s="179"/>
      <c r="L1351" s="179"/>
      <c r="M1351" s="179"/>
      <c r="N1351" s="141"/>
    </row>
    <row r="1352" spans="1:14" outlineLevel="1" x14ac:dyDescent="0.25">
      <c r="A1352" s="276">
        <f>ROW()</f>
        <v>1352</v>
      </c>
      <c r="B1352" s="217" t="s">
        <v>109</v>
      </c>
      <c r="C1352" s="950"/>
      <c r="D1352" s="141"/>
      <c r="G1352" s="179"/>
      <c r="H1352" s="179"/>
      <c r="I1352" s="179"/>
      <c r="J1352" s="179"/>
      <c r="K1352" s="179"/>
      <c r="L1352" s="179"/>
      <c r="M1352" s="179"/>
      <c r="N1352" s="141"/>
    </row>
    <row r="1353" spans="1:14" outlineLevel="1" x14ac:dyDescent="0.25">
      <c r="A1353" s="276">
        <f>ROW()</f>
        <v>1353</v>
      </c>
      <c r="B1353" s="217" t="s">
        <v>187</v>
      </c>
      <c r="C1353" s="950"/>
      <c r="D1353" s="141"/>
      <c r="G1353" s="434"/>
      <c r="H1353" s="434">
        <v>1</v>
      </c>
      <c r="I1353" s="434">
        <v>2</v>
      </c>
      <c r="J1353" s="434">
        <v>3</v>
      </c>
      <c r="K1353" s="434">
        <v>3</v>
      </c>
      <c r="L1353" s="434">
        <v>3</v>
      </c>
      <c r="M1353" s="434">
        <v>3</v>
      </c>
      <c r="N1353" s="141"/>
    </row>
    <row r="1354" spans="1:14" outlineLevel="1" x14ac:dyDescent="0.25">
      <c r="A1354" s="276">
        <f>ROW()</f>
        <v>1354</v>
      </c>
      <c r="B1354" s="217" t="s">
        <v>111</v>
      </c>
      <c r="C1354" s="569">
        <v>0</v>
      </c>
      <c r="D1354" s="544"/>
      <c r="G1354" s="195">
        <f>$C$1354*G1353</f>
        <v>0</v>
      </c>
      <c r="H1354" s="195">
        <f t="shared" ref="H1354:M1354" si="457">$C$1354*H1353</f>
        <v>0</v>
      </c>
      <c r="I1354" s="195">
        <f t="shared" si="457"/>
        <v>0</v>
      </c>
      <c r="J1354" s="195">
        <f t="shared" si="457"/>
        <v>0</v>
      </c>
      <c r="K1354" s="195">
        <f t="shared" si="457"/>
        <v>0</v>
      </c>
      <c r="L1354" s="195">
        <f t="shared" si="457"/>
        <v>0</v>
      </c>
      <c r="M1354" s="195">
        <f t="shared" si="457"/>
        <v>0</v>
      </c>
      <c r="N1354" s="141"/>
    </row>
    <row r="1355" spans="1:14" outlineLevel="1" x14ac:dyDescent="0.25">
      <c r="A1355" s="276">
        <f>ROW()</f>
        <v>1355</v>
      </c>
      <c r="C1355" s="950"/>
      <c r="D1355" s="141"/>
      <c r="G1355" s="179"/>
      <c r="H1355" s="179"/>
      <c r="I1355" s="179"/>
      <c r="J1355" s="179"/>
      <c r="K1355" s="179"/>
      <c r="L1355" s="179"/>
      <c r="M1355" s="179"/>
      <c r="N1355" s="141"/>
    </row>
    <row r="1356" spans="1:14" outlineLevel="1" x14ac:dyDescent="0.25">
      <c r="A1356" s="276">
        <f>ROW()</f>
        <v>1356</v>
      </c>
      <c r="B1356" s="217" t="s">
        <v>109</v>
      </c>
      <c r="C1356" s="950"/>
      <c r="D1356" s="141"/>
      <c r="G1356" s="179"/>
      <c r="H1356" s="179"/>
      <c r="I1356" s="179"/>
      <c r="J1356" s="179"/>
      <c r="K1356" s="179"/>
      <c r="L1356" s="179"/>
      <c r="M1356" s="179"/>
      <c r="N1356" s="141"/>
    </row>
    <row r="1357" spans="1:14" outlineLevel="1" x14ac:dyDescent="0.25">
      <c r="A1357" s="276">
        <f>ROW()</f>
        <v>1357</v>
      </c>
      <c r="B1357" s="217" t="s">
        <v>187</v>
      </c>
      <c r="C1357" s="950"/>
      <c r="D1357" s="141"/>
      <c r="G1357" s="434"/>
      <c r="H1357" s="434"/>
      <c r="I1357" s="434"/>
      <c r="J1357" s="434"/>
      <c r="K1357" s="434"/>
      <c r="L1357" s="434"/>
      <c r="M1357" s="434"/>
      <c r="N1357" s="141"/>
    </row>
    <row r="1358" spans="1:14" outlineLevel="1" x14ac:dyDescent="0.25">
      <c r="A1358" s="276">
        <f>ROW()</f>
        <v>1358</v>
      </c>
      <c r="B1358" s="217" t="s">
        <v>111</v>
      </c>
      <c r="C1358" s="570"/>
      <c r="D1358" s="435"/>
      <c r="G1358" s="195">
        <f>$C$1358*G1357</f>
        <v>0</v>
      </c>
      <c r="H1358" s="195">
        <f>$C$1358*H1357</f>
        <v>0</v>
      </c>
      <c r="I1358" s="195">
        <f>$C$1358*I1357</f>
        <v>0</v>
      </c>
      <c r="J1358" s="195">
        <f>I1358*$C$46</f>
        <v>0</v>
      </c>
      <c r="K1358" s="195">
        <f>J1358*$C$46</f>
        <v>0</v>
      </c>
      <c r="L1358" s="195">
        <f>K1358*$C$46</f>
        <v>0</v>
      </c>
      <c r="M1358" s="195">
        <f>L1358*$C$46</f>
        <v>0</v>
      </c>
      <c r="N1358" s="141"/>
    </row>
    <row r="1359" spans="1:14" outlineLevel="1" x14ac:dyDescent="0.25">
      <c r="A1359" s="276">
        <f>ROW()</f>
        <v>1359</v>
      </c>
      <c r="C1359" s="950"/>
      <c r="D1359" s="141"/>
      <c r="G1359" s="179"/>
      <c r="H1359" s="179"/>
      <c r="I1359" s="179"/>
      <c r="J1359" s="179"/>
      <c r="K1359" s="179"/>
      <c r="L1359" s="179"/>
      <c r="M1359" s="179"/>
      <c r="N1359" s="141"/>
    </row>
    <row r="1360" spans="1:14" outlineLevel="1" x14ac:dyDescent="0.25">
      <c r="A1360" s="276">
        <f>ROW()</f>
        <v>1360</v>
      </c>
      <c r="B1360" s="217" t="s">
        <v>109</v>
      </c>
      <c r="C1360" s="950"/>
      <c r="D1360" s="141"/>
      <c r="G1360" s="179"/>
      <c r="H1360" s="179"/>
      <c r="I1360" s="179"/>
      <c r="J1360" s="179"/>
      <c r="K1360" s="179"/>
      <c r="L1360" s="179"/>
      <c r="M1360" s="179"/>
      <c r="N1360" s="141"/>
    </row>
    <row r="1361" spans="1:14" outlineLevel="1" x14ac:dyDescent="0.25">
      <c r="A1361" s="276">
        <f>ROW()</f>
        <v>1361</v>
      </c>
      <c r="B1361" s="217" t="s">
        <v>187</v>
      </c>
      <c r="C1361" s="950"/>
      <c r="D1361" s="141"/>
      <c r="G1361" s="434"/>
      <c r="H1361" s="434"/>
      <c r="I1361" s="434"/>
      <c r="J1361" s="434"/>
      <c r="K1361" s="434"/>
      <c r="L1361" s="434"/>
      <c r="M1361" s="434"/>
      <c r="N1361" s="141"/>
    </row>
    <row r="1362" spans="1:14" outlineLevel="1" x14ac:dyDescent="0.25">
      <c r="A1362" s="276">
        <f>ROW()</f>
        <v>1362</v>
      </c>
      <c r="B1362" s="217" t="s">
        <v>111</v>
      </c>
      <c r="C1362" s="570"/>
      <c r="D1362" s="435"/>
      <c r="G1362" s="195">
        <f>$C$1362*G1361</f>
        <v>0</v>
      </c>
      <c r="H1362" s="195">
        <f t="shared" ref="H1362:M1362" si="458">$C$1362*H1361</f>
        <v>0</v>
      </c>
      <c r="I1362" s="195">
        <f t="shared" si="458"/>
        <v>0</v>
      </c>
      <c r="J1362" s="195">
        <f t="shared" si="458"/>
        <v>0</v>
      </c>
      <c r="K1362" s="195">
        <f t="shared" si="458"/>
        <v>0</v>
      </c>
      <c r="L1362" s="195">
        <f t="shared" si="458"/>
        <v>0</v>
      </c>
      <c r="M1362" s="195">
        <f t="shared" si="458"/>
        <v>0</v>
      </c>
      <c r="N1362" s="141"/>
    </row>
    <row r="1363" spans="1:14" outlineLevel="1" x14ac:dyDescent="0.25">
      <c r="A1363" s="276">
        <f>ROW()</f>
        <v>1363</v>
      </c>
      <c r="C1363" s="950"/>
      <c r="D1363" s="141"/>
      <c r="G1363" s="179"/>
      <c r="H1363" s="179"/>
      <c r="I1363" s="179"/>
      <c r="J1363" s="179"/>
      <c r="K1363" s="179"/>
      <c r="L1363" s="179"/>
      <c r="M1363" s="179"/>
      <c r="N1363" s="141"/>
    </row>
    <row r="1364" spans="1:14" outlineLevel="1" x14ac:dyDescent="0.25">
      <c r="A1364" s="276">
        <f>ROW()</f>
        <v>1364</v>
      </c>
      <c r="B1364" s="217" t="s">
        <v>109</v>
      </c>
      <c r="C1364" s="950"/>
      <c r="D1364" s="141"/>
      <c r="G1364" s="179"/>
      <c r="H1364" s="179"/>
      <c r="I1364" s="179"/>
      <c r="J1364" s="179"/>
      <c r="K1364" s="179"/>
      <c r="L1364" s="179"/>
      <c r="M1364" s="179"/>
      <c r="N1364" s="141"/>
    </row>
    <row r="1365" spans="1:14" outlineLevel="1" x14ac:dyDescent="0.25">
      <c r="A1365" s="276">
        <f>ROW()</f>
        <v>1365</v>
      </c>
      <c r="B1365" s="217" t="s">
        <v>187</v>
      </c>
      <c r="C1365" s="950"/>
      <c r="D1365" s="141"/>
      <c r="G1365" s="434"/>
      <c r="H1365" s="434"/>
      <c r="I1365" s="434"/>
      <c r="J1365" s="434"/>
      <c r="K1365" s="434"/>
      <c r="L1365" s="434"/>
      <c r="M1365" s="434"/>
      <c r="N1365" s="141"/>
    </row>
    <row r="1366" spans="1:14" outlineLevel="1" x14ac:dyDescent="0.25">
      <c r="A1366" s="276">
        <f>ROW()</f>
        <v>1366</v>
      </c>
      <c r="B1366" s="217" t="s">
        <v>111</v>
      </c>
      <c r="C1366" s="570"/>
      <c r="D1366" s="435"/>
      <c r="G1366" s="195">
        <f>$C$1366*G1365</f>
        <v>0</v>
      </c>
      <c r="H1366" s="195">
        <f t="shared" ref="H1366:M1366" si="459">$C$1366*H1365</f>
        <v>0</v>
      </c>
      <c r="I1366" s="195">
        <f t="shared" si="459"/>
        <v>0</v>
      </c>
      <c r="J1366" s="195">
        <f t="shared" si="459"/>
        <v>0</v>
      </c>
      <c r="K1366" s="195">
        <f t="shared" si="459"/>
        <v>0</v>
      </c>
      <c r="L1366" s="195">
        <f t="shared" si="459"/>
        <v>0</v>
      </c>
      <c r="M1366" s="195">
        <f t="shared" si="459"/>
        <v>0</v>
      </c>
      <c r="N1366" s="141"/>
    </row>
    <row r="1367" spans="1:14" ht="15.75" thickBot="1" x14ac:dyDescent="0.3">
      <c r="A1367" s="276">
        <f>ROW()</f>
        <v>1367</v>
      </c>
      <c r="C1367" s="568"/>
      <c r="G1367" s="179"/>
      <c r="H1367" s="179"/>
      <c r="I1367" s="179"/>
      <c r="J1367" s="179"/>
      <c r="K1367" s="179"/>
      <c r="L1367" s="179"/>
      <c r="M1367" s="179"/>
      <c r="N1367" s="141"/>
    </row>
    <row r="1368" spans="1:14" ht="15.75" thickBot="1" x14ac:dyDescent="0.3">
      <c r="A1368" s="276">
        <f>ROW()</f>
        <v>1368</v>
      </c>
      <c r="B1368" s="381" t="s">
        <v>606</v>
      </c>
      <c r="C1368" s="571">
        <f>SUM(G1368:M1368)</f>
        <v>0</v>
      </c>
      <c r="D1368" s="382"/>
      <c r="E1368" s="382"/>
      <c r="F1368" s="382"/>
      <c r="G1368" s="1302">
        <f t="shared" ref="G1368:M1368" si="460">G1366+G1362+G1358+G1354+G1350</f>
        <v>0</v>
      </c>
      <c r="H1368" s="1302">
        <f t="shared" si="460"/>
        <v>0</v>
      </c>
      <c r="I1368" s="1302">
        <f t="shared" si="460"/>
        <v>0</v>
      </c>
      <c r="J1368" s="1302">
        <f t="shared" si="460"/>
        <v>0</v>
      </c>
      <c r="K1368" s="1302">
        <f t="shared" si="460"/>
        <v>0</v>
      </c>
      <c r="L1368" s="1302">
        <f t="shared" si="460"/>
        <v>0</v>
      </c>
      <c r="M1368" s="1302">
        <f t="shared" si="460"/>
        <v>0</v>
      </c>
      <c r="N1368" s="141"/>
    </row>
    <row r="1369" spans="1:14" ht="15.75" thickBot="1" x14ac:dyDescent="0.3">
      <c r="A1369" s="276">
        <f>ROW()</f>
        <v>1369</v>
      </c>
      <c r="B1369" s="378"/>
      <c r="C1369" s="562"/>
      <c r="D1369" s="378"/>
      <c r="E1369" s="378"/>
      <c r="F1369" s="378"/>
      <c r="G1369" s="463"/>
      <c r="H1369" s="463"/>
      <c r="I1369" s="463"/>
      <c r="J1369" s="463"/>
      <c r="K1369" s="463"/>
      <c r="L1369" s="463"/>
      <c r="M1369" s="463"/>
      <c r="N1369" s="141"/>
    </row>
    <row r="1370" spans="1:14" ht="15.75" thickBot="1" x14ac:dyDescent="0.3">
      <c r="A1370" s="276">
        <f>ROW()</f>
        <v>1370</v>
      </c>
      <c r="B1370" s="381" t="s">
        <v>157</v>
      </c>
      <c r="C1370" s="571">
        <f>SUM(G1370:M1370)</f>
        <v>0</v>
      </c>
      <c r="D1370" s="382"/>
      <c r="E1370" s="382"/>
      <c r="F1370" s="382"/>
      <c r="G1370" s="1302">
        <f t="shared" ref="G1370:M1370" si="461">G421*$C$97</f>
        <v>0</v>
      </c>
      <c r="H1370" s="1302">
        <f t="shared" si="461"/>
        <v>0</v>
      </c>
      <c r="I1370" s="1302">
        <f t="shared" si="461"/>
        <v>0</v>
      </c>
      <c r="J1370" s="1302">
        <f t="shared" si="461"/>
        <v>0</v>
      </c>
      <c r="K1370" s="1302">
        <f t="shared" si="461"/>
        <v>0</v>
      </c>
      <c r="L1370" s="1302">
        <f t="shared" si="461"/>
        <v>0</v>
      </c>
      <c r="M1370" s="1302">
        <f t="shared" si="461"/>
        <v>0</v>
      </c>
      <c r="N1370" s="141"/>
    </row>
    <row r="1371" spans="1:14" ht="15.75" thickBot="1" x14ac:dyDescent="0.3">
      <c r="A1371" s="276">
        <f>ROW()</f>
        <v>1371</v>
      </c>
      <c r="B1371" s="378"/>
      <c r="C1371" s="562"/>
      <c r="D1371" s="378"/>
      <c r="E1371" s="378"/>
      <c r="F1371" s="378"/>
      <c r="G1371" s="463"/>
      <c r="H1371" s="463"/>
      <c r="I1371" s="463"/>
      <c r="J1371" s="463"/>
      <c r="K1371" s="463"/>
      <c r="L1371" s="463"/>
      <c r="M1371" s="463"/>
      <c r="N1371" s="141"/>
    </row>
    <row r="1372" spans="1:14" ht="15.75" thickBot="1" x14ac:dyDescent="0.3">
      <c r="A1372" s="276">
        <f>ROW()</f>
        <v>1372</v>
      </c>
      <c r="B1372" s="381" t="s">
        <v>158</v>
      </c>
      <c r="C1372" s="572">
        <f>SUM(G1372:M1372)</f>
        <v>75840</v>
      </c>
      <c r="D1372" s="436"/>
      <c r="E1372" s="436"/>
      <c r="F1372" s="436"/>
      <c r="G1372" s="1302">
        <f t="shared" ref="G1372:M1372" si="462">G103*$C$96*12</f>
        <v>0</v>
      </c>
      <c r="H1372" s="1302">
        <f t="shared" si="462"/>
        <v>5040</v>
      </c>
      <c r="I1372" s="1302">
        <f t="shared" si="462"/>
        <v>9120</v>
      </c>
      <c r="J1372" s="1302">
        <f t="shared" si="462"/>
        <v>12240</v>
      </c>
      <c r="K1372" s="1302">
        <f t="shared" si="462"/>
        <v>15120</v>
      </c>
      <c r="L1372" s="1302">
        <f t="shared" si="462"/>
        <v>16560</v>
      </c>
      <c r="M1372" s="1302">
        <f t="shared" si="462"/>
        <v>17760</v>
      </c>
      <c r="N1372" s="141"/>
    </row>
    <row r="1373" spans="1:14" x14ac:dyDescent="0.25">
      <c r="A1373" s="276">
        <f>ROW()</f>
        <v>1373</v>
      </c>
      <c r="C1373" s="568"/>
      <c r="G1373" s="141"/>
      <c r="H1373" s="150"/>
      <c r="I1373" s="150"/>
      <c r="J1373" s="150"/>
      <c r="K1373" s="150"/>
      <c r="L1373" s="150"/>
      <c r="M1373" s="150"/>
      <c r="N1373" s="141"/>
    </row>
    <row r="1374" spans="1:14" x14ac:dyDescent="0.25">
      <c r="A1374" s="276">
        <f>ROW()</f>
        <v>1374</v>
      </c>
      <c r="C1374" s="573"/>
      <c r="D1374" s="223"/>
      <c r="E1374" s="223"/>
      <c r="F1374" s="223"/>
      <c r="G1374" s="135" t="str">
        <f t="shared" ref="G1374:M1376" si="463">G9</f>
        <v>SY 0/Incubation</v>
      </c>
      <c r="H1374" s="135" t="str">
        <f t="shared" si="463"/>
        <v>SY 1</v>
      </c>
      <c r="I1374" s="135" t="str">
        <f t="shared" si="463"/>
        <v>SY 2</v>
      </c>
      <c r="J1374" s="135" t="str">
        <f t="shared" si="463"/>
        <v>SY 3</v>
      </c>
      <c r="K1374" s="135" t="str">
        <f t="shared" si="463"/>
        <v>SY 4</v>
      </c>
      <c r="L1374" s="135" t="str">
        <f t="shared" si="463"/>
        <v>SY 5</v>
      </c>
      <c r="M1374" s="135" t="str">
        <f t="shared" si="463"/>
        <v>SY 6</v>
      </c>
      <c r="N1374" s="141"/>
    </row>
    <row r="1375" spans="1:14" x14ac:dyDescent="0.25">
      <c r="A1375" s="276">
        <f>ROW()</f>
        <v>1375</v>
      </c>
      <c r="C1375" s="573"/>
      <c r="D1375" s="223"/>
      <c r="E1375" s="223"/>
      <c r="F1375" s="223"/>
      <c r="G1375" s="1403">
        <f t="shared" si="463"/>
        <v>2019</v>
      </c>
      <c r="H1375" s="1404">
        <f t="shared" si="463"/>
        <v>2020</v>
      </c>
      <c r="I1375" s="1404">
        <f t="shared" si="463"/>
        <v>2021</v>
      </c>
      <c r="J1375" s="1404">
        <f t="shared" si="463"/>
        <v>2022</v>
      </c>
      <c r="K1375" s="1404">
        <f t="shared" si="463"/>
        <v>2023</v>
      </c>
      <c r="L1375" s="1404">
        <f t="shared" si="463"/>
        <v>2024</v>
      </c>
      <c r="M1375" s="1405">
        <f t="shared" si="463"/>
        <v>2025</v>
      </c>
      <c r="N1375" s="141"/>
    </row>
    <row r="1376" spans="1:14" x14ac:dyDescent="0.25">
      <c r="A1376" s="276">
        <f>ROW()</f>
        <v>1376</v>
      </c>
      <c r="B1376" s="1289"/>
      <c r="C1376" s="1402"/>
      <c r="D1376" s="1289"/>
      <c r="E1376" s="1289"/>
      <c r="F1376" s="1289"/>
      <c r="G1376" s="138">
        <f t="shared" si="463"/>
        <v>2020</v>
      </c>
      <c r="H1376" s="139">
        <f t="shared" si="463"/>
        <v>2021</v>
      </c>
      <c r="I1376" s="139">
        <f t="shared" si="463"/>
        <v>2022</v>
      </c>
      <c r="J1376" s="139">
        <f t="shared" si="463"/>
        <v>2023</v>
      </c>
      <c r="K1376" s="139">
        <f t="shared" si="463"/>
        <v>2024</v>
      </c>
      <c r="L1376" s="139">
        <f t="shared" si="463"/>
        <v>2025</v>
      </c>
      <c r="M1376" s="140">
        <f t="shared" si="463"/>
        <v>2026</v>
      </c>
      <c r="N1376" s="141"/>
    </row>
    <row r="1377" spans="1:14" x14ac:dyDescent="0.25">
      <c r="A1377" s="276">
        <f>ROW()</f>
        <v>1377</v>
      </c>
      <c r="B1377" s="1414" t="s">
        <v>91</v>
      </c>
      <c r="C1377" s="1415"/>
      <c r="D1377" s="1414"/>
      <c r="E1377" s="1414"/>
      <c r="F1377" s="1414"/>
      <c r="G1377" s="1416"/>
      <c r="H1377" s="1416"/>
      <c r="I1377" s="1416"/>
      <c r="J1377" s="1416"/>
      <c r="K1377" s="1416"/>
      <c r="L1377" s="1416"/>
      <c r="M1377" s="1416"/>
      <c r="N1377" s="141"/>
    </row>
    <row r="1378" spans="1:14" outlineLevel="1" x14ac:dyDescent="0.25">
      <c r="A1378" s="276">
        <f>ROW()</f>
        <v>1378</v>
      </c>
      <c r="B1378" s="223" t="s">
        <v>199</v>
      </c>
      <c r="C1378" s="573" t="s">
        <v>71</v>
      </c>
      <c r="D1378" s="201"/>
      <c r="E1378" s="201"/>
      <c r="F1378" s="201"/>
      <c r="G1378" s="141"/>
      <c r="H1378" s="141"/>
      <c r="I1378" s="141"/>
      <c r="J1378" s="141"/>
      <c r="K1378" s="141"/>
      <c r="L1378" s="141"/>
      <c r="M1378" s="141"/>
      <c r="N1378" s="141"/>
    </row>
    <row r="1379" spans="1:14" outlineLevel="1" x14ac:dyDescent="0.25">
      <c r="A1379" s="276">
        <f>ROW()</f>
        <v>1379</v>
      </c>
      <c r="B1379" s="295" t="s">
        <v>130</v>
      </c>
      <c r="C1379" s="949">
        <v>0</v>
      </c>
      <c r="D1379" s="437" t="s">
        <v>66</v>
      </c>
      <c r="E1379" s="437"/>
      <c r="F1379" s="437"/>
      <c r="G1379" s="1303"/>
      <c r="H1379" s="1303">
        <f t="shared" ref="H1379:M1379" si="464">$C$1379*H103</f>
        <v>0</v>
      </c>
      <c r="I1379" s="1303">
        <f t="shared" si="464"/>
        <v>0</v>
      </c>
      <c r="J1379" s="1303">
        <f t="shared" si="464"/>
        <v>0</v>
      </c>
      <c r="K1379" s="1303">
        <f t="shared" si="464"/>
        <v>0</v>
      </c>
      <c r="L1379" s="1303">
        <f t="shared" si="464"/>
        <v>0</v>
      </c>
      <c r="M1379" s="1303">
        <f t="shared" si="464"/>
        <v>0</v>
      </c>
      <c r="N1379" s="141"/>
    </row>
    <row r="1380" spans="1:14" outlineLevel="1" x14ac:dyDescent="0.25">
      <c r="A1380" s="276">
        <f>ROW()</f>
        <v>1380</v>
      </c>
      <c r="B1380" s="295" t="s">
        <v>9</v>
      </c>
      <c r="C1380" s="949">
        <v>0</v>
      </c>
      <c r="D1380" s="437" t="s">
        <v>0</v>
      </c>
      <c r="E1380" s="437"/>
      <c r="F1380" s="437"/>
      <c r="G1380" s="196"/>
      <c r="H1380" s="196">
        <f t="shared" ref="H1380:M1380" si="465">$C1380</f>
        <v>0</v>
      </c>
      <c r="I1380" s="196">
        <f t="shared" si="465"/>
        <v>0</v>
      </c>
      <c r="J1380" s="196">
        <f t="shared" si="465"/>
        <v>0</v>
      </c>
      <c r="K1380" s="196">
        <f t="shared" si="465"/>
        <v>0</v>
      </c>
      <c r="L1380" s="196">
        <f t="shared" si="465"/>
        <v>0</v>
      </c>
      <c r="M1380" s="196">
        <f t="shared" si="465"/>
        <v>0</v>
      </c>
      <c r="N1380" s="141"/>
    </row>
    <row r="1381" spans="1:14" outlineLevel="1" x14ac:dyDescent="0.25">
      <c r="A1381" s="276">
        <f>ROW()</f>
        <v>1381</v>
      </c>
      <c r="B1381" s="295" t="s">
        <v>270</v>
      </c>
      <c r="C1381" s="949">
        <v>0</v>
      </c>
      <c r="D1381" s="437" t="s">
        <v>271</v>
      </c>
      <c r="E1381" s="437"/>
      <c r="F1381" s="437"/>
      <c r="G1381" s="196"/>
      <c r="H1381" s="196">
        <f t="shared" ref="H1381:M1381" si="466">$C$1381</f>
        <v>0</v>
      </c>
      <c r="I1381" s="196">
        <f t="shared" si="466"/>
        <v>0</v>
      </c>
      <c r="J1381" s="196">
        <f t="shared" si="466"/>
        <v>0</v>
      </c>
      <c r="K1381" s="196">
        <f t="shared" si="466"/>
        <v>0</v>
      </c>
      <c r="L1381" s="196">
        <f t="shared" si="466"/>
        <v>0</v>
      </c>
      <c r="M1381" s="196">
        <f t="shared" si="466"/>
        <v>0</v>
      </c>
      <c r="N1381" s="141"/>
    </row>
    <row r="1382" spans="1:14" outlineLevel="1" x14ac:dyDescent="0.25">
      <c r="A1382" s="276">
        <f>ROW()</f>
        <v>1382</v>
      </c>
      <c r="B1382" s="295" t="s">
        <v>585</v>
      </c>
      <c r="C1382" s="588"/>
      <c r="D1382" s="437"/>
      <c r="E1382" s="437"/>
      <c r="F1382" s="437"/>
      <c r="G1382" s="196"/>
      <c r="H1382" s="196"/>
      <c r="I1382" s="196"/>
      <c r="J1382" s="196"/>
      <c r="K1382" s="196"/>
      <c r="L1382" s="196"/>
      <c r="M1382" s="196"/>
      <c r="N1382" s="141"/>
    </row>
    <row r="1383" spans="1:14" outlineLevel="1" x14ac:dyDescent="0.25">
      <c r="A1383" s="276">
        <f>ROW()</f>
        <v>1383</v>
      </c>
      <c r="B1383" s="295" t="s">
        <v>129</v>
      </c>
      <c r="C1383" s="949">
        <v>0</v>
      </c>
      <c r="D1383" s="437" t="s">
        <v>68</v>
      </c>
      <c r="E1383" s="437"/>
      <c r="F1383" s="437"/>
      <c r="G1383" s="196"/>
      <c r="H1383" s="196">
        <f t="shared" ref="H1383:M1383" si="467">$C$1383*(H31-G31)</f>
        <v>0</v>
      </c>
      <c r="I1383" s="196">
        <f t="shared" si="467"/>
        <v>0</v>
      </c>
      <c r="J1383" s="196">
        <f t="shared" si="467"/>
        <v>0</v>
      </c>
      <c r="K1383" s="196">
        <f t="shared" si="467"/>
        <v>0</v>
      </c>
      <c r="L1383" s="196">
        <f t="shared" si="467"/>
        <v>0</v>
      </c>
      <c r="M1383" s="196">
        <f t="shared" si="467"/>
        <v>0</v>
      </c>
      <c r="N1383" s="141"/>
    </row>
    <row r="1384" spans="1:14" outlineLevel="1" x14ac:dyDescent="0.25">
      <c r="A1384" s="276">
        <f>ROW()</f>
        <v>1384</v>
      </c>
      <c r="B1384" s="295" t="s">
        <v>212</v>
      </c>
      <c r="C1384" s="949">
        <v>0</v>
      </c>
      <c r="D1384" s="437" t="s">
        <v>222</v>
      </c>
      <c r="E1384" s="437"/>
      <c r="F1384" s="437"/>
      <c r="G1384" s="196"/>
      <c r="H1384" s="196"/>
      <c r="I1384" s="196"/>
      <c r="J1384" s="196"/>
      <c r="K1384" s="196"/>
      <c r="L1384" s="196"/>
      <c r="M1384" s="196"/>
      <c r="N1384" s="141"/>
    </row>
    <row r="1385" spans="1:14" outlineLevel="1" x14ac:dyDescent="0.25">
      <c r="A1385" s="276">
        <f>ROW()</f>
        <v>1385</v>
      </c>
      <c r="B1385" s="295" t="s">
        <v>231</v>
      </c>
      <c r="C1385" s="949">
        <v>0</v>
      </c>
      <c r="D1385" s="437" t="s">
        <v>68</v>
      </c>
      <c r="E1385" s="437"/>
      <c r="F1385" s="437"/>
      <c r="G1385" s="196"/>
      <c r="H1385" s="196">
        <f t="shared" ref="H1385:M1385" si="468">$C$1385*H31</f>
        <v>0</v>
      </c>
      <c r="I1385" s="196">
        <f t="shared" si="468"/>
        <v>0</v>
      </c>
      <c r="J1385" s="196">
        <f t="shared" si="468"/>
        <v>0</v>
      </c>
      <c r="K1385" s="196">
        <f t="shared" si="468"/>
        <v>0</v>
      </c>
      <c r="L1385" s="196">
        <f t="shared" si="468"/>
        <v>0</v>
      </c>
      <c r="M1385" s="196">
        <f t="shared" si="468"/>
        <v>0</v>
      </c>
      <c r="N1385" s="141"/>
    </row>
    <row r="1386" spans="1:14" outlineLevel="1" x14ac:dyDescent="0.25">
      <c r="A1386" s="276">
        <f>ROW()</f>
        <v>1386</v>
      </c>
      <c r="B1386" s="295" t="s">
        <v>273</v>
      </c>
      <c r="C1386" s="949">
        <v>0</v>
      </c>
      <c r="D1386" s="437" t="s">
        <v>68</v>
      </c>
      <c r="E1386" s="437"/>
      <c r="F1386" s="437"/>
      <c r="G1386" s="196"/>
      <c r="H1386" s="196">
        <f t="shared" ref="H1386:M1386" si="469">$C$1386*H31</f>
        <v>0</v>
      </c>
      <c r="I1386" s="196">
        <f t="shared" si="469"/>
        <v>0</v>
      </c>
      <c r="J1386" s="196">
        <f t="shared" si="469"/>
        <v>0</v>
      </c>
      <c r="K1386" s="196">
        <f t="shared" si="469"/>
        <v>0</v>
      </c>
      <c r="L1386" s="196">
        <f t="shared" si="469"/>
        <v>0</v>
      </c>
      <c r="M1386" s="196">
        <f t="shared" si="469"/>
        <v>0</v>
      </c>
      <c r="N1386" s="141"/>
    </row>
    <row r="1387" spans="1:14" outlineLevel="1" x14ac:dyDescent="0.25">
      <c r="A1387" s="276">
        <f>ROW()</f>
        <v>1387</v>
      </c>
      <c r="B1387" s="295" t="s">
        <v>278</v>
      </c>
      <c r="C1387" s="949">
        <v>0</v>
      </c>
      <c r="D1387" s="437" t="s">
        <v>263</v>
      </c>
      <c r="E1387" s="437"/>
      <c r="F1387" s="437"/>
      <c r="G1387" s="196"/>
      <c r="H1387" s="196">
        <f t="shared" ref="H1387:M1387" si="470">$C$1387*H31</f>
        <v>0</v>
      </c>
      <c r="I1387" s="196">
        <f t="shared" si="470"/>
        <v>0</v>
      </c>
      <c r="J1387" s="196">
        <f t="shared" si="470"/>
        <v>0</v>
      </c>
      <c r="K1387" s="196">
        <f t="shared" si="470"/>
        <v>0</v>
      </c>
      <c r="L1387" s="196">
        <f t="shared" si="470"/>
        <v>0</v>
      </c>
      <c r="M1387" s="196">
        <f t="shared" si="470"/>
        <v>0</v>
      </c>
      <c r="N1387" s="141"/>
    </row>
    <row r="1388" spans="1:14" outlineLevel="1" x14ac:dyDescent="0.25">
      <c r="A1388" s="276">
        <f>ROW()</f>
        <v>1388</v>
      </c>
      <c r="B1388" s="295" t="s">
        <v>609</v>
      </c>
      <c r="C1388" s="588"/>
      <c r="D1388" s="437"/>
      <c r="E1388" s="437"/>
      <c r="F1388" s="437"/>
      <c r="G1388" s="196"/>
      <c r="H1388" s="196">
        <f t="shared" ref="H1388:M1388" si="471">(H59+H69)*$C$1388</f>
        <v>0</v>
      </c>
      <c r="I1388" s="196">
        <f t="shared" si="471"/>
        <v>0</v>
      </c>
      <c r="J1388" s="196">
        <f t="shared" si="471"/>
        <v>0</v>
      </c>
      <c r="K1388" s="196">
        <f t="shared" si="471"/>
        <v>0</v>
      </c>
      <c r="L1388" s="196">
        <f t="shared" si="471"/>
        <v>0</v>
      </c>
      <c r="M1388" s="196">
        <f t="shared" si="471"/>
        <v>0</v>
      </c>
      <c r="N1388" s="141"/>
    </row>
    <row r="1389" spans="1:14" outlineLevel="1" x14ac:dyDescent="0.25">
      <c r="A1389" s="276">
        <f>ROW()</f>
        <v>1389</v>
      </c>
      <c r="B1389" s="295" t="s">
        <v>339</v>
      </c>
      <c r="C1389" s="949">
        <v>0</v>
      </c>
      <c r="D1389" s="437" t="s">
        <v>279</v>
      </c>
      <c r="E1389" s="437"/>
      <c r="F1389" s="437"/>
      <c r="G1389" s="196"/>
      <c r="H1389" s="196">
        <f t="shared" ref="H1389:M1389" si="472">(H59+H69)*$C$1389</f>
        <v>0</v>
      </c>
      <c r="I1389" s="196">
        <f t="shared" si="472"/>
        <v>0</v>
      </c>
      <c r="J1389" s="196">
        <f t="shared" si="472"/>
        <v>0</v>
      </c>
      <c r="K1389" s="196">
        <f t="shared" si="472"/>
        <v>0</v>
      </c>
      <c r="L1389" s="196">
        <f t="shared" si="472"/>
        <v>0</v>
      </c>
      <c r="M1389" s="196">
        <f t="shared" si="472"/>
        <v>0</v>
      </c>
      <c r="N1389" s="141"/>
    </row>
    <row r="1390" spans="1:14" outlineLevel="1" x14ac:dyDescent="0.25">
      <c r="A1390" s="276">
        <f>ROW()</f>
        <v>1390</v>
      </c>
      <c r="B1390" s="295" t="s">
        <v>954</v>
      </c>
      <c r="C1390" s="1417">
        <v>0</v>
      </c>
      <c r="D1390" s="437" t="s">
        <v>279</v>
      </c>
      <c r="E1390" s="437"/>
      <c r="F1390" s="437"/>
      <c r="G1390" s="196"/>
      <c r="H1390" s="196">
        <f>(H75)*$C1390</f>
        <v>0</v>
      </c>
      <c r="I1390" s="196">
        <f t="shared" ref="I1390:M1390" si="473">(I75)*$C1390</f>
        <v>0</v>
      </c>
      <c r="J1390" s="196">
        <f t="shared" si="473"/>
        <v>0</v>
      </c>
      <c r="K1390" s="196">
        <f t="shared" si="473"/>
        <v>0</v>
      </c>
      <c r="L1390" s="196">
        <f t="shared" si="473"/>
        <v>0</v>
      </c>
      <c r="M1390" s="196">
        <f t="shared" si="473"/>
        <v>0</v>
      </c>
      <c r="N1390" s="141"/>
    </row>
    <row r="1391" spans="1:14" outlineLevel="1" x14ac:dyDescent="0.25">
      <c r="A1391" s="276">
        <f>ROW()</f>
        <v>1391</v>
      </c>
      <c r="B1391" s="295" t="s">
        <v>22</v>
      </c>
      <c r="C1391" s="949">
        <v>0</v>
      </c>
      <c r="D1391" s="437"/>
      <c r="E1391" s="437"/>
      <c r="F1391" s="437"/>
      <c r="G1391" s="196"/>
      <c r="H1391" s="196"/>
      <c r="I1391" s="196"/>
      <c r="J1391" s="196"/>
      <c r="K1391" s="196"/>
      <c r="L1391" s="196"/>
      <c r="M1391" s="196"/>
      <c r="N1391" s="141"/>
    </row>
    <row r="1392" spans="1:14" outlineLevel="1" x14ac:dyDescent="0.25">
      <c r="A1392" s="276">
        <f>ROW()</f>
        <v>1392</v>
      </c>
      <c r="B1392" s="295" t="s">
        <v>16</v>
      </c>
      <c r="C1392" s="949">
        <v>13</v>
      </c>
      <c r="D1392" s="437" t="s">
        <v>68</v>
      </c>
      <c r="E1392" s="437"/>
      <c r="F1392" s="437"/>
      <c r="G1392" s="196"/>
      <c r="H1392" s="196">
        <f t="shared" ref="H1392:M1392" si="474">$C$1392*H31</f>
        <v>4290</v>
      </c>
      <c r="I1392" s="196">
        <f t="shared" si="474"/>
        <v>7020</v>
      </c>
      <c r="J1392" s="196">
        <f t="shared" si="474"/>
        <v>9880</v>
      </c>
      <c r="K1392" s="196">
        <f t="shared" si="474"/>
        <v>10920</v>
      </c>
      <c r="L1392" s="196">
        <f t="shared" si="474"/>
        <v>11700</v>
      </c>
      <c r="M1392" s="196">
        <f t="shared" si="474"/>
        <v>12480</v>
      </c>
      <c r="N1392" s="141"/>
    </row>
    <row r="1393" spans="1:14" outlineLevel="1" x14ac:dyDescent="0.25">
      <c r="A1393" s="276">
        <f>ROW()</f>
        <v>1393</v>
      </c>
      <c r="B1393" s="295" t="s">
        <v>206</v>
      </c>
      <c r="C1393" s="949">
        <v>42</v>
      </c>
      <c r="D1393" s="437" t="s">
        <v>68</v>
      </c>
      <c r="E1393" s="437"/>
      <c r="F1393" s="437"/>
      <c r="G1393" s="196"/>
      <c r="H1393" s="196">
        <f t="shared" ref="H1393:M1393" si="475">$C$1393*H31</f>
        <v>13860</v>
      </c>
      <c r="I1393" s="196">
        <f t="shared" si="475"/>
        <v>22680</v>
      </c>
      <c r="J1393" s="196">
        <f t="shared" si="475"/>
        <v>31920</v>
      </c>
      <c r="K1393" s="196">
        <f t="shared" si="475"/>
        <v>35280</v>
      </c>
      <c r="L1393" s="196">
        <f t="shared" si="475"/>
        <v>37800</v>
      </c>
      <c r="M1393" s="196">
        <f t="shared" si="475"/>
        <v>40320</v>
      </c>
      <c r="N1393" s="141"/>
    </row>
    <row r="1394" spans="1:14" outlineLevel="1" x14ac:dyDescent="0.25">
      <c r="A1394" s="276">
        <f>ROW()</f>
        <v>1394</v>
      </c>
      <c r="B1394" s="295" t="s">
        <v>205</v>
      </c>
      <c r="C1394" s="949">
        <v>95</v>
      </c>
      <c r="D1394" s="437" t="s">
        <v>68</v>
      </c>
      <c r="E1394" s="437"/>
      <c r="F1394" s="437"/>
      <c r="G1394" s="196"/>
      <c r="H1394" s="196">
        <f t="shared" ref="H1394:M1394" si="476">$C$1394*H31</f>
        <v>31350</v>
      </c>
      <c r="I1394" s="196">
        <f t="shared" si="476"/>
        <v>51300</v>
      </c>
      <c r="J1394" s="196">
        <f t="shared" si="476"/>
        <v>72200</v>
      </c>
      <c r="K1394" s="196">
        <f t="shared" si="476"/>
        <v>79800</v>
      </c>
      <c r="L1394" s="196">
        <f t="shared" si="476"/>
        <v>85500</v>
      </c>
      <c r="M1394" s="196">
        <f t="shared" si="476"/>
        <v>91200</v>
      </c>
      <c r="N1394" s="141"/>
    </row>
    <row r="1395" spans="1:14" outlineLevel="1" x14ac:dyDescent="0.25">
      <c r="A1395" s="276">
        <f>ROW()</f>
        <v>1395</v>
      </c>
      <c r="B1395" s="295" t="s">
        <v>275</v>
      </c>
      <c r="C1395" s="949">
        <v>0</v>
      </c>
      <c r="D1395" s="437" t="s">
        <v>68</v>
      </c>
      <c r="E1395" s="437"/>
      <c r="F1395" s="437"/>
      <c r="G1395" s="196"/>
      <c r="H1395" s="196">
        <f t="shared" ref="H1395:M1395" si="477">$C$1395*H31</f>
        <v>0</v>
      </c>
      <c r="I1395" s="196">
        <f t="shared" si="477"/>
        <v>0</v>
      </c>
      <c r="J1395" s="196">
        <f t="shared" si="477"/>
        <v>0</v>
      </c>
      <c r="K1395" s="196">
        <f t="shared" si="477"/>
        <v>0</v>
      </c>
      <c r="L1395" s="196">
        <f t="shared" si="477"/>
        <v>0</v>
      </c>
      <c r="M1395" s="196">
        <f t="shared" si="477"/>
        <v>0</v>
      </c>
      <c r="N1395" s="141"/>
    </row>
    <row r="1396" spans="1:14" outlineLevel="1" x14ac:dyDescent="0.25">
      <c r="A1396" s="276">
        <f>ROW()</f>
        <v>1396</v>
      </c>
      <c r="B1396" s="295" t="s">
        <v>276</v>
      </c>
      <c r="C1396" s="949">
        <v>27</v>
      </c>
      <c r="D1396" s="437" t="s">
        <v>68</v>
      </c>
      <c r="E1396" s="437"/>
      <c r="F1396" s="437"/>
      <c r="G1396" s="196"/>
      <c r="H1396" s="196">
        <f t="shared" ref="H1396:M1396" si="478">$C$1396*H31</f>
        <v>8910</v>
      </c>
      <c r="I1396" s="196">
        <f t="shared" si="478"/>
        <v>14580</v>
      </c>
      <c r="J1396" s="196">
        <f t="shared" si="478"/>
        <v>20520</v>
      </c>
      <c r="K1396" s="196">
        <f t="shared" si="478"/>
        <v>22680</v>
      </c>
      <c r="L1396" s="196">
        <f t="shared" si="478"/>
        <v>24300</v>
      </c>
      <c r="M1396" s="196">
        <f t="shared" si="478"/>
        <v>25920</v>
      </c>
      <c r="N1396" s="141"/>
    </row>
    <row r="1397" spans="1:14" outlineLevel="1" x14ac:dyDescent="0.25">
      <c r="A1397" s="276">
        <f>ROW()</f>
        <v>1397</v>
      </c>
      <c r="B1397" s="295" t="s">
        <v>277</v>
      </c>
      <c r="C1397" s="949">
        <f>1300+120</f>
        <v>1420</v>
      </c>
      <c r="D1397" s="437" t="s">
        <v>229</v>
      </c>
      <c r="E1397" s="437"/>
      <c r="F1397" s="437"/>
      <c r="G1397" s="196"/>
      <c r="H1397" s="196">
        <f t="shared" ref="H1397:M1397" si="479">$C$1397*H31*H40</f>
        <v>65604</v>
      </c>
      <c r="I1397" s="196">
        <f t="shared" si="479"/>
        <v>107352.00000000001</v>
      </c>
      <c r="J1397" s="196">
        <f t="shared" si="479"/>
        <v>151088</v>
      </c>
      <c r="K1397" s="196">
        <f t="shared" si="479"/>
        <v>166992.00000000003</v>
      </c>
      <c r="L1397" s="196">
        <f t="shared" si="479"/>
        <v>178920.00000000003</v>
      </c>
      <c r="M1397" s="196">
        <f t="shared" si="479"/>
        <v>190848.00000000003</v>
      </c>
      <c r="N1397" s="141"/>
    </row>
    <row r="1398" spans="1:14" outlineLevel="1" x14ac:dyDescent="0.25">
      <c r="A1398" s="276">
        <f>ROW()</f>
        <v>1398</v>
      </c>
      <c r="B1398" s="295" t="s">
        <v>211</v>
      </c>
      <c r="C1398" s="949">
        <v>0</v>
      </c>
      <c r="D1398" s="437" t="s">
        <v>214</v>
      </c>
      <c r="E1398" s="437"/>
      <c r="F1398" s="437"/>
      <c r="G1398" s="196"/>
      <c r="H1398" s="196">
        <f t="shared" ref="H1398:M1398" si="480">$C$1398*(H101+H102)</f>
        <v>0</v>
      </c>
      <c r="I1398" s="196">
        <f t="shared" si="480"/>
        <v>0</v>
      </c>
      <c r="J1398" s="196">
        <f t="shared" si="480"/>
        <v>0</v>
      </c>
      <c r="K1398" s="196">
        <f t="shared" si="480"/>
        <v>0</v>
      </c>
      <c r="L1398" s="196">
        <f t="shared" si="480"/>
        <v>0</v>
      </c>
      <c r="M1398" s="196">
        <f t="shared" si="480"/>
        <v>0</v>
      </c>
      <c r="N1398" s="141"/>
    </row>
    <row r="1399" spans="1:14" outlineLevel="1" x14ac:dyDescent="0.25">
      <c r="A1399" s="276">
        <f>ROW()</f>
        <v>1399</v>
      </c>
      <c r="B1399" s="295" t="s">
        <v>170</v>
      </c>
      <c r="C1399" s="949">
        <f>20000/12</f>
        <v>1666.6666666666667</v>
      </c>
      <c r="D1399" s="437" t="s">
        <v>221</v>
      </c>
      <c r="E1399" s="437"/>
      <c r="F1399" s="437"/>
      <c r="G1399" s="196"/>
      <c r="H1399" s="196">
        <f t="shared" ref="H1399:M1399" si="481">$C$1399*12</f>
        <v>20000</v>
      </c>
      <c r="I1399" s="196">
        <f t="shared" si="481"/>
        <v>20000</v>
      </c>
      <c r="J1399" s="196">
        <f t="shared" si="481"/>
        <v>20000</v>
      </c>
      <c r="K1399" s="196">
        <f t="shared" si="481"/>
        <v>20000</v>
      </c>
      <c r="L1399" s="196">
        <f t="shared" si="481"/>
        <v>20000</v>
      </c>
      <c r="M1399" s="196">
        <f t="shared" si="481"/>
        <v>20000</v>
      </c>
      <c r="N1399" s="141"/>
    </row>
    <row r="1400" spans="1:14" outlineLevel="1" x14ac:dyDescent="0.25">
      <c r="A1400" s="276">
        <f>ROW()</f>
        <v>1400</v>
      </c>
      <c r="B1400" s="295" t="s">
        <v>261</v>
      </c>
      <c r="C1400" s="949">
        <v>0</v>
      </c>
      <c r="D1400" s="437" t="s">
        <v>79</v>
      </c>
      <c r="E1400" s="437"/>
      <c r="F1400" s="437"/>
      <c r="G1400" s="196"/>
      <c r="H1400" s="196">
        <f t="shared" ref="H1400:M1400" si="482">$C$1401*(H31-G31)</f>
        <v>0</v>
      </c>
      <c r="I1400" s="196">
        <f t="shared" si="482"/>
        <v>0</v>
      </c>
      <c r="J1400" s="196">
        <f t="shared" si="482"/>
        <v>0</v>
      </c>
      <c r="K1400" s="196">
        <f t="shared" si="482"/>
        <v>0</v>
      </c>
      <c r="L1400" s="196">
        <f t="shared" si="482"/>
        <v>0</v>
      </c>
      <c r="M1400" s="196">
        <f t="shared" si="482"/>
        <v>0</v>
      </c>
      <c r="N1400" s="141"/>
    </row>
    <row r="1401" spans="1:14" outlineLevel="1" x14ac:dyDescent="0.25">
      <c r="A1401" s="276">
        <f>ROW()</f>
        <v>1401</v>
      </c>
      <c r="B1401" s="295" t="s">
        <v>80</v>
      </c>
      <c r="C1401" s="949">
        <v>0</v>
      </c>
      <c r="D1401" s="437" t="s">
        <v>81</v>
      </c>
      <c r="E1401" s="437"/>
      <c r="F1401" s="437"/>
      <c r="G1401" s="196"/>
      <c r="H1401" s="196">
        <f t="shared" ref="H1401:M1401" si="483">$C$1401*H31</f>
        <v>0</v>
      </c>
      <c r="I1401" s="196">
        <f t="shared" si="483"/>
        <v>0</v>
      </c>
      <c r="J1401" s="196">
        <f t="shared" si="483"/>
        <v>0</v>
      </c>
      <c r="K1401" s="196">
        <f t="shared" si="483"/>
        <v>0</v>
      </c>
      <c r="L1401" s="196">
        <f t="shared" si="483"/>
        <v>0</v>
      </c>
      <c r="M1401" s="196">
        <f t="shared" si="483"/>
        <v>0</v>
      </c>
      <c r="N1401" s="141"/>
    </row>
    <row r="1402" spans="1:14" outlineLevel="1" x14ac:dyDescent="0.25">
      <c r="A1402" s="276">
        <f>ROW()</f>
        <v>1402</v>
      </c>
      <c r="B1402" s="295" t="s">
        <v>189</v>
      </c>
      <c r="C1402" s="949">
        <v>10000</v>
      </c>
      <c r="D1402" s="437" t="s">
        <v>67</v>
      </c>
      <c r="E1402" s="437"/>
      <c r="F1402" s="437"/>
      <c r="G1402" s="196"/>
      <c r="H1402" s="196">
        <f t="shared" ref="H1402:M1402" si="484">$C$1402</f>
        <v>10000</v>
      </c>
      <c r="I1402" s="196">
        <f t="shared" si="484"/>
        <v>10000</v>
      </c>
      <c r="J1402" s="196">
        <f t="shared" si="484"/>
        <v>10000</v>
      </c>
      <c r="K1402" s="196">
        <f t="shared" si="484"/>
        <v>10000</v>
      </c>
      <c r="L1402" s="196">
        <f t="shared" si="484"/>
        <v>10000</v>
      </c>
      <c r="M1402" s="196">
        <f t="shared" si="484"/>
        <v>10000</v>
      </c>
      <c r="N1402" s="141"/>
    </row>
    <row r="1403" spans="1:14" outlineLevel="1" x14ac:dyDescent="0.25">
      <c r="A1403" s="276">
        <f>ROW()</f>
        <v>1403</v>
      </c>
      <c r="B1403" s="295" t="s">
        <v>159</v>
      </c>
      <c r="C1403" s="949">
        <v>3</v>
      </c>
      <c r="D1403" s="437" t="s">
        <v>220</v>
      </c>
      <c r="E1403" s="437"/>
      <c r="F1403" s="437"/>
      <c r="G1403" s="196"/>
      <c r="H1403" s="196">
        <f t="shared" ref="H1403:M1403" si="485">$C$1403*H31</f>
        <v>990</v>
      </c>
      <c r="I1403" s="196">
        <f t="shared" si="485"/>
        <v>1620</v>
      </c>
      <c r="J1403" s="196">
        <f t="shared" si="485"/>
        <v>2280</v>
      </c>
      <c r="K1403" s="196">
        <f t="shared" si="485"/>
        <v>2520</v>
      </c>
      <c r="L1403" s="196">
        <f t="shared" si="485"/>
        <v>2700</v>
      </c>
      <c r="M1403" s="196">
        <f t="shared" si="485"/>
        <v>2880</v>
      </c>
      <c r="N1403" s="141"/>
    </row>
    <row r="1404" spans="1:14" outlineLevel="1" x14ac:dyDescent="0.25">
      <c r="A1404" s="276">
        <f>ROW()</f>
        <v>1404</v>
      </c>
      <c r="B1404" s="295" t="s">
        <v>168</v>
      </c>
      <c r="C1404" s="949">
        <v>5000</v>
      </c>
      <c r="D1404" s="437" t="s">
        <v>67</v>
      </c>
      <c r="E1404" s="437"/>
      <c r="F1404" s="437"/>
      <c r="G1404" s="196"/>
      <c r="H1404" s="196">
        <f t="shared" ref="H1404:M1404" si="486">$C$1404</f>
        <v>5000</v>
      </c>
      <c r="I1404" s="196">
        <f t="shared" si="486"/>
        <v>5000</v>
      </c>
      <c r="J1404" s="196">
        <f t="shared" si="486"/>
        <v>5000</v>
      </c>
      <c r="K1404" s="196">
        <f t="shared" si="486"/>
        <v>5000</v>
      </c>
      <c r="L1404" s="196">
        <f t="shared" si="486"/>
        <v>5000</v>
      </c>
      <c r="M1404" s="196">
        <f t="shared" si="486"/>
        <v>5000</v>
      </c>
      <c r="N1404" s="141"/>
    </row>
    <row r="1405" spans="1:14" outlineLevel="1" x14ac:dyDescent="0.25">
      <c r="A1405" s="276">
        <f>ROW()</f>
        <v>1405</v>
      </c>
      <c r="B1405" s="295" t="s">
        <v>262</v>
      </c>
      <c r="C1405" s="949">
        <v>0</v>
      </c>
      <c r="D1405" s="437" t="s">
        <v>263</v>
      </c>
      <c r="E1405" s="437"/>
      <c r="F1405" s="437"/>
      <c r="G1405" s="196"/>
      <c r="H1405" s="196">
        <f t="shared" ref="H1405:M1405" si="487">$C$1405*H31</f>
        <v>0</v>
      </c>
      <c r="I1405" s="196">
        <f t="shared" si="487"/>
        <v>0</v>
      </c>
      <c r="J1405" s="196">
        <f t="shared" si="487"/>
        <v>0</v>
      </c>
      <c r="K1405" s="196">
        <f t="shared" si="487"/>
        <v>0</v>
      </c>
      <c r="L1405" s="196">
        <f t="shared" si="487"/>
        <v>0</v>
      </c>
      <c r="M1405" s="196">
        <f t="shared" si="487"/>
        <v>0</v>
      </c>
      <c r="N1405" s="141"/>
    </row>
    <row r="1406" spans="1:14" outlineLevel="1" x14ac:dyDescent="0.25">
      <c r="A1406" s="276">
        <f>ROW()</f>
        <v>1406</v>
      </c>
      <c r="B1406" s="295" t="s">
        <v>160</v>
      </c>
      <c r="C1406" s="949">
        <v>2.5</v>
      </c>
      <c r="D1406" s="437" t="s">
        <v>68</v>
      </c>
      <c r="E1406" s="437"/>
      <c r="F1406" s="437"/>
      <c r="G1406" s="196"/>
      <c r="H1406" s="196">
        <f t="shared" ref="H1406:M1406" si="488">$C$1406*H31</f>
        <v>825</v>
      </c>
      <c r="I1406" s="196">
        <f t="shared" si="488"/>
        <v>1350</v>
      </c>
      <c r="J1406" s="196">
        <f t="shared" si="488"/>
        <v>1900</v>
      </c>
      <c r="K1406" s="196">
        <f t="shared" si="488"/>
        <v>2100</v>
      </c>
      <c r="L1406" s="196">
        <f t="shared" si="488"/>
        <v>2250</v>
      </c>
      <c r="M1406" s="196">
        <f t="shared" si="488"/>
        <v>2400</v>
      </c>
      <c r="N1406" s="141"/>
    </row>
    <row r="1407" spans="1:14" outlineLevel="1" x14ac:dyDescent="0.25">
      <c r="A1407" s="276">
        <f>ROW()</f>
        <v>1407</v>
      </c>
      <c r="B1407" s="295" t="s">
        <v>196</v>
      </c>
      <c r="C1407" s="949">
        <v>0</v>
      </c>
      <c r="D1407" s="437" t="s">
        <v>68</v>
      </c>
      <c r="E1407" s="437"/>
      <c r="F1407" s="437"/>
      <c r="G1407" s="196"/>
      <c r="H1407" s="196">
        <f t="shared" ref="H1407:M1407" si="489">$C$1407*H31</f>
        <v>0</v>
      </c>
      <c r="I1407" s="196">
        <f t="shared" si="489"/>
        <v>0</v>
      </c>
      <c r="J1407" s="196">
        <f t="shared" si="489"/>
        <v>0</v>
      </c>
      <c r="K1407" s="196">
        <f t="shared" si="489"/>
        <v>0</v>
      </c>
      <c r="L1407" s="196">
        <f t="shared" si="489"/>
        <v>0</v>
      </c>
      <c r="M1407" s="196">
        <f t="shared" si="489"/>
        <v>0</v>
      </c>
      <c r="N1407" s="141"/>
    </row>
    <row r="1408" spans="1:14" outlineLevel="1" x14ac:dyDescent="0.25">
      <c r="A1408" s="276">
        <f>ROW()</f>
        <v>1408</v>
      </c>
      <c r="B1408" s="295" t="s">
        <v>197</v>
      </c>
      <c r="C1408" s="949">
        <f>165*10</f>
        <v>1650</v>
      </c>
      <c r="D1408" s="437" t="s">
        <v>66</v>
      </c>
      <c r="E1408" s="437"/>
      <c r="F1408" s="437"/>
      <c r="G1408" s="196"/>
      <c r="H1408" s="196">
        <f t="shared" ref="H1408:M1408" si="490">$C$1408*H103</f>
        <v>34650</v>
      </c>
      <c r="I1408" s="196">
        <f t="shared" si="490"/>
        <v>62700</v>
      </c>
      <c r="J1408" s="196">
        <f t="shared" si="490"/>
        <v>84150</v>
      </c>
      <c r="K1408" s="196">
        <f t="shared" si="490"/>
        <v>103950</v>
      </c>
      <c r="L1408" s="196">
        <f t="shared" si="490"/>
        <v>113850</v>
      </c>
      <c r="M1408" s="196">
        <f t="shared" si="490"/>
        <v>122100</v>
      </c>
      <c r="N1408" s="141"/>
    </row>
    <row r="1409" spans="1:14" outlineLevel="1" x14ac:dyDescent="0.25">
      <c r="A1409" s="276">
        <f>ROW()</f>
        <v>1409</v>
      </c>
      <c r="B1409" s="295" t="s">
        <v>274</v>
      </c>
      <c r="C1409" s="949">
        <v>100</v>
      </c>
      <c r="D1409" s="437" t="s">
        <v>66</v>
      </c>
      <c r="E1409" s="437"/>
      <c r="F1409" s="437"/>
      <c r="G1409" s="196"/>
      <c r="H1409" s="196">
        <f t="shared" ref="H1409:M1409" si="491">$C$1409*H103</f>
        <v>2100</v>
      </c>
      <c r="I1409" s="196">
        <f t="shared" si="491"/>
        <v>3800</v>
      </c>
      <c r="J1409" s="196">
        <f t="shared" si="491"/>
        <v>5100</v>
      </c>
      <c r="K1409" s="196">
        <f t="shared" si="491"/>
        <v>6300</v>
      </c>
      <c r="L1409" s="196">
        <f t="shared" si="491"/>
        <v>6900</v>
      </c>
      <c r="M1409" s="196">
        <f t="shared" si="491"/>
        <v>7400</v>
      </c>
      <c r="N1409" s="141"/>
    </row>
    <row r="1410" spans="1:14" outlineLevel="1" x14ac:dyDescent="0.25">
      <c r="A1410" s="276">
        <f>ROW()</f>
        <v>1410</v>
      </c>
      <c r="B1410" s="295" t="s">
        <v>272</v>
      </c>
      <c r="C1410" s="949">
        <v>50</v>
      </c>
      <c r="D1410" s="437" t="s">
        <v>66</v>
      </c>
      <c r="E1410" s="437"/>
      <c r="F1410" s="437"/>
      <c r="G1410" s="196"/>
      <c r="H1410" s="196">
        <f t="shared" ref="H1410:M1410" si="492">$C$1410*H103</f>
        <v>1050</v>
      </c>
      <c r="I1410" s="196">
        <f t="shared" si="492"/>
        <v>1900</v>
      </c>
      <c r="J1410" s="196">
        <f t="shared" si="492"/>
        <v>2550</v>
      </c>
      <c r="K1410" s="196">
        <f t="shared" si="492"/>
        <v>3150</v>
      </c>
      <c r="L1410" s="196">
        <f t="shared" si="492"/>
        <v>3450</v>
      </c>
      <c r="M1410" s="196">
        <f t="shared" si="492"/>
        <v>3700</v>
      </c>
      <c r="N1410" s="141"/>
    </row>
    <row r="1411" spans="1:14" outlineLevel="1" x14ac:dyDescent="0.25">
      <c r="A1411" s="276">
        <f>ROW()</f>
        <v>1411</v>
      </c>
      <c r="B1411" s="295" t="s">
        <v>281</v>
      </c>
      <c r="C1411" s="949">
        <v>70</v>
      </c>
      <c r="D1411" s="437" t="s">
        <v>283</v>
      </c>
      <c r="E1411" s="437"/>
      <c r="F1411" s="437"/>
      <c r="G1411" s="196"/>
      <c r="H1411" s="196">
        <f t="shared" ref="H1411:M1411" si="493">$C$1411*(H103-G103)</f>
        <v>1470</v>
      </c>
      <c r="I1411" s="196">
        <f t="shared" si="493"/>
        <v>1190</v>
      </c>
      <c r="J1411" s="196">
        <f t="shared" si="493"/>
        <v>910</v>
      </c>
      <c r="K1411" s="196">
        <f t="shared" si="493"/>
        <v>840</v>
      </c>
      <c r="L1411" s="196">
        <f t="shared" si="493"/>
        <v>420</v>
      </c>
      <c r="M1411" s="196">
        <f t="shared" si="493"/>
        <v>350</v>
      </c>
      <c r="N1411" s="141"/>
    </row>
    <row r="1412" spans="1:14" outlineLevel="1" x14ac:dyDescent="0.25">
      <c r="A1412" s="276">
        <f>ROW()</f>
        <v>1412</v>
      </c>
      <c r="B1412" s="295" t="s">
        <v>280</v>
      </c>
      <c r="C1412" s="949">
        <f>4000+4000+1000</f>
        <v>9000</v>
      </c>
      <c r="D1412" s="437" t="s">
        <v>67</v>
      </c>
      <c r="E1412" s="437"/>
      <c r="F1412" s="437"/>
      <c r="G1412" s="196"/>
      <c r="H1412" s="196">
        <f t="shared" ref="H1412:M1412" si="494">$C$1412</f>
        <v>9000</v>
      </c>
      <c r="I1412" s="196">
        <f t="shared" si="494"/>
        <v>9000</v>
      </c>
      <c r="J1412" s="196">
        <f t="shared" si="494"/>
        <v>9000</v>
      </c>
      <c r="K1412" s="196">
        <f t="shared" si="494"/>
        <v>9000</v>
      </c>
      <c r="L1412" s="196">
        <f t="shared" si="494"/>
        <v>9000</v>
      </c>
      <c r="M1412" s="196">
        <f t="shared" si="494"/>
        <v>9000</v>
      </c>
      <c r="N1412" s="141"/>
    </row>
    <row r="1413" spans="1:14" outlineLevel="1" x14ac:dyDescent="0.25">
      <c r="A1413" s="276">
        <f>ROW()</f>
        <v>1413</v>
      </c>
      <c r="B1413" s="295" t="s">
        <v>260</v>
      </c>
      <c r="C1413" s="949">
        <v>0</v>
      </c>
      <c r="D1413" s="437" t="s">
        <v>195</v>
      </c>
      <c r="E1413" s="437"/>
      <c r="F1413" s="437"/>
      <c r="G1413" s="196"/>
      <c r="H1413" s="196">
        <f t="shared" ref="H1413:M1413" si="495">$C$1413*H15</f>
        <v>0</v>
      </c>
      <c r="I1413" s="196">
        <f t="shared" si="495"/>
        <v>0</v>
      </c>
      <c r="J1413" s="196">
        <f t="shared" si="495"/>
        <v>0</v>
      </c>
      <c r="K1413" s="196">
        <f t="shared" si="495"/>
        <v>0</v>
      </c>
      <c r="L1413" s="196">
        <f t="shared" si="495"/>
        <v>0</v>
      </c>
      <c r="M1413" s="196">
        <f t="shared" si="495"/>
        <v>0</v>
      </c>
      <c r="N1413" s="141"/>
    </row>
    <row r="1414" spans="1:14" outlineLevel="1" x14ac:dyDescent="0.25">
      <c r="A1414" s="276">
        <f>ROW()</f>
        <v>1414</v>
      </c>
      <c r="B1414" s="295" t="s">
        <v>190</v>
      </c>
      <c r="C1414" s="949">
        <v>0</v>
      </c>
      <c r="D1414" s="437" t="s">
        <v>195</v>
      </c>
      <c r="E1414" s="437"/>
      <c r="F1414" s="437"/>
      <c r="G1414" s="196"/>
      <c r="H1414" s="196">
        <v>0</v>
      </c>
      <c r="I1414" s="196">
        <f>$C$1414*I15</f>
        <v>0</v>
      </c>
      <c r="J1414" s="196">
        <f>$C$1414*J15</f>
        <v>0</v>
      </c>
      <c r="K1414" s="196">
        <f>$C$1414*K15</f>
        <v>0</v>
      </c>
      <c r="L1414" s="196">
        <f>$C$1414*L15</f>
        <v>0</v>
      </c>
      <c r="M1414" s="196">
        <f>$C$1414*M15</f>
        <v>0</v>
      </c>
      <c r="N1414" s="141"/>
    </row>
    <row r="1415" spans="1:14" outlineLevel="1" x14ac:dyDescent="0.25">
      <c r="A1415" s="276">
        <f>ROW()</f>
        <v>1415</v>
      </c>
      <c r="B1415" s="295" t="s">
        <v>62</v>
      </c>
      <c r="C1415" s="949">
        <v>0</v>
      </c>
      <c r="D1415" s="437" t="s">
        <v>67</v>
      </c>
      <c r="E1415" s="437"/>
      <c r="F1415" s="437"/>
      <c r="G1415" s="196"/>
      <c r="H1415" s="196">
        <v>0</v>
      </c>
      <c r="I1415" s="196">
        <f>$C$1415</f>
        <v>0</v>
      </c>
      <c r="J1415" s="196">
        <f>$C$1415</f>
        <v>0</v>
      </c>
      <c r="K1415" s="196">
        <f>$C$1415</f>
        <v>0</v>
      </c>
      <c r="L1415" s="196">
        <f>$C$1415</f>
        <v>0</v>
      </c>
      <c r="M1415" s="196">
        <f>$C$1415</f>
        <v>0</v>
      </c>
      <c r="N1415" s="141"/>
    </row>
    <row r="1416" spans="1:14" outlineLevel="1" x14ac:dyDescent="0.25">
      <c r="A1416" s="276">
        <f>ROW()</f>
        <v>1416</v>
      </c>
      <c r="B1416" s="295" t="s">
        <v>150</v>
      </c>
      <c r="C1416" s="949" t="s">
        <v>49</v>
      </c>
      <c r="D1416" s="437" t="s">
        <v>50</v>
      </c>
      <c r="E1416" s="437"/>
      <c r="F1416" s="437"/>
      <c r="G1416" s="196"/>
      <c r="H1416" s="196">
        <v>0</v>
      </c>
      <c r="I1416" s="196">
        <f>IF($C$1416="yes",$C$108*$C$107*$C$106,0)</f>
        <v>0</v>
      </c>
      <c r="J1416" s="196">
        <f>IF($C$1416="yes",$C$108*$C$107*$C$106,0)</f>
        <v>0</v>
      </c>
      <c r="K1416" s="196">
        <f>IF($C$1416="yes",$C$108*$C$107*$C$106,0)</f>
        <v>0</v>
      </c>
      <c r="L1416" s="196">
        <f>IF($C$1416="yes",$C$108*$C$107*$C$106,0)</f>
        <v>0</v>
      </c>
      <c r="M1416" s="196">
        <f>IF($C$1416="yes",$C$108*$C$107*$C$106,0)</f>
        <v>0</v>
      </c>
      <c r="N1416" s="141"/>
    </row>
    <row r="1417" spans="1:14" s="221" customFormat="1" outlineLevel="1" x14ac:dyDescent="0.25">
      <c r="A1417" s="276">
        <f>ROW()</f>
        <v>1417</v>
      </c>
      <c r="B1417" s="217"/>
      <c r="C1417" s="564"/>
      <c r="D1417" s="438"/>
      <c r="E1417" s="438"/>
      <c r="F1417" s="438"/>
      <c r="G1417" s="1304"/>
      <c r="H1417" s="1304"/>
      <c r="I1417" s="1304"/>
      <c r="J1417" s="1304"/>
      <c r="K1417" s="1304"/>
      <c r="L1417" s="1304"/>
      <c r="M1417" s="1304"/>
      <c r="N1417" s="150"/>
    </row>
    <row r="1418" spans="1:14" outlineLevel="1" x14ac:dyDescent="0.25">
      <c r="A1418" s="276">
        <f>ROW()</f>
        <v>1418</v>
      </c>
      <c r="B1418" s="378" t="s">
        <v>61</v>
      </c>
      <c r="C1418" s="562"/>
      <c r="D1418" s="378"/>
      <c r="E1418" s="378"/>
      <c r="F1418" s="378"/>
      <c r="G1418" s="1305">
        <f>SUM(G1379:G1417)</f>
        <v>0</v>
      </c>
      <c r="H1418" s="1305">
        <f t="shared" ref="H1418:M1418" si="496">SUM(H1379:H1417)</f>
        <v>209099</v>
      </c>
      <c r="I1418" s="1305">
        <f t="shared" si="496"/>
        <v>319492</v>
      </c>
      <c r="J1418" s="1305">
        <f t="shared" si="496"/>
        <v>426498</v>
      </c>
      <c r="K1418" s="1305">
        <f t="shared" si="496"/>
        <v>478532</v>
      </c>
      <c r="L1418" s="1305">
        <f t="shared" si="496"/>
        <v>511790</v>
      </c>
      <c r="M1418" s="1305">
        <f t="shared" si="496"/>
        <v>543598</v>
      </c>
      <c r="N1418" s="141"/>
    </row>
    <row r="1419" spans="1:14" s="380" customFormat="1" outlineLevel="1" x14ac:dyDescent="0.25">
      <c r="A1419" s="276">
        <f>ROW()</f>
        <v>1419</v>
      </c>
      <c r="B1419" s="383" t="s">
        <v>68</v>
      </c>
      <c r="C1419" s="574"/>
      <c r="D1419" s="383"/>
      <c r="E1419" s="383"/>
      <c r="F1419" s="383"/>
      <c r="G1419" s="1306">
        <f>IFERROR(G1418/G31,0)</f>
        <v>0</v>
      </c>
      <c r="H1419" s="1307">
        <f t="shared" ref="H1419:M1419" si="497">H1418/H31</f>
        <v>633.63333333333333</v>
      </c>
      <c r="I1419" s="1307">
        <f t="shared" si="497"/>
        <v>591.6518518518518</v>
      </c>
      <c r="J1419" s="1307">
        <f t="shared" si="497"/>
        <v>561.18157894736839</v>
      </c>
      <c r="K1419" s="1307">
        <f t="shared" si="497"/>
        <v>569.68095238095236</v>
      </c>
      <c r="L1419" s="1307">
        <f t="shared" si="497"/>
        <v>568.65555555555557</v>
      </c>
      <c r="M1419" s="1307">
        <f t="shared" si="497"/>
        <v>566.2479166666667</v>
      </c>
      <c r="N1419" s="309"/>
    </row>
    <row r="1420" spans="1:14" outlineLevel="1" x14ac:dyDescent="0.25">
      <c r="A1420" s="276">
        <f>ROW()</f>
        <v>1420</v>
      </c>
      <c r="B1420" s="223"/>
      <c r="C1420" s="573"/>
      <c r="D1420" s="223"/>
      <c r="E1420" s="223"/>
      <c r="F1420" s="223"/>
      <c r="G1420" s="1308"/>
      <c r="H1420" s="1305"/>
      <c r="I1420" s="1305"/>
      <c r="J1420" s="1305"/>
      <c r="K1420" s="1305"/>
      <c r="L1420" s="1305"/>
      <c r="M1420" s="1305"/>
      <c r="N1420" s="1305"/>
    </row>
    <row r="1421" spans="1:14" outlineLevel="1" x14ac:dyDescent="0.25">
      <c r="A1421" s="276">
        <f>ROW()</f>
        <v>1421</v>
      </c>
      <c r="B1421" s="223" t="s">
        <v>153</v>
      </c>
      <c r="C1421" s="568"/>
      <c r="D1421" s="253"/>
      <c r="E1421" s="253"/>
      <c r="F1421" s="253"/>
      <c r="G1421" s="1305"/>
      <c r="H1421" s="1305"/>
      <c r="I1421" s="1305"/>
      <c r="J1421" s="1305"/>
      <c r="K1421" s="1305"/>
      <c r="L1421" s="1305"/>
      <c r="M1421" s="1305"/>
      <c r="N1421" s="141"/>
    </row>
    <row r="1422" spans="1:14" outlineLevel="1" x14ac:dyDescent="0.25">
      <c r="A1422" s="276">
        <f>ROW()</f>
        <v>1422</v>
      </c>
      <c r="B1422" s="221" t="s">
        <v>154</v>
      </c>
      <c r="C1422" s="569">
        <v>20000</v>
      </c>
      <c r="D1422" s="435"/>
      <c r="E1422" s="435"/>
      <c r="F1422" s="979"/>
      <c r="G1422" s="1309"/>
      <c r="H1422" s="1305">
        <f>$C$1422</f>
        <v>20000</v>
      </c>
      <c r="I1422" s="1305">
        <f>$C$1422</f>
        <v>20000</v>
      </c>
      <c r="J1422" s="1305">
        <f>$C$1422*1.03</f>
        <v>20600</v>
      </c>
      <c r="K1422" s="1305">
        <f>$J$1422*1.03</f>
        <v>21218</v>
      </c>
      <c r="L1422" s="1305">
        <f>$K$1422*1.03</f>
        <v>21854.54</v>
      </c>
      <c r="M1422" s="1305">
        <f>$K$1422*1.03</f>
        <v>21854.54</v>
      </c>
      <c r="N1422" s="141"/>
    </row>
    <row r="1423" spans="1:14" outlineLevel="1" x14ac:dyDescent="0.25">
      <c r="A1423" s="276">
        <f>ROW()</f>
        <v>1423</v>
      </c>
      <c r="B1423" s="221"/>
      <c r="C1423" s="575"/>
      <c r="D1423" s="439"/>
      <c r="E1423" s="439"/>
      <c r="F1423" s="439"/>
      <c r="G1423" s="1309"/>
      <c r="H1423" s="1305"/>
      <c r="I1423" s="1305"/>
      <c r="J1423" s="1305"/>
      <c r="K1423" s="1305"/>
      <c r="L1423" s="1305"/>
      <c r="M1423" s="1305"/>
      <c r="N1423" s="141"/>
    </row>
    <row r="1424" spans="1:14" outlineLevel="1" x14ac:dyDescent="0.25">
      <c r="A1424" s="276">
        <f>ROW()</f>
        <v>1424</v>
      </c>
      <c r="B1424" s="221" t="s">
        <v>155</v>
      </c>
      <c r="C1424" s="569">
        <v>5000</v>
      </c>
      <c r="D1424" s="435"/>
      <c r="E1424" s="435"/>
      <c r="F1424" s="979"/>
      <c r="G1424" s="1309"/>
      <c r="H1424" s="1305">
        <f>$C$1424</f>
        <v>5000</v>
      </c>
      <c r="I1424" s="1305">
        <f>$C$1424</f>
        <v>5000</v>
      </c>
      <c r="J1424" s="1305">
        <f>$I$1424*1.03</f>
        <v>5150</v>
      </c>
      <c r="K1424" s="1305">
        <f>$J$1424*1.03</f>
        <v>5304.5</v>
      </c>
      <c r="L1424" s="1305">
        <f>$K$1424*1.03</f>
        <v>5463.6350000000002</v>
      </c>
      <c r="M1424" s="1305">
        <f>$K$1424*1.03</f>
        <v>5463.6350000000002</v>
      </c>
      <c r="N1424" s="141"/>
    </row>
    <row r="1425" spans="1:18" outlineLevel="1" x14ac:dyDescent="0.25">
      <c r="A1425" s="276">
        <f>ROW()</f>
        <v>1425</v>
      </c>
      <c r="B1425" s="223"/>
      <c r="C1425" s="568"/>
      <c r="D1425" s="253"/>
      <c r="E1425" s="253"/>
      <c r="F1425" s="253"/>
      <c r="G1425" s="1310"/>
      <c r="H1425" s="1310"/>
      <c r="I1425" s="1310"/>
      <c r="J1425" s="1310"/>
      <c r="K1425" s="1310"/>
      <c r="L1425" s="1310"/>
      <c r="M1425" s="1310"/>
      <c r="N1425" s="141"/>
    </row>
    <row r="1426" spans="1:18" outlineLevel="1" x14ac:dyDescent="0.25">
      <c r="A1426" s="276">
        <f>ROW()</f>
        <v>1426</v>
      </c>
      <c r="B1426" s="223" t="s">
        <v>156</v>
      </c>
      <c r="C1426" s="573"/>
      <c r="D1426" s="223"/>
      <c r="E1426" s="223"/>
      <c r="F1426" s="223"/>
      <c r="G1426" s="1305">
        <f t="shared" ref="G1426:M1426" si="498">SUM(G1422:G1424)</f>
        <v>0</v>
      </c>
      <c r="H1426" s="1305">
        <f t="shared" si="498"/>
        <v>25000</v>
      </c>
      <c r="I1426" s="1305">
        <f t="shared" si="498"/>
        <v>25000</v>
      </c>
      <c r="J1426" s="1305">
        <f t="shared" si="498"/>
        <v>25750</v>
      </c>
      <c r="K1426" s="1305">
        <f t="shared" si="498"/>
        <v>26522.5</v>
      </c>
      <c r="L1426" s="1305">
        <f t="shared" si="498"/>
        <v>27318.175000000003</v>
      </c>
      <c r="M1426" s="1305">
        <f t="shared" si="498"/>
        <v>27318.175000000003</v>
      </c>
      <c r="N1426" s="141"/>
    </row>
    <row r="1427" spans="1:18" outlineLevel="1" x14ac:dyDescent="0.25">
      <c r="A1427" s="276">
        <f>ROW()</f>
        <v>1427</v>
      </c>
      <c r="B1427" s="223"/>
      <c r="C1427" s="573"/>
      <c r="D1427" s="223"/>
      <c r="E1427" s="223"/>
      <c r="F1427" s="223"/>
      <c r="G1427" s="150"/>
      <c r="H1427" s="150"/>
      <c r="I1427" s="150"/>
      <c r="J1427" s="1305"/>
      <c r="K1427" s="1305"/>
      <c r="L1427" s="1305"/>
      <c r="M1427" s="1305"/>
      <c r="N1427" s="141"/>
      <c r="O1427" s="255"/>
      <c r="P1427" s="255"/>
      <c r="Q1427" s="255"/>
      <c r="R1427" s="255"/>
    </row>
    <row r="1428" spans="1:18" outlineLevel="1" x14ac:dyDescent="0.25">
      <c r="A1428" s="276">
        <f>ROW()</f>
        <v>1428</v>
      </c>
      <c r="B1428" s="223"/>
      <c r="C1428" s="573"/>
      <c r="D1428" s="223"/>
      <c r="E1428" s="223"/>
      <c r="F1428" s="223"/>
      <c r="G1428" s="150"/>
      <c r="H1428" s="150"/>
      <c r="I1428" s="150"/>
      <c r="J1428" s="1305"/>
      <c r="K1428" s="1305"/>
      <c r="L1428" s="1305"/>
      <c r="M1428" s="1305"/>
      <c r="N1428" s="141"/>
      <c r="O1428" s="255"/>
      <c r="P1428" s="255"/>
      <c r="Q1428" s="255"/>
      <c r="R1428" s="255"/>
    </row>
    <row r="1429" spans="1:18" outlineLevel="3" x14ac:dyDescent="0.25">
      <c r="A1429" s="276">
        <f>ROW()</f>
        <v>1429</v>
      </c>
      <c r="B1429" s="223" t="s">
        <v>37</v>
      </c>
      <c r="C1429" s="573" t="s">
        <v>25</v>
      </c>
      <c r="D1429" s="223"/>
      <c r="E1429" s="223"/>
      <c r="F1429" s="223"/>
      <c r="G1429" s="150"/>
      <c r="H1429" s="150"/>
      <c r="I1429" s="150"/>
      <c r="J1429" s="1305"/>
      <c r="K1429" s="1305"/>
      <c r="L1429" s="1305"/>
      <c r="M1429" s="1305"/>
      <c r="N1429" s="141"/>
      <c r="O1429" s="255"/>
      <c r="P1429" s="255"/>
      <c r="Q1429" s="255"/>
      <c r="R1429" s="255"/>
    </row>
    <row r="1430" spans="1:18" outlineLevel="3" x14ac:dyDescent="0.25">
      <c r="A1430" s="276">
        <f>ROW()</f>
        <v>1430</v>
      </c>
      <c r="B1430" s="217" t="s">
        <v>48</v>
      </c>
      <c r="C1430" s="949" t="s">
        <v>365</v>
      </c>
      <c r="D1430" s="1218">
        <v>0</v>
      </c>
      <c r="E1430" s="418"/>
      <c r="F1430" s="418"/>
      <c r="G1430" s="1305"/>
      <c r="H1430" s="1305">
        <f t="shared" ref="H1430:M1430" si="499">IF($C$1430="yes",H31*$C$105*$D$1430,(H31*H36)*$C$105*$D$1430)</f>
        <v>0</v>
      </c>
      <c r="I1430" s="1305">
        <f t="shared" si="499"/>
        <v>0</v>
      </c>
      <c r="J1430" s="1305">
        <f t="shared" si="499"/>
        <v>0</v>
      </c>
      <c r="K1430" s="1305">
        <f t="shared" si="499"/>
        <v>0</v>
      </c>
      <c r="L1430" s="1305">
        <f t="shared" si="499"/>
        <v>0</v>
      </c>
      <c r="M1430" s="1305">
        <f t="shared" si="499"/>
        <v>0</v>
      </c>
      <c r="N1430" s="141"/>
    </row>
    <row r="1431" spans="1:18" s="442" customFormat="1" outlineLevel="3" x14ac:dyDescent="0.25">
      <c r="A1431" s="276">
        <f>ROW()</f>
        <v>1431</v>
      </c>
      <c r="B1431" s="440" t="s">
        <v>102</v>
      </c>
      <c r="C1431" s="1219" t="s">
        <v>365</v>
      </c>
      <c r="D1431" s="1220">
        <v>2.5</v>
      </c>
      <c r="E1431" s="441"/>
      <c r="F1431" s="441"/>
      <c r="G1431" s="1311"/>
      <c r="H1431" s="1305">
        <f t="shared" ref="H1431:M1431" si="500">IF($C$1431="yes",H31*$C$105*$D$1431,(H31*H36)*$C$105*$D$1431)</f>
        <v>148500</v>
      </c>
      <c r="I1431" s="1305">
        <f t="shared" si="500"/>
        <v>243000</v>
      </c>
      <c r="J1431" s="1305">
        <f t="shared" si="500"/>
        <v>342000</v>
      </c>
      <c r="K1431" s="1305">
        <f t="shared" si="500"/>
        <v>378000</v>
      </c>
      <c r="L1431" s="1305">
        <f t="shared" si="500"/>
        <v>405000</v>
      </c>
      <c r="M1431" s="1305">
        <f t="shared" si="500"/>
        <v>432000</v>
      </c>
      <c r="N1431" s="161"/>
    </row>
    <row r="1432" spans="1:18" outlineLevel="3" x14ac:dyDescent="0.25">
      <c r="A1432" s="276">
        <f>ROW()</f>
        <v>1432</v>
      </c>
      <c r="B1432" s="221" t="s">
        <v>47</v>
      </c>
      <c r="C1432" s="949" t="s">
        <v>49</v>
      </c>
      <c r="D1432" s="1218"/>
      <c r="E1432" s="418"/>
      <c r="F1432" s="418"/>
      <c r="G1432" s="1305"/>
      <c r="H1432" s="1305">
        <f t="shared" ref="H1432:M1432" si="501">IF($C$1432="yes",$D$1432*H31*$C$105,0)</f>
        <v>0</v>
      </c>
      <c r="I1432" s="1305">
        <f t="shared" si="501"/>
        <v>0</v>
      </c>
      <c r="J1432" s="1305">
        <f t="shared" si="501"/>
        <v>0</v>
      </c>
      <c r="K1432" s="1305">
        <f t="shared" si="501"/>
        <v>0</v>
      </c>
      <c r="L1432" s="1305">
        <f t="shared" si="501"/>
        <v>0</v>
      </c>
      <c r="M1432" s="1305">
        <f t="shared" si="501"/>
        <v>0</v>
      </c>
      <c r="N1432" s="141"/>
    </row>
    <row r="1433" spans="1:18" outlineLevel="3" x14ac:dyDescent="0.25">
      <c r="A1433" s="276">
        <f>ROW()</f>
        <v>1433</v>
      </c>
      <c r="B1433" s="282" t="s">
        <v>215</v>
      </c>
      <c r="C1433" s="949" t="s">
        <v>49</v>
      </c>
      <c r="D1433" s="1218">
        <v>0</v>
      </c>
      <c r="E1433" s="418"/>
      <c r="F1433" s="418"/>
      <c r="G1433" s="1309"/>
      <c r="H1433" s="1309">
        <f t="shared" ref="H1433:M1433" si="502">IF($C$1433="yes",$D$1433*$C$106*H31,0)</f>
        <v>0</v>
      </c>
      <c r="I1433" s="1309">
        <f t="shared" si="502"/>
        <v>0</v>
      </c>
      <c r="J1433" s="1309">
        <f t="shared" si="502"/>
        <v>0</v>
      </c>
      <c r="K1433" s="1309">
        <f t="shared" si="502"/>
        <v>0</v>
      </c>
      <c r="L1433" s="1309">
        <f t="shared" si="502"/>
        <v>0</v>
      </c>
      <c r="M1433" s="1309">
        <f t="shared" si="502"/>
        <v>0</v>
      </c>
      <c r="N1433" s="141"/>
    </row>
    <row r="1434" spans="1:18" outlineLevel="3" x14ac:dyDescent="0.25">
      <c r="A1434" s="276">
        <f>ROW()</f>
        <v>1434</v>
      </c>
      <c r="B1434" s="385"/>
      <c r="C1434" s="565"/>
      <c r="D1434" s="385"/>
      <c r="E1434" s="385"/>
      <c r="F1434" s="385"/>
      <c r="G1434" s="1310"/>
      <c r="H1434" s="1310"/>
      <c r="I1434" s="1310"/>
      <c r="J1434" s="1310"/>
      <c r="K1434" s="1310"/>
      <c r="L1434" s="1310"/>
      <c r="M1434" s="1310"/>
      <c r="N1434" s="141"/>
    </row>
    <row r="1435" spans="1:18" outlineLevel="3" x14ac:dyDescent="0.25">
      <c r="A1435" s="276">
        <f>ROW()</f>
        <v>1435</v>
      </c>
      <c r="B1435" s="378" t="s">
        <v>90</v>
      </c>
      <c r="C1435" s="562"/>
      <c r="D1435" s="378"/>
      <c r="E1435" s="378"/>
      <c r="F1435" s="378"/>
      <c r="G1435" s="1309">
        <f t="shared" ref="G1435:M1435" si="503">SUM(G1430:G1433)</f>
        <v>0</v>
      </c>
      <c r="H1435" s="1309">
        <f t="shared" si="503"/>
        <v>148500</v>
      </c>
      <c r="I1435" s="1309">
        <f t="shared" si="503"/>
        <v>243000</v>
      </c>
      <c r="J1435" s="1309">
        <f t="shared" si="503"/>
        <v>342000</v>
      </c>
      <c r="K1435" s="1309">
        <f t="shared" si="503"/>
        <v>378000</v>
      </c>
      <c r="L1435" s="1309">
        <f t="shared" si="503"/>
        <v>405000</v>
      </c>
      <c r="M1435" s="1309">
        <f t="shared" si="503"/>
        <v>432000</v>
      </c>
      <c r="N1435" s="141"/>
    </row>
    <row r="1436" spans="1:18" ht="15.75" thickBot="1" x14ac:dyDescent="0.3">
      <c r="A1436" s="276">
        <f>ROW()</f>
        <v>1436</v>
      </c>
      <c r="C1436" s="568"/>
      <c r="G1436" s="1305"/>
      <c r="H1436" s="1305"/>
      <c r="I1436" s="1305"/>
      <c r="J1436" s="1305"/>
      <c r="K1436" s="1305"/>
      <c r="L1436" s="1305"/>
      <c r="M1436" s="1305"/>
      <c r="N1436" s="141"/>
    </row>
    <row r="1437" spans="1:18" ht="15.75" thickBot="1" x14ac:dyDescent="0.3">
      <c r="A1437" s="276">
        <f>ROW()</f>
        <v>1437</v>
      </c>
      <c r="B1437" s="766" t="s">
        <v>226</v>
      </c>
      <c r="C1437" s="767">
        <f>SUM(G1437:M1437)</f>
        <v>4594417.8499999996</v>
      </c>
      <c r="D1437" s="768"/>
      <c r="E1437" s="768"/>
      <c r="F1437" s="768"/>
      <c r="G1437" s="1312">
        <f>G1435+G1426+G1418</f>
        <v>0</v>
      </c>
      <c r="H1437" s="1312">
        <f t="shared" ref="H1437:M1437" si="504">H1435+H1426+H1418</f>
        <v>382599</v>
      </c>
      <c r="I1437" s="1312">
        <f t="shared" si="504"/>
        <v>587492</v>
      </c>
      <c r="J1437" s="1312">
        <f t="shared" si="504"/>
        <v>794248</v>
      </c>
      <c r="K1437" s="1312">
        <f t="shared" si="504"/>
        <v>883054.5</v>
      </c>
      <c r="L1437" s="1312">
        <f t="shared" si="504"/>
        <v>944108.17500000005</v>
      </c>
      <c r="M1437" s="1312">
        <f t="shared" si="504"/>
        <v>1002916.175</v>
      </c>
      <c r="N1437" s="141"/>
    </row>
    <row r="1438" spans="1:18" x14ac:dyDescent="0.25">
      <c r="A1438" s="276">
        <f>ROW()</f>
        <v>1438</v>
      </c>
      <c r="B1438" s="378"/>
      <c r="C1438" s="562"/>
      <c r="D1438" s="378"/>
      <c r="E1438" s="378"/>
      <c r="F1438" s="378"/>
      <c r="G1438" s="1313"/>
      <c r="H1438" s="1313"/>
      <c r="I1438" s="1313"/>
      <c r="J1438" s="1313"/>
      <c r="K1438" s="1313"/>
      <c r="L1438" s="1313"/>
      <c r="M1438" s="1313"/>
      <c r="N1438" s="141"/>
    </row>
    <row r="1439" spans="1:18" x14ac:dyDescent="0.25">
      <c r="A1439" s="276">
        <f>ROW()</f>
        <v>1439</v>
      </c>
      <c r="B1439" s="223"/>
      <c r="C1439" s="573"/>
      <c r="D1439" s="223"/>
      <c r="E1439" s="223"/>
      <c r="F1439" s="223"/>
      <c r="G1439" s="135" t="str">
        <f t="shared" ref="G1439:M1441" si="505">G9</f>
        <v>SY 0/Incubation</v>
      </c>
      <c r="H1439" s="135" t="str">
        <f t="shared" si="505"/>
        <v>SY 1</v>
      </c>
      <c r="I1439" s="135" t="str">
        <f t="shared" si="505"/>
        <v>SY 2</v>
      </c>
      <c r="J1439" s="135" t="str">
        <f t="shared" si="505"/>
        <v>SY 3</v>
      </c>
      <c r="K1439" s="135" t="str">
        <f t="shared" si="505"/>
        <v>SY 4</v>
      </c>
      <c r="L1439" s="135" t="str">
        <f t="shared" si="505"/>
        <v>SY 5</v>
      </c>
      <c r="M1439" s="135" t="str">
        <f t="shared" si="505"/>
        <v>SY 6</v>
      </c>
      <c r="N1439" s="141"/>
    </row>
    <row r="1440" spans="1:18" x14ac:dyDescent="0.25">
      <c r="A1440" s="276">
        <f>ROW()</f>
        <v>1440</v>
      </c>
      <c r="C1440" s="573"/>
      <c r="D1440" s="223"/>
      <c r="E1440" s="223"/>
      <c r="F1440" s="223"/>
      <c r="G1440" s="1314">
        <f t="shared" si="505"/>
        <v>2019</v>
      </c>
      <c r="H1440" s="1315">
        <f t="shared" si="505"/>
        <v>2020</v>
      </c>
      <c r="I1440" s="1315">
        <f t="shared" si="505"/>
        <v>2021</v>
      </c>
      <c r="J1440" s="1315">
        <f t="shared" si="505"/>
        <v>2022</v>
      </c>
      <c r="K1440" s="1315">
        <f t="shared" si="505"/>
        <v>2023</v>
      </c>
      <c r="L1440" s="1315">
        <f t="shared" si="505"/>
        <v>2024</v>
      </c>
      <c r="M1440" s="1316">
        <f t="shared" si="505"/>
        <v>2025</v>
      </c>
      <c r="N1440" s="141"/>
    </row>
    <row r="1441" spans="1:18" x14ac:dyDescent="0.25">
      <c r="A1441" s="276">
        <f>ROW()</f>
        <v>1441</v>
      </c>
      <c r="B1441" s="223"/>
      <c r="C1441" s="573"/>
      <c r="D1441" s="223"/>
      <c r="E1441" s="223"/>
      <c r="F1441" s="223"/>
      <c r="G1441" s="138">
        <f t="shared" si="505"/>
        <v>2020</v>
      </c>
      <c r="H1441" s="139">
        <f t="shared" si="505"/>
        <v>2021</v>
      </c>
      <c r="I1441" s="139">
        <f t="shared" si="505"/>
        <v>2022</v>
      </c>
      <c r="J1441" s="139">
        <f t="shared" si="505"/>
        <v>2023</v>
      </c>
      <c r="K1441" s="139">
        <f t="shared" si="505"/>
        <v>2024</v>
      </c>
      <c r="L1441" s="139">
        <f t="shared" si="505"/>
        <v>2025</v>
      </c>
      <c r="M1441" s="140">
        <f t="shared" si="505"/>
        <v>2026</v>
      </c>
      <c r="N1441" s="141"/>
    </row>
    <row r="1442" spans="1:18" x14ac:dyDescent="0.25">
      <c r="A1442" s="276">
        <f>ROW()</f>
        <v>1442</v>
      </c>
      <c r="B1442" s="223" t="s">
        <v>201</v>
      </c>
      <c r="C1442" s="573"/>
      <c r="D1442" s="223"/>
      <c r="E1442" s="223"/>
      <c r="F1442" s="223"/>
      <c r="G1442" s="141"/>
      <c r="H1442" s="150"/>
      <c r="I1442" s="150"/>
      <c r="J1442" s="150"/>
      <c r="K1442" s="135"/>
      <c r="L1442" s="135"/>
      <c r="M1442" s="135"/>
      <c r="N1442" s="135"/>
      <c r="O1442" s="201"/>
      <c r="P1442" s="201"/>
      <c r="Q1442" s="201"/>
      <c r="R1442" s="201"/>
    </row>
    <row r="1443" spans="1:18" outlineLevel="2" x14ac:dyDescent="0.25">
      <c r="A1443" s="276">
        <f>ROW()</f>
        <v>1443</v>
      </c>
      <c r="B1443" s="443" t="s">
        <v>210</v>
      </c>
      <c r="C1443" s="576"/>
      <c r="D1443" s="400"/>
      <c r="E1443" s="400"/>
      <c r="F1443" s="400"/>
      <c r="G1443" s="1406">
        <v>0</v>
      </c>
      <c r="H1443" s="187"/>
      <c r="I1443" s="187"/>
      <c r="J1443" s="187"/>
      <c r="K1443" s="187"/>
      <c r="L1443" s="187"/>
      <c r="M1443" s="187"/>
      <c r="N1443" s="187"/>
      <c r="O1443" s="400"/>
      <c r="P1443" s="400"/>
      <c r="Q1443" s="400"/>
      <c r="R1443" s="400"/>
    </row>
    <row r="1444" spans="1:18" outlineLevel="2" x14ac:dyDescent="0.25">
      <c r="A1444" s="276">
        <f>ROW()</f>
        <v>1444</v>
      </c>
      <c r="B1444" s="403" t="s">
        <v>108</v>
      </c>
      <c r="C1444" s="577"/>
      <c r="D1444" s="285"/>
      <c r="E1444" s="285"/>
      <c r="F1444" s="285"/>
      <c r="G1444" s="1407">
        <v>0</v>
      </c>
      <c r="H1444" s="159"/>
      <c r="I1444" s="159"/>
      <c r="J1444" s="159"/>
      <c r="K1444" s="159"/>
      <c r="L1444" s="159"/>
      <c r="M1444" s="159"/>
      <c r="N1444" s="159"/>
      <c r="O1444" s="285"/>
      <c r="P1444" s="285"/>
      <c r="Q1444" s="285"/>
      <c r="R1444" s="285"/>
    </row>
    <row r="1445" spans="1:18" outlineLevel="2" x14ac:dyDescent="0.25">
      <c r="A1445" s="276">
        <f>ROW()</f>
        <v>1445</v>
      </c>
      <c r="B1445" s="403" t="s">
        <v>230</v>
      </c>
      <c r="C1445" s="577"/>
      <c r="D1445" s="285"/>
      <c r="E1445" s="285"/>
      <c r="F1445" s="285"/>
      <c r="G1445" s="1408"/>
      <c r="H1445" s="1317"/>
      <c r="I1445" s="1317"/>
      <c r="J1445" s="1317"/>
      <c r="K1445" s="159"/>
      <c r="L1445" s="159"/>
      <c r="M1445" s="159"/>
      <c r="N1445" s="159"/>
      <c r="O1445" s="285"/>
      <c r="P1445" s="285"/>
      <c r="Q1445" s="285"/>
      <c r="R1445" s="285"/>
    </row>
    <row r="1446" spans="1:18" outlineLevel="2" x14ac:dyDescent="0.25">
      <c r="A1446" s="276">
        <f>ROW()</f>
        <v>1446</v>
      </c>
      <c r="B1446" s="403" t="s">
        <v>105</v>
      </c>
      <c r="C1446" s="577"/>
      <c r="D1446" s="285"/>
      <c r="E1446" s="285"/>
      <c r="F1446" s="285"/>
      <c r="G1446" s="1407"/>
      <c r="H1446" s="1318"/>
      <c r="I1446" s="1318"/>
      <c r="J1446" s="1318"/>
      <c r="K1446" s="159"/>
      <c r="L1446" s="159"/>
      <c r="M1446" s="159"/>
      <c r="N1446" s="159"/>
      <c r="O1446" s="285"/>
      <c r="P1446" s="285"/>
      <c r="Q1446" s="285"/>
      <c r="R1446" s="285"/>
    </row>
    <row r="1447" spans="1:18" outlineLevel="2" x14ac:dyDescent="0.25">
      <c r="A1447" s="276">
        <f>ROW()</f>
        <v>1447</v>
      </c>
      <c r="B1447" s="403" t="s">
        <v>51</v>
      </c>
      <c r="C1447" s="577"/>
      <c r="D1447" s="285"/>
      <c r="E1447" s="285"/>
      <c r="F1447" s="285"/>
      <c r="G1447" s="1319">
        <f>G1446*C105</f>
        <v>0</v>
      </c>
      <c r="H1447" s="1318"/>
      <c r="I1447" s="1318"/>
      <c r="J1447" s="1318"/>
      <c r="K1447" s="159"/>
      <c r="L1447" s="159"/>
      <c r="M1447" s="159"/>
      <c r="N1447" s="159"/>
      <c r="O1447" s="285"/>
      <c r="P1447" s="285"/>
      <c r="Q1447" s="285"/>
      <c r="R1447" s="285"/>
    </row>
    <row r="1448" spans="1:18" outlineLevel="2" x14ac:dyDescent="0.25">
      <c r="A1448" s="276">
        <f>ROW()</f>
        <v>1448</v>
      </c>
      <c r="B1448" s="403" t="s">
        <v>52</v>
      </c>
      <c r="C1448" s="577"/>
      <c r="D1448" s="285"/>
      <c r="E1448" s="285"/>
      <c r="F1448" s="285"/>
      <c r="G1448" s="1409">
        <v>0</v>
      </c>
      <c r="H1448" s="159"/>
      <c r="I1448" s="159"/>
      <c r="J1448" s="159"/>
      <c r="K1448" s="159"/>
      <c r="L1448" s="159"/>
      <c r="M1448" s="159"/>
      <c r="N1448" s="159"/>
      <c r="O1448" s="285"/>
      <c r="P1448" s="285"/>
      <c r="Q1448" s="285"/>
      <c r="R1448" s="285"/>
    </row>
    <row r="1449" spans="1:18" outlineLevel="2" x14ac:dyDescent="0.25">
      <c r="A1449" s="276">
        <f>ROW()</f>
        <v>1449</v>
      </c>
      <c r="B1449" s="403" t="s">
        <v>202</v>
      </c>
      <c r="C1449" s="577"/>
      <c r="D1449" s="285"/>
      <c r="E1449" s="285"/>
      <c r="F1449" s="285"/>
      <c r="G1449" s="1320">
        <f>IF(G1447&lt;&gt;0,G1447/G1448,0)</f>
        <v>0</v>
      </c>
      <c r="H1449" s="159"/>
      <c r="I1449" s="159"/>
      <c r="J1449" s="159"/>
      <c r="K1449" s="159"/>
      <c r="L1449" s="159"/>
      <c r="M1449" s="159"/>
      <c r="N1449" s="159"/>
      <c r="O1449" s="285"/>
      <c r="P1449" s="285"/>
      <c r="Q1449" s="285"/>
      <c r="R1449" s="285"/>
    </row>
    <row r="1450" spans="1:18" outlineLevel="2" x14ac:dyDescent="0.25">
      <c r="A1450" s="276">
        <f>ROW()</f>
        <v>1450</v>
      </c>
      <c r="B1450" s="403" t="s">
        <v>144</v>
      </c>
      <c r="C1450" s="577"/>
      <c r="D1450" s="285"/>
      <c r="E1450" s="285"/>
      <c r="F1450" s="285"/>
      <c r="G1450" s="1410">
        <v>0</v>
      </c>
      <c r="H1450" s="159"/>
      <c r="I1450" s="159"/>
      <c r="J1450" s="159"/>
      <c r="K1450" s="159"/>
      <c r="L1450" s="159"/>
      <c r="M1450" s="159"/>
      <c r="N1450" s="159"/>
      <c r="O1450" s="285"/>
      <c r="P1450" s="285"/>
      <c r="Q1450" s="285"/>
      <c r="R1450" s="285"/>
    </row>
    <row r="1451" spans="1:18" outlineLevel="2" x14ac:dyDescent="0.25">
      <c r="A1451" s="276">
        <f>ROW()</f>
        <v>1451</v>
      </c>
      <c r="B1451" s="403" t="s">
        <v>145</v>
      </c>
      <c r="C1451" s="577"/>
      <c r="D1451" s="285"/>
      <c r="E1451" s="285"/>
      <c r="F1451" s="285"/>
      <c r="G1451" s="1321">
        <f>G1449*G1450</f>
        <v>0</v>
      </c>
      <c r="H1451" s="159"/>
      <c r="I1451" s="159"/>
      <c r="J1451" s="159"/>
      <c r="K1451" s="159"/>
      <c r="L1451" s="159"/>
      <c r="M1451" s="159"/>
      <c r="N1451" s="159"/>
      <c r="O1451" s="285"/>
      <c r="P1451" s="285"/>
      <c r="Q1451" s="285"/>
      <c r="R1451" s="285"/>
    </row>
    <row r="1452" spans="1:18" outlineLevel="2" x14ac:dyDescent="0.25">
      <c r="A1452" s="276">
        <f>ROW()</f>
        <v>1452</v>
      </c>
      <c r="B1452" s="403" t="s">
        <v>106</v>
      </c>
      <c r="C1452" s="577"/>
      <c r="D1452" s="285"/>
      <c r="E1452" s="285"/>
      <c r="F1452" s="285"/>
      <c r="G1452" s="1410">
        <v>0</v>
      </c>
      <c r="H1452" s="159" t="s">
        <v>148</v>
      </c>
      <c r="I1452" s="159"/>
      <c r="J1452" s="159"/>
      <c r="K1452" s="159"/>
      <c r="L1452" s="159"/>
      <c r="M1452" s="159"/>
      <c r="N1452" s="159"/>
      <c r="O1452" s="285"/>
      <c r="P1452" s="285"/>
      <c r="Q1452" s="285"/>
      <c r="R1452" s="285"/>
    </row>
    <row r="1453" spans="1:18" outlineLevel="2" x14ac:dyDescent="0.25">
      <c r="A1453" s="276">
        <f>ROW()</f>
        <v>1453</v>
      </c>
      <c r="B1453" s="403" t="s">
        <v>147</v>
      </c>
      <c r="C1453" s="577"/>
      <c r="D1453" s="285"/>
      <c r="E1453" s="285"/>
      <c r="F1453" s="285"/>
      <c r="G1453" s="1322">
        <f>G1452*G1447</f>
        <v>0</v>
      </c>
      <c r="H1453" s="159"/>
      <c r="I1453" s="159"/>
      <c r="J1453" s="159"/>
      <c r="K1453" s="159"/>
      <c r="L1453" s="159"/>
      <c r="M1453" s="159"/>
      <c r="N1453" s="159"/>
      <c r="O1453" s="285"/>
      <c r="P1453" s="285"/>
      <c r="Q1453" s="285"/>
      <c r="R1453" s="285"/>
    </row>
    <row r="1454" spans="1:18" outlineLevel="2" x14ac:dyDescent="0.25">
      <c r="A1454" s="276">
        <f>ROW()</f>
        <v>1454</v>
      </c>
      <c r="B1454" s="403" t="s">
        <v>217</v>
      </c>
      <c r="C1454" s="577"/>
      <c r="D1454" s="285"/>
      <c r="E1454" s="285"/>
      <c r="F1454" s="285"/>
      <c r="G1454" s="1408">
        <v>0</v>
      </c>
      <c r="H1454" s="159" t="s">
        <v>107</v>
      </c>
      <c r="I1454" s="159"/>
      <c r="J1454" s="159"/>
      <c r="K1454" s="159"/>
      <c r="L1454" s="159"/>
      <c r="M1454" s="159"/>
      <c r="N1454" s="159"/>
      <c r="O1454" s="285"/>
      <c r="P1454" s="285"/>
      <c r="Q1454" s="285"/>
      <c r="R1454" s="285"/>
    </row>
    <row r="1455" spans="1:18" outlineLevel="2" x14ac:dyDescent="0.25">
      <c r="A1455" s="276">
        <f>ROW()</f>
        <v>1455</v>
      </c>
      <c r="B1455" s="407"/>
      <c r="C1455" s="578"/>
      <c r="D1455" s="408"/>
      <c r="E1455" s="408"/>
      <c r="F1455" s="408"/>
      <c r="G1455" s="192"/>
      <c r="H1455" s="192"/>
      <c r="I1455" s="192"/>
      <c r="J1455" s="192"/>
      <c r="K1455" s="192"/>
      <c r="L1455" s="192"/>
      <c r="M1455" s="192"/>
      <c r="N1455" s="192"/>
      <c r="O1455" s="408"/>
      <c r="P1455" s="408"/>
      <c r="Q1455" s="408"/>
      <c r="R1455" s="408"/>
    </row>
    <row r="1456" spans="1:18" outlineLevel="2" x14ac:dyDescent="0.25">
      <c r="A1456" s="276">
        <f>ROW()</f>
        <v>1456</v>
      </c>
      <c r="C1456" s="568"/>
      <c r="G1456" s="141"/>
      <c r="H1456" s="150"/>
      <c r="I1456" s="150"/>
      <c r="J1456" s="150"/>
      <c r="K1456" s="141"/>
      <c r="L1456" s="141"/>
      <c r="M1456" s="141"/>
      <c r="N1456" s="141"/>
    </row>
    <row r="1457" spans="1:18" outlineLevel="2" x14ac:dyDescent="0.25">
      <c r="A1457" s="276">
        <f>ROW()</f>
        <v>1457</v>
      </c>
      <c r="B1457" s="217" t="s">
        <v>151</v>
      </c>
      <c r="C1457" s="568"/>
      <c r="G1457" s="160"/>
      <c r="H1457" s="160">
        <f t="shared" ref="H1457:M1457" si="506">$G$1443*H31</f>
        <v>0</v>
      </c>
      <c r="I1457" s="160">
        <f t="shared" si="506"/>
        <v>0</v>
      </c>
      <c r="J1457" s="160">
        <f t="shared" si="506"/>
        <v>0</v>
      </c>
      <c r="K1457" s="160">
        <f t="shared" si="506"/>
        <v>0</v>
      </c>
      <c r="L1457" s="160">
        <f t="shared" si="506"/>
        <v>0</v>
      </c>
      <c r="M1457" s="160">
        <f t="shared" si="506"/>
        <v>0</v>
      </c>
      <c r="N1457" s="141"/>
    </row>
    <row r="1458" spans="1:18" outlineLevel="2" x14ac:dyDescent="0.25">
      <c r="A1458" s="276">
        <f>ROW()</f>
        <v>1458</v>
      </c>
      <c r="B1458" s="275" t="s">
        <v>188</v>
      </c>
      <c r="C1458" s="579"/>
      <c r="D1458" s="275"/>
      <c r="E1458" s="275"/>
      <c r="F1458" s="275"/>
      <c r="G1458" s="1323"/>
      <c r="H1458" s="1323">
        <f>IF(H1457=0,0,IF(H1457&gt;($G$1444*5),6,IF(H1457&gt;($G$1444*4),5,IF(H1457&gt;($G$1444*3),4,IF(H1457&gt;($G$1444*2),3,IF(H1457&gt;$G$1444,2,IF(H1457&gt;0,1)))))))</f>
        <v>0</v>
      </c>
      <c r="I1458" s="1323">
        <v>1</v>
      </c>
      <c r="J1458" s="1323">
        <f>IF(J1457=0,0,IF(J1457&gt;($G$1444*5),6,IF(J1457&gt;($G$1444*4),5,IF(J1457&gt;($G$1444*3),4,IF(J1457&gt;($G$1444*2),3,IF(J1457&gt;$G$1444,2,IF(J1457&gt;0,1)))))))</f>
        <v>0</v>
      </c>
      <c r="K1458" s="1323">
        <f>IF(K1457=0,0,IF(K1457&gt;($G$1444*5),6,IF(K1457&gt;($G$1444*4),5,IF(K1457&gt;($G$1444*3),4,IF(K1457&gt;($G$1444*2),3,IF(K1457&gt;$G$1444,2,IF(K1457&gt;0,1)))))))</f>
        <v>0</v>
      </c>
      <c r="L1458" s="1323">
        <f>IF(L1457=0,0,IF(L1457&gt;($G$1444*5),6,IF(L1457&gt;($G$1444*4),5,IF(L1457&gt;($G$1444*3),4,IF(L1457&gt;($G$1444*2),3,IF(L1457&gt;$G$1444,2,IF(L1457&gt;0,1)))))))</f>
        <v>0</v>
      </c>
      <c r="M1458" s="1323">
        <f>IF(M1457=0,0,IF(M1457&gt;($G$1444*5),6,IF(M1457&gt;($G$1444*4),5,IF(M1457&gt;($G$1444*3),4,IF(M1457&gt;($G$1444*2),3,IF(M1457&gt;$G$1444,2,IF(M1457&gt;0,1)))))))</f>
        <v>0</v>
      </c>
      <c r="N1458" s="141"/>
    </row>
    <row r="1459" spans="1:18" outlineLevel="2" x14ac:dyDescent="0.25">
      <c r="A1459" s="276">
        <f>ROW()</f>
        <v>1459</v>
      </c>
      <c r="B1459" s="217" t="s">
        <v>103</v>
      </c>
      <c r="C1459" s="568"/>
      <c r="G1459" s="1309"/>
      <c r="H1459" s="1309">
        <f>H1458*$G$1445</f>
        <v>0</v>
      </c>
      <c r="I1459" s="1309">
        <f>(I1458-H1458)*$G$1445</f>
        <v>0</v>
      </c>
      <c r="J1459" s="1309">
        <f>(J1458-I1458)*$G$1445</f>
        <v>0</v>
      </c>
      <c r="K1459" s="1309">
        <f>(K1458-J1458)*$G$1445</f>
        <v>0</v>
      </c>
      <c r="L1459" s="1309">
        <f>(L1458-K1458)*$G$1445</f>
        <v>0</v>
      </c>
      <c r="M1459" s="1309">
        <f>(M1458-L1458)*$G$1445</f>
        <v>0</v>
      </c>
      <c r="N1459" s="141"/>
    </row>
    <row r="1460" spans="1:18" outlineLevel="2" x14ac:dyDescent="0.25">
      <c r="A1460" s="276">
        <f>ROW()</f>
        <v>1460</v>
      </c>
      <c r="B1460" s="217" t="s">
        <v>149</v>
      </c>
      <c r="C1460" s="568"/>
      <c r="G1460" s="183"/>
      <c r="H1460" s="183">
        <f t="shared" ref="H1460:M1460" si="507">H1458*$G$1451</f>
        <v>0</v>
      </c>
      <c r="I1460" s="183">
        <f t="shared" si="507"/>
        <v>0</v>
      </c>
      <c r="J1460" s="183">
        <f t="shared" si="507"/>
        <v>0</v>
      </c>
      <c r="K1460" s="183">
        <f t="shared" si="507"/>
        <v>0</v>
      </c>
      <c r="L1460" s="183">
        <f t="shared" si="507"/>
        <v>0</v>
      </c>
      <c r="M1460" s="183">
        <f t="shared" si="507"/>
        <v>0</v>
      </c>
      <c r="N1460" s="141"/>
    </row>
    <row r="1461" spans="1:18" outlineLevel="2" x14ac:dyDescent="0.25">
      <c r="A1461" s="276">
        <f>ROW()</f>
        <v>1461</v>
      </c>
      <c r="B1461" s="217" t="s">
        <v>104</v>
      </c>
      <c r="C1461" s="568"/>
      <c r="G1461" s="1324"/>
      <c r="H1461" s="1324">
        <f t="shared" ref="H1461:M1461" si="508">H1458*$G$1453</f>
        <v>0</v>
      </c>
      <c r="I1461" s="1324">
        <f t="shared" si="508"/>
        <v>0</v>
      </c>
      <c r="J1461" s="1324">
        <f t="shared" si="508"/>
        <v>0</v>
      </c>
      <c r="K1461" s="1324">
        <f t="shared" si="508"/>
        <v>0</v>
      </c>
      <c r="L1461" s="1324">
        <f t="shared" si="508"/>
        <v>0</v>
      </c>
      <c r="M1461" s="1324">
        <f t="shared" si="508"/>
        <v>0</v>
      </c>
      <c r="N1461" s="141"/>
    </row>
    <row r="1462" spans="1:18" outlineLevel="2" x14ac:dyDescent="0.25">
      <c r="A1462" s="276">
        <f>ROW()</f>
        <v>1462</v>
      </c>
      <c r="B1462" s="217" t="s">
        <v>218</v>
      </c>
      <c r="C1462" s="568"/>
      <c r="G1462" s="1324"/>
      <c r="H1462" s="1325">
        <f t="shared" ref="H1462:M1462" si="509">H1458*$G$1454</f>
        <v>0</v>
      </c>
      <c r="I1462" s="1325">
        <f t="shared" si="509"/>
        <v>0</v>
      </c>
      <c r="J1462" s="1325">
        <f t="shared" si="509"/>
        <v>0</v>
      </c>
      <c r="K1462" s="1325">
        <f t="shared" si="509"/>
        <v>0</v>
      </c>
      <c r="L1462" s="1325">
        <f t="shared" si="509"/>
        <v>0</v>
      </c>
      <c r="M1462" s="1325">
        <f t="shared" si="509"/>
        <v>0</v>
      </c>
      <c r="N1462" s="141"/>
    </row>
    <row r="1463" spans="1:18" ht="15.75" thickBot="1" x14ac:dyDescent="0.3">
      <c r="A1463" s="276">
        <f>ROW()</f>
        <v>1463</v>
      </c>
      <c r="C1463" s="568"/>
      <c r="G1463" s="1325"/>
      <c r="H1463" s="1325"/>
      <c r="I1463" s="1325"/>
      <c r="J1463" s="1325"/>
      <c r="K1463" s="1325"/>
      <c r="L1463" s="1325"/>
      <c r="M1463" s="1325"/>
      <c r="N1463" s="141"/>
    </row>
    <row r="1464" spans="1:18" ht="15.75" thickBot="1" x14ac:dyDescent="0.3">
      <c r="A1464" s="276">
        <f>ROW()</f>
        <v>1464</v>
      </c>
      <c r="B1464" s="766" t="s">
        <v>223</v>
      </c>
      <c r="C1464" s="767">
        <f>SUM(G1464:M1464)</f>
        <v>0</v>
      </c>
      <c r="D1464" s="768"/>
      <c r="E1464" s="768"/>
      <c r="F1464" s="768"/>
      <c r="G1464" s="1312">
        <f t="shared" ref="G1464:M1464" si="510">SUM(G1459:G1462)</f>
        <v>0</v>
      </c>
      <c r="H1464" s="1312">
        <f t="shared" si="510"/>
        <v>0</v>
      </c>
      <c r="I1464" s="1312">
        <f t="shared" si="510"/>
        <v>0</v>
      </c>
      <c r="J1464" s="1312">
        <f t="shared" si="510"/>
        <v>0</v>
      </c>
      <c r="K1464" s="1312">
        <f t="shared" si="510"/>
        <v>0</v>
      </c>
      <c r="L1464" s="1312">
        <f t="shared" si="510"/>
        <v>0</v>
      </c>
      <c r="M1464" s="1312">
        <f t="shared" si="510"/>
        <v>0</v>
      </c>
      <c r="N1464" s="141"/>
    </row>
    <row r="1465" spans="1:18" x14ac:dyDescent="0.25">
      <c r="A1465" s="276">
        <f>ROW()</f>
        <v>1465</v>
      </c>
      <c r="B1465" s="380" t="s">
        <v>68</v>
      </c>
      <c r="C1465" s="567"/>
      <c r="D1465" s="380"/>
      <c r="E1465" s="380"/>
      <c r="F1465" s="380"/>
      <c r="G1465" s="1326"/>
      <c r="H1465" s="1327" t="str">
        <f t="shared" ref="H1465:M1465" si="511">IFERROR(H1464/H1457,"NA")</f>
        <v>NA</v>
      </c>
      <c r="I1465" s="1327" t="str">
        <f t="shared" si="511"/>
        <v>NA</v>
      </c>
      <c r="J1465" s="1327" t="str">
        <f t="shared" si="511"/>
        <v>NA</v>
      </c>
      <c r="K1465" s="1327" t="str">
        <f t="shared" si="511"/>
        <v>NA</v>
      </c>
      <c r="L1465" s="1327" t="str">
        <f t="shared" si="511"/>
        <v>NA</v>
      </c>
      <c r="M1465" s="1327" t="str">
        <f t="shared" si="511"/>
        <v>NA</v>
      </c>
      <c r="N1465" s="141"/>
    </row>
    <row r="1466" spans="1:18" x14ac:dyDescent="0.25">
      <c r="A1466" s="276">
        <f>ROW()</f>
        <v>1466</v>
      </c>
      <c r="C1466" s="568"/>
      <c r="G1466" s="141"/>
      <c r="H1466" s="150"/>
      <c r="I1466" s="150"/>
      <c r="J1466" s="150"/>
      <c r="K1466" s="141"/>
      <c r="L1466" s="141"/>
      <c r="M1466" s="141"/>
      <c r="N1466" s="141"/>
    </row>
    <row r="1467" spans="1:18" hidden="1" x14ac:dyDescent="0.25">
      <c r="A1467" s="276">
        <f>ROW()</f>
        <v>1467</v>
      </c>
      <c r="C1467" s="568"/>
      <c r="G1467" s="141"/>
      <c r="H1467" s="150"/>
      <c r="I1467" s="150"/>
      <c r="J1467" s="150"/>
      <c r="K1467" s="141"/>
      <c r="L1467" s="141"/>
      <c r="M1467" s="141"/>
      <c r="N1467" s="141"/>
    </row>
    <row r="1468" spans="1:18" hidden="1" x14ac:dyDescent="0.25">
      <c r="A1468" s="276">
        <f>ROW()</f>
        <v>1468</v>
      </c>
      <c r="C1468" s="568"/>
      <c r="G1468" s="141"/>
      <c r="H1468" s="150"/>
      <c r="I1468" s="150"/>
      <c r="J1468" s="150"/>
      <c r="K1468" s="141"/>
      <c r="L1468" s="141"/>
      <c r="M1468" s="141"/>
      <c r="N1468" s="141"/>
    </row>
    <row r="1469" spans="1:18" outlineLevel="1" x14ac:dyDescent="0.25">
      <c r="A1469" s="276">
        <f>ROW()</f>
        <v>1469</v>
      </c>
      <c r="C1469" s="568"/>
      <c r="G1469" s="141"/>
      <c r="H1469" s="150"/>
      <c r="I1469" s="150"/>
      <c r="J1469" s="150"/>
      <c r="K1469" s="141"/>
      <c r="L1469" s="141"/>
      <c r="M1469" s="141"/>
      <c r="N1469" s="141"/>
    </row>
    <row r="1470" spans="1:18" outlineLevel="1" x14ac:dyDescent="0.25">
      <c r="A1470" s="276">
        <f>ROW()</f>
        <v>1470</v>
      </c>
      <c r="B1470" s="365" t="s">
        <v>115</v>
      </c>
      <c r="C1470" s="580"/>
      <c r="D1470" s="445"/>
      <c r="E1470" s="445"/>
      <c r="F1470" s="445"/>
      <c r="G1470" s="187"/>
      <c r="H1470" s="187"/>
      <c r="I1470" s="187"/>
      <c r="J1470" s="187"/>
      <c r="K1470" s="187"/>
      <c r="L1470" s="187"/>
      <c r="M1470" s="187"/>
      <c r="N1470" s="187"/>
      <c r="O1470" s="400"/>
      <c r="P1470" s="400"/>
      <c r="Q1470" s="400"/>
      <c r="R1470" s="400"/>
    </row>
    <row r="1471" spans="1:18" outlineLevel="1" x14ac:dyDescent="0.25">
      <c r="A1471" s="276">
        <f>ROW()</f>
        <v>1471</v>
      </c>
      <c r="B1471" s="403" t="s">
        <v>116</v>
      </c>
      <c r="C1471" s="1216">
        <v>1000</v>
      </c>
      <c r="D1471" s="1199"/>
      <c r="E1471" s="1199"/>
      <c r="F1471" s="1199"/>
      <c r="G1471" s="159"/>
      <c r="H1471" s="159"/>
      <c r="I1471" s="159"/>
      <c r="J1471" s="159"/>
      <c r="K1471" s="159"/>
      <c r="L1471" s="159"/>
      <c r="M1471" s="159"/>
      <c r="N1471" s="159"/>
      <c r="O1471" s="285"/>
      <c r="P1471" s="285"/>
      <c r="Q1471" s="285"/>
      <c r="R1471" s="285"/>
    </row>
    <row r="1472" spans="1:18" outlineLevel="1" x14ac:dyDescent="0.25">
      <c r="A1472" s="276">
        <f>ROW()</f>
        <v>1472</v>
      </c>
      <c r="B1472" s="403" t="s">
        <v>117</v>
      </c>
      <c r="C1472" s="1216">
        <v>500</v>
      </c>
      <c r="D1472" s="1199"/>
      <c r="E1472" s="1199"/>
      <c r="F1472" s="1199"/>
      <c r="G1472" s="1317"/>
      <c r="H1472" s="159"/>
      <c r="I1472" s="159"/>
      <c r="J1472" s="159"/>
      <c r="K1472" s="159"/>
      <c r="L1472" s="159"/>
      <c r="M1472" s="159"/>
      <c r="N1472" s="159"/>
      <c r="O1472" s="285"/>
      <c r="P1472" s="285"/>
      <c r="Q1472" s="285"/>
      <c r="R1472" s="285"/>
    </row>
    <row r="1473" spans="1:18" outlineLevel="1" x14ac:dyDescent="0.25">
      <c r="A1473" s="276">
        <f>ROW()</f>
        <v>1473</v>
      </c>
      <c r="B1473" s="403" t="s">
        <v>118</v>
      </c>
      <c r="C1473" s="1209"/>
      <c r="D1473" s="1200"/>
      <c r="E1473" s="1200"/>
      <c r="F1473" s="1200"/>
      <c r="G1473" s="1318"/>
      <c r="H1473" s="159"/>
      <c r="I1473" s="159"/>
      <c r="J1473" s="159"/>
      <c r="K1473" s="159"/>
      <c r="L1473" s="159"/>
      <c r="M1473" s="159"/>
      <c r="N1473" s="159"/>
      <c r="O1473" s="285"/>
      <c r="P1473" s="285"/>
      <c r="Q1473" s="285"/>
      <c r="R1473" s="285"/>
    </row>
    <row r="1474" spans="1:18" outlineLevel="1" x14ac:dyDescent="0.25">
      <c r="A1474" s="276">
        <f>ROW()</f>
        <v>1474</v>
      </c>
      <c r="B1474" s="403" t="s">
        <v>119</v>
      </c>
      <c r="C1474" s="1216">
        <v>300</v>
      </c>
      <c r="D1474" s="1199"/>
      <c r="E1474" s="1199"/>
      <c r="F1474" s="1199"/>
      <c r="G1474" s="1328" t="s">
        <v>120</v>
      </c>
      <c r="H1474" s="159"/>
      <c r="I1474" s="159"/>
      <c r="J1474" s="159"/>
      <c r="K1474" s="159"/>
      <c r="L1474" s="159"/>
      <c r="M1474" s="159"/>
      <c r="N1474" s="159"/>
      <c r="O1474" s="285"/>
      <c r="P1474" s="285"/>
      <c r="Q1474" s="285"/>
      <c r="R1474" s="285"/>
    </row>
    <row r="1475" spans="1:18" outlineLevel="1" x14ac:dyDescent="0.25">
      <c r="A1475" s="276">
        <f>ROW()</f>
        <v>1475</v>
      </c>
      <c r="B1475" s="403" t="s">
        <v>121</v>
      </c>
      <c r="C1475" s="1216">
        <v>100</v>
      </c>
      <c r="D1475" s="1199"/>
      <c r="E1475" s="1199"/>
      <c r="F1475" s="1199"/>
      <c r="G1475" s="1187"/>
      <c r="H1475" s="159"/>
      <c r="I1475" s="159"/>
      <c r="J1475" s="159"/>
      <c r="K1475" s="159"/>
      <c r="L1475" s="159"/>
      <c r="M1475" s="159"/>
      <c r="N1475" s="159"/>
      <c r="O1475" s="285"/>
      <c r="P1475" s="285"/>
      <c r="Q1475" s="285"/>
      <c r="R1475" s="285"/>
    </row>
    <row r="1476" spans="1:18" outlineLevel="1" x14ac:dyDescent="0.25">
      <c r="A1476" s="276">
        <f>ROW()</f>
        <v>1476</v>
      </c>
      <c r="B1476" s="403" t="s">
        <v>122</v>
      </c>
      <c r="C1476" s="1216">
        <v>400</v>
      </c>
      <c r="D1476" s="1199"/>
      <c r="E1476" s="1199"/>
      <c r="F1476" s="1199"/>
      <c r="G1476" s="1187" t="s">
        <v>171</v>
      </c>
      <c r="H1476" s="159"/>
      <c r="I1476" s="159"/>
      <c r="J1476" s="159"/>
      <c r="K1476" s="159"/>
      <c r="L1476" s="159"/>
      <c r="M1476" s="159"/>
      <c r="N1476" s="159"/>
      <c r="O1476" s="285"/>
      <c r="P1476" s="285"/>
      <c r="Q1476" s="285"/>
      <c r="R1476" s="285"/>
    </row>
    <row r="1477" spans="1:18" outlineLevel="1" x14ac:dyDescent="0.25">
      <c r="A1477" s="276">
        <f>ROW()</f>
        <v>1477</v>
      </c>
      <c r="B1477" s="403" t="s">
        <v>128</v>
      </c>
      <c r="C1477" s="1216">
        <v>1200</v>
      </c>
      <c r="D1477" s="1199"/>
      <c r="E1477" s="1199"/>
      <c r="F1477" s="1199"/>
      <c r="G1477" s="1187" t="s">
        <v>112</v>
      </c>
      <c r="H1477" s="159"/>
      <c r="I1477" s="159"/>
      <c r="J1477" s="159"/>
      <c r="K1477" s="159"/>
      <c r="L1477" s="159"/>
      <c r="M1477" s="159"/>
      <c r="N1477" s="159"/>
      <c r="O1477" s="285"/>
      <c r="P1477" s="285"/>
      <c r="Q1477" s="285"/>
      <c r="R1477" s="285"/>
    </row>
    <row r="1478" spans="1:18" outlineLevel="1" x14ac:dyDescent="0.25">
      <c r="A1478" s="276">
        <f>ROW()</f>
        <v>1478</v>
      </c>
      <c r="B1478" s="403" t="s">
        <v>113</v>
      </c>
      <c r="C1478" s="1216">
        <v>800</v>
      </c>
      <c r="D1478" s="1199"/>
      <c r="E1478" s="1199"/>
      <c r="F1478" s="1199"/>
      <c r="G1478" s="1187" t="s">
        <v>127</v>
      </c>
      <c r="H1478" s="159"/>
      <c r="I1478" s="159"/>
      <c r="J1478" s="159"/>
      <c r="K1478" s="159"/>
      <c r="L1478" s="159"/>
      <c r="M1478" s="159"/>
      <c r="N1478" s="159"/>
      <c r="O1478" s="285"/>
      <c r="P1478" s="285"/>
      <c r="Q1478" s="285"/>
      <c r="R1478" s="285"/>
    </row>
    <row r="1479" spans="1:18" outlineLevel="1" x14ac:dyDescent="0.25">
      <c r="A1479" s="276">
        <f>ROW()</f>
        <v>1479</v>
      </c>
      <c r="B1479" s="371" t="s">
        <v>53</v>
      </c>
      <c r="C1479" s="1217">
        <f>SUM(C1471:C1478)</f>
        <v>4300</v>
      </c>
      <c r="D1479" s="1201"/>
      <c r="E1479" s="1201"/>
      <c r="F1479" s="1201"/>
      <c r="G1479" s="1187"/>
      <c r="H1479" s="159"/>
      <c r="I1479" s="159"/>
      <c r="J1479" s="159"/>
      <c r="K1479" s="159"/>
      <c r="L1479" s="159"/>
      <c r="M1479" s="159"/>
      <c r="N1479" s="159"/>
      <c r="O1479" s="285"/>
      <c r="P1479" s="285"/>
      <c r="Q1479" s="285"/>
      <c r="R1479" s="285"/>
    </row>
    <row r="1480" spans="1:18" outlineLevel="1" x14ac:dyDescent="0.25">
      <c r="A1480" s="276">
        <f>ROW()</f>
        <v>1480</v>
      </c>
      <c r="B1480" s="407"/>
      <c r="C1480" s="1210"/>
      <c r="D1480" s="1202"/>
      <c r="E1480" s="1202"/>
      <c r="F1480" s="1202"/>
      <c r="G1480" s="1329"/>
      <c r="H1480" s="192"/>
      <c r="I1480" s="192"/>
      <c r="J1480" s="192"/>
      <c r="K1480" s="192"/>
      <c r="L1480" s="192"/>
      <c r="M1480" s="192"/>
      <c r="N1480" s="192"/>
      <c r="O1480" s="408"/>
      <c r="P1480" s="408"/>
      <c r="Q1480" s="408"/>
      <c r="R1480" s="408"/>
    </row>
    <row r="1481" spans="1:18" outlineLevel="1" x14ac:dyDescent="0.25">
      <c r="A1481" s="276">
        <f>ROW()</f>
        <v>1481</v>
      </c>
      <c r="B1481" s="365" t="s">
        <v>114</v>
      </c>
      <c r="C1481" s="1211"/>
      <c r="D1481" s="1203"/>
      <c r="E1481" s="1203"/>
      <c r="F1481" s="1203"/>
      <c r="G1481" s="187"/>
      <c r="H1481" s="187"/>
      <c r="I1481" s="187"/>
      <c r="J1481" s="187"/>
      <c r="K1481" s="187"/>
      <c r="L1481" s="187"/>
      <c r="M1481" s="187"/>
      <c r="N1481" s="187"/>
      <c r="O1481" s="400"/>
      <c r="P1481" s="400"/>
      <c r="Q1481" s="400"/>
      <c r="R1481" s="400"/>
    </row>
    <row r="1482" spans="1:18" outlineLevel="1" x14ac:dyDescent="0.25">
      <c r="A1482" s="276">
        <f>ROW()</f>
        <v>1482</v>
      </c>
      <c r="B1482" s="403" t="s">
        <v>116</v>
      </c>
      <c r="C1482" s="1216">
        <v>1000</v>
      </c>
      <c r="D1482" s="1199"/>
      <c r="E1482" s="1199"/>
      <c r="F1482" s="1199"/>
      <c r="G1482" s="159"/>
      <c r="H1482" s="159"/>
      <c r="I1482" s="159"/>
      <c r="J1482" s="159"/>
      <c r="K1482" s="159"/>
      <c r="L1482" s="159"/>
      <c r="M1482" s="159"/>
      <c r="N1482" s="159"/>
      <c r="O1482" s="285"/>
      <c r="P1482" s="285"/>
      <c r="Q1482" s="285"/>
      <c r="R1482" s="285"/>
    </row>
    <row r="1483" spans="1:18" outlineLevel="1" x14ac:dyDescent="0.25">
      <c r="A1483" s="276">
        <f>ROW()</f>
        <v>1483</v>
      </c>
      <c r="B1483" s="403" t="s">
        <v>117</v>
      </c>
      <c r="C1483" s="1216">
        <v>500</v>
      </c>
      <c r="D1483" s="1199"/>
      <c r="E1483" s="1199"/>
      <c r="F1483" s="1199"/>
      <c r="G1483" s="1317"/>
      <c r="H1483" s="159"/>
      <c r="I1483" s="159"/>
      <c r="J1483" s="159"/>
      <c r="K1483" s="159"/>
      <c r="L1483" s="159"/>
      <c r="M1483" s="159"/>
      <c r="N1483" s="159"/>
      <c r="O1483" s="285"/>
      <c r="P1483" s="285"/>
      <c r="Q1483" s="285"/>
      <c r="R1483" s="285"/>
    </row>
    <row r="1484" spans="1:18" outlineLevel="1" x14ac:dyDescent="0.25">
      <c r="A1484" s="276">
        <f>ROW()</f>
        <v>1484</v>
      </c>
      <c r="B1484" s="403" t="s">
        <v>118</v>
      </c>
      <c r="C1484" s="1209"/>
      <c r="D1484" s="1200"/>
      <c r="E1484" s="1200"/>
      <c r="F1484" s="1200"/>
      <c r="G1484" s="1318"/>
      <c r="H1484" s="159"/>
      <c r="I1484" s="159"/>
      <c r="J1484" s="159"/>
      <c r="K1484" s="159"/>
      <c r="L1484" s="159"/>
      <c r="M1484" s="159"/>
      <c r="N1484" s="159"/>
      <c r="O1484" s="285"/>
      <c r="P1484" s="285"/>
      <c r="Q1484" s="285"/>
      <c r="R1484" s="285"/>
    </row>
    <row r="1485" spans="1:18" outlineLevel="1" x14ac:dyDescent="0.25">
      <c r="A1485" s="276">
        <f>ROW()</f>
        <v>1485</v>
      </c>
      <c r="B1485" s="403" t="s">
        <v>119</v>
      </c>
      <c r="C1485" s="1216">
        <v>500</v>
      </c>
      <c r="D1485" s="1199"/>
      <c r="E1485" s="1199"/>
      <c r="F1485" s="1199"/>
      <c r="G1485" s="1328" t="s">
        <v>120</v>
      </c>
      <c r="H1485" s="159"/>
      <c r="I1485" s="159"/>
      <c r="J1485" s="159"/>
      <c r="K1485" s="159"/>
      <c r="L1485" s="159"/>
      <c r="M1485" s="159"/>
      <c r="N1485" s="159"/>
      <c r="O1485" s="285"/>
      <c r="P1485" s="285"/>
      <c r="Q1485" s="285"/>
      <c r="R1485" s="285"/>
    </row>
    <row r="1486" spans="1:18" outlineLevel="1" x14ac:dyDescent="0.25">
      <c r="A1486" s="276">
        <f>ROW()</f>
        <v>1486</v>
      </c>
      <c r="B1486" s="403" t="s">
        <v>110</v>
      </c>
      <c r="C1486" s="1216">
        <v>100</v>
      </c>
      <c r="D1486" s="1199"/>
      <c r="E1486" s="1199"/>
      <c r="F1486" s="1199"/>
      <c r="G1486" s="1187"/>
      <c r="H1486" s="159"/>
      <c r="I1486" s="159"/>
      <c r="J1486" s="159"/>
      <c r="K1486" s="159"/>
      <c r="L1486" s="159"/>
      <c r="M1486" s="159"/>
      <c r="N1486" s="159"/>
      <c r="O1486" s="285"/>
      <c r="P1486" s="285"/>
      <c r="Q1486" s="285"/>
      <c r="R1486" s="285"/>
    </row>
    <row r="1487" spans="1:18" outlineLevel="1" x14ac:dyDescent="0.25">
      <c r="A1487" s="276">
        <f>ROW()</f>
        <v>1487</v>
      </c>
      <c r="B1487" s="403" t="s">
        <v>54</v>
      </c>
      <c r="C1487" s="1216">
        <v>200</v>
      </c>
      <c r="D1487" s="1199"/>
      <c r="E1487" s="1199"/>
      <c r="F1487" s="1199"/>
      <c r="G1487" s="1187" t="s">
        <v>171</v>
      </c>
      <c r="H1487" s="159"/>
      <c r="I1487" s="159"/>
      <c r="J1487" s="159"/>
      <c r="K1487" s="159"/>
      <c r="L1487" s="159"/>
      <c r="M1487" s="159"/>
      <c r="N1487" s="159"/>
      <c r="O1487" s="285"/>
      <c r="P1487" s="285"/>
      <c r="Q1487" s="285"/>
      <c r="R1487" s="285"/>
    </row>
    <row r="1488" spans="1:18" outlineLevel="1" x14ac:dyDescent="0.25">
      <c r="A1488" s="276">
        <f>ROW()</f>
        <v>1488</v>
      </c>
      <c r="B1488" s="403" t="s">
        <v>128</v>
      </c>
      <c r="C1488" s="1216">
        <v>1800</v>
      </c>
      <c r="D1488" s="1199"/>
      <c r="E1488" s="1199"/>
      <c r="F1488" s="1199"/>
      <c r="G1488" s="1187" t="s">
        <v>112</v>
      </c>
      <c r="H1488" s="159"/>
      <c r="I1488" s="159"/>
      <c r="J1488" s="159"/>
      <c r="K1488" s="159"/>
      <c r="L1488" s="159"/>
      <c r="M1488" s="159"/>
      <c r="N1488" s="159"/>
      <c r="O1488" s="285"/>
      <c r="P1488" s="285"/>
      <c r="Q1488" s="285"/>
      <c r="R1488" s="285"/>
    </row>
    <row r="1489" spans="1:18" outlineLevel="1" x14ac:dyDescent="0.25">
      <c r="A1489" s="276">
        <f>ROW()</f>
        <v>1489</v>
      </c>
      <c r="B1489" s="403" t="s">
        <v>113</v>
      </c>
      <c r="C1489" s="1216">
        <v>1200</v>
      </c>
      <c r="D1489" s="1199"/>
      <c r="E1489" s="1199"/>
      <c r="F1489" s="1199"/>
      <c r="G1489" s="1187" t="s">
        <v>127</v>
      </c>
      <c r="H1489" s="159"/>
      <c r="I1489" s="159"/>
      <c r="J1489" s="159"/>
      <c r="K1489" s="159"/>
      <c r="L1489" s="159"/>
      <c r="M1489" s="159"/>
      <c r="N1489" s="159"/>
      <c r="O1489" s="285"/>
      <c r="P1489" s="285"/>
      <c r="Q1489" s="285"/>
      <c r="R1489" s="285"/>
    </row>
    <row r="1490" spans="1:18" outlineLevel="1" x14ac:dyDescent="0.25">
      <c r="A1490" s="276">
        <f>ROW()</f>
        <v>1490</v>
      </c>
      <c r="B1490" s="403" t="s">
        <v>55</v>
      </c>
      <c r="C1490" s="1216">
        <v>0</v>
      </c>
      <c r="D1490" s="1199"/>
      <c r="E1490" s="1199"/>
      <c r="F1490" s="1199"/>
      <c r="G1490" s="1187" t="s">
        <v>56</v>
      </c>
      <c r="H1490" s="159"/>
      <c r="I1490" s="159"/>
      <c r="J1490" s="159"/>
      <c r="K1490" s="159"/>
      <c r="L1490" s="159"/>
      <c r="M1490" s="159"/>
      <c r="N1490" s="159"/>
      <c r="O1490" s="285"/>
      <c r="P1490" s="285"/>
      <c r="Q1490" s="285"/>
      <c r="R1490" s="285"/>
    </row>
    <row r="1491" spans="1:18" outlineLevel="1" x14ac:dyDescent="0.25">
      <c r="A1491" s="276">
        <f>ROW()</f>
        <v>1491</v>
      </c>
      <c r="B1491" s="371" t="s">
        <v>53</v>
      </c>
      <c r="C1491" s="1217">
        <f>SUM(C1482:C1490)</f>
        <v>5300</v>
      </c>
      <c r="D1491" s="1201"/>
      <c r="E1491" s="1201"/>
      <c r="F1491" s="1201"/>
      <c r="G1491" s="1187"/>
      <c r="H1491" s="159"/>
      <c r="I1491" s="159"/>
      <c r="J1491" s="159"/>
      <c r="K1491" s="159"/>
      <c r="L1491" s="159"/>
      <c r="M1491" s="159"/>
      <c r="N1491" s="159"/>
      <c r="O1491" s="285"/>
      <c r="P1491" s="285"/>
      <c r="Q1491" s="285"/>
      <c r="R1491" s="285"/>
    </row>
    <row r="1492" spans="1:18" outlineLevel="1" x14ac:dyDescent="0.25">
      <c r="A1492" s="276">
        <f>ROW()</f>
        <v>1492</v>
      </c>
      <c r="B1492" s="407"/>
      <c r="C1492" s="1210"/>
      <c r="D1492" s="1204"/>
      <c r="E1492" s="1204"/>
      <c r="F1492" s="1204"/>
      <c r="G1492" s="192"/>
      <c r="H1492" s="192"/>
      <c r="I1492" s="192"/>
      <c r="J1492" s="192"/>
      <c r="K1492" s="192"/>
      <c r="L1492" s="192"/>
      <c r="M1492" s="192"/>
      <c r="N1492" s="192"/>
      <c r="O1492" s="408"/>
      <c r="P1492" s="408"/>
      <c r="Q1492" s="408"/>
      <c r="R1492" s="408"/>
    </row>
    <row r="1493" spans="1:18" outlineLevel="1" x14ac:dyDescent="0.25">
      <c r="A1493" s="276">
        <f>ROW()</f>
        <v>1493</v>
      </c>
      <c r="B1493" s="371" t="s">
        <v>3</v>
      </c>
      <c r="C1493" s="1212"/>
      <c r="D1493" s="1205"/>
      <c r="E1493" s="1205"/>
      <c r="F1493" s="1205"/>
      <c r="G1493" s="159"/>
      <c r="H1493" s="159"/>
      <c r="I1493" s="159"/>
      <c r="J1493" s="159"/>
      <c r="K1493" s="159"/>
      <c r="L1493" s="159"/>
      <c r="M1493" s="159"/>
      <c r="N1493" s="159"/>
      <c r="O1493" s="285"/>
      <c r="P1493" s="285"/>
      <c r="Q1493" s="285"/>
      <c r="R1493" s="285"/>
    </row>
    <row r="1494" spans="1:18" outlineLevel="1" x14ac:dyDescent="0.25">
      <c r="A1494" s="276">
        <f>ROW()</f>
        <v>1494</v>
      </c>
      <c r="B1494" s="403" t="s">
        <v>116</v>
      </c>
      <c r="C1494" s="1216">
        <v>1000</v>
      </c>
      <c r="D1494" s="1199"/>
      <c r="E1494" s="1199"/>
      <c r="F1494" s="1199"/>
      <c r="G1494" s="159"/>
      <c r="H1494" s="159"/>
      <c r="I1494" s="159"/>
      <c r="J1494" s="159"/>
      <c r="K1494" s="159"/>
      <c r="L1494" s="159"/>
      <c r="M1494" s="159"/>
      <c r="N1494" s="159"/>
      <c r="O1494" s="285"/>
      <c r="P1494" s="285"/>
      <c r="Q1494" s="285"/>
      <c r="R1494" s="285"/>
    </row>
    <row r="1495" spans="1:18" outlineLevel="1" x14ac:dyDescent="0.25">
      <c r="A1495" s="276">
        <f>ROW()</f>
        <v>1495</v>
      </c>
      <c r="B1495" s="403" t="s">
        <v>117</v>
      </c>
      <c r="C1495" s="1216">
        <v>500</v>
      </c>
      <c r="D1495" s="1199"/>
      <c r="E1495" s="1199"/>
      <c r="F1495" s="1199"/>
      <c r="G1495" s="1317"/>
      <c r="H1495" s="159"/>
      <c r="I1495" s="159"/>
      <c r="J1495" s="159"/>
      <c r="K1495" s="159"/>
      <c r="L1495" s="159"/>
      <c r="M1495" s="159"/>
      <c r="N1495" s="159"/>
      <c r="O1495" s="285"/>
      <c r="P1495" s="285"/>
      <c r="Q1495" s="285"/>
      <c r="R1495" s="285"/>
    </row>
    <row r="1496" spans="1:18" outlineLevel="1" x14ac:dyDescent="0.25">
      <c r="A1496" s="276">
        <f>ROW()</f>
        <v>1496</v>
      </c>
      <c r="B1496" s="403" t="s">
        <v>118</v>
      </c>
      <c r="C1496" s="1209"/>
      <c r="D1496" s="1200"/>
      <c r="E1496" s="1200"/>
      <c r="F1496" s="1200"/>
      <c r="G1496" s="1318"/>
      <c r="H1496" s="159"/>
      <c r="I1496" s="159"/>
      <c r="J1496" s="159"/>
      <c r="K1496" s="159"/>
      <c r="L1496" s="159"/>
      <c r="M1496" s="159"/>
      <c r="N1496" s="159"/>
      <c r="O1496" s="285"/>
      <c r="P1496" s="285"/>
      <c r="Q1496" s="285"/>
      <c r="R1496" s="285"/>
    </row>
    <row r="1497" spans="1:18" outlineLevel="1" x14ac:dyDescent="0.25">
      <c r="A1497" s="276">
        <f>ROW()</f>
        <v>1497</v>
      </c>
      <c r="B1497" s="403" t="s">
        <v>119</v>
      </c>
      <c r="C1497" s="1216">
        <v>500</v>
      </c>
      <c r="D1497" s="1199"/>
      <c r="E1497" s="1199"/>
      <c r="F1497" s="1199"/>
      <c r="G1497" s="1328" t="s">
        <v>120</v>
      </c>
      <c r="H1497" s="159"/>
      <c r="I1497" s="159"/>
      <c r="J1497" s="159"/>
      <c r="K1497" s="159"/>
      <c r="L1497" s="159"/>
      <c r="M1497" s="159"/>
      <c r="N1497" s="159"/>
      <c r="O1497" s="285"/>
      <c r="P1497" s="285"/>
      <c r="Q1497" s="285"/>
      <c r="R1497" s="285"/>
    </row>
    <row r="1498" spans="1:18" outlineLevel="1" x14ac:dyDescent="0.25">
      <c r="A1498" s="276">
        <f>ROW()</f>
        <v>1498</v>
      </c>
      <c r="B1498" s="403" t="s">
        <v>110</v>
      </c>
      <c r="C1498" s="1216">
        <v>0</v>
      </c>
      <c r="D1498" s="1199"/>
      <c r="E1498" s="1199"/>
      <c r="F1498" s="1199"/>
      <c r="G1498" s="1187"/>
      <c r="H1498" s="159"/>
      <c r="I1498" s="159"/>
      <c r="J1498" s="159"/>
      <c r="K1498" s="159"/>
      <c r="L1498" s="159"/>
      <c r="M1498" s="159"/>
      <c r="N1498" s="159"/>
      <c r="O1498" s="285"/>
      <c r="P1498" s="285"/>
      <c r="Q1498" s="285"/>
      <c r="R1498" s="285"/>
    </row>
    <row r="1499" spans="1:18" outlineLevel="1" x14ac:dyDescent="0.25">
      <c r="A1499" s="276">
        <f>ROW()</f>
        <v>1499</v>
      </c>
      <c r="B1499" s="403" t="s">
        <v>54</v>
      </c>
      <c r="C1499" s="1216">
        <v>200</v>
      </c>
      <c r="D1499" s="1199"/>
      <c r="E1499" s="1199"/>
      <c r="F1499" s="1199"/>
      <c r="G1499" s="1187" t="s">
        <v>171</v>
      </c>
      <c r="H1499" s="159"/>
      <c r="I1499" s="159"/>
      <c r="J1499" s="159"/>
      <c r="K1499" s="159"/>
      <c r="L1499" s="159"/>
      <c r="M1499" s="159"/>
      <c r="N1499" s="159"/>
      <c r="O1499" s="285"/>
      <c r="P1499" s="285"/>
      <c r="Q1499" s="285"/>
      <c r="R1499" s="285"/>
    </row>
    <row r="1500" spans="1:18" outlineLevel="1" x14ac:dyDescent="0.25">
      <c r="A1500" s="276">
        <f>ROW()</f>
        <v>1500</v>
      </c>
      <c r="B1500" s="403" t="s">
        <v>128</v>
      </c>
      <c r="C1500" s="1216">
        <v>1800</v>
      </c>
      <c r="D1500" s="1199"/>
      <c r="E1500" s="1199"/>
      <c r="F1500" s="1199"/>
      <c r="G1500" s="1187" t="s">
        <v>112</v>
      </c>
      <c r="H1500" s="159"/>
      <c r="I1500" s="159"/>
      <c r="J1500" s="159"/>
      <c r="K1500" s="159"/>
      <c r="L1500" s="159"/>
      <c r="M1500" s="159"/>
      <c r="N1500" s="159"/>
      <c r="O1500" s="285"/>
      <c r="P1500" s="285"/>
      <c r="Q1500" s="285"/>
      <c r="R1500" s="285"/>
    </row>
    <row r="1501" spans="1:18" outlineLevel="1" x14ac:dyDescent="0.25">
      <c r="A1501" s="276">
        <f>ROW()</f>
        <v>1501</v>
      </c>
      <c r="B1501" s="403" t="s">
        <v>113</v>
      </c>
      <c r="C1501" s="1216">
        <v>1200</v>
      </c>
      <c r="D1501" s="1199"/>
      <c r="E1501" s="1199"/>
      <c r="F1501" s="1199"/>
      <c r="G1501" s="1187" t="s">
        <v>127</v>
      </c>
      <c r="H1501" s="159"/>
      <c r="I1501" s="159"/>
      <c r="J1501" s="159"/>
      <c r="K1501" s="159"/>
      <c r="L1501" s="159"/>
      <c r="M1501" s="159"/>
      <c r="N1501" s="159"/>
      <c r="O1501" s="285"/>
      <c r="P1501" s="285"/>
      <c r="Q1501" s="285"/>
      <c r="R1501" s="285"/>
    </row>
    <row r="1502" spans="1:18" outlineLevel="1" x14ac:dyDescent="0.25">
      <c r="A1502" s="276">
        <f>ROW()</f>
        <v>1502</v>
      </c>
      <c r="B1502" s="403" t="s">
        <v>55</v>
      </c>
      <c r="C1502" s="1216">
        <v>0</v>
      </c>
      <c r="D1502" s="1199"/>
      <c r="E1502" s="1199"/>
      <c r="F1502" s="1199"/>
      <c r="G1502" s="1187" t="s">
        <v>56</v>
      </c>
      <c r="H1502" s="159"/>
      <c r="I1502" s="159"/>
      <c r="J1502" s="159"/>
      <c r="K1502" s="159"/>
      <c r="L1502" s="159"/>
      <c r="M1502" s="159"/>
      <c r="N1502" s="159"/>
      <c r="O1502" s="285"/>
      <c r="P1502" s="285"/>
      <c r="Q1502" s="285"/>
      <c r="R1502" s="285"/>
    </row>
    <row r="1503" spans="1:18" outlineLevel="1" x14ac:dyDescent="0.25">
      <c r="A1503" s="276">
        <f>ROW()</f>
        <v>1503</v>
      </c>
      <c r="B1503" s="371" t="s">
        <v>53</v>
      </c>
      <c r="C1503" s="1217">
        <f>SUM(C1494:C1502)</f>
        <v>5200</v>
      </c>
      <c r="D1503" s="1201"/>
      <c r="E1503" s="1201"/>
      <c r="F1503" s="1201"/>
      <c r="G1503" s="1187"/>
      <c r="H1503" s="159"/>
      <c r="I1503" s="159"/>
      <c r="J1503" s="159"/>
      <c r="K1503" s="159"/>
      <c r="L1503" s="159"/>
      <c r="M1503" s="159"/>
      <c r="N1503" s="159"/>
      <c r="O1503" s="285"/>
      <c r="P1503" s="285"/>
      <c r="Q1503" s="285"/>
      <c r="R1503" s="285"/>
    </row>
    <row r="1504" spans="1:18" outlineLevel="1" x14ac:dyDescent="0.25">
      <c r="A1504" s="276">
        <f>ROW()</f>
        <v>1504</v>
      </c>
      <c r="B1504" s="387"/>
      <c r="C1504" s="1213"/>
      <c r="D1504" s="1206"/>
      <c r="E1504" s="1206"/>
      <c r="F1504" s="1206"/>
      <c r="G1504" s="192"/>
      <c r="H1504" s="192"/>
      <c r="I1504" s="192"/>
      <c r="J1504" s="192"/>
      <c r="K1504" s="192"/>
      <c r="L1504" s="192"/>
      <c r="M1504" s="192"/>
      <c r="N1504" s="192"/>
      <c r="O1504" s="408"/>
      <c r="P1504" s="408"/>
      <c r="Q1504" s="408"/>
      <c r="R1504" s="408"/>
    </row>
    <row r="1505" spans="1:18" outlineLevel="1" x14ac:dyDescent="0.25">
      <c r="A1505" s="276">
        <f>ROW()</f>
        <v>1505</v>
      </c>
      <c r="B1505" s="371" t="s">
        <v>58</v>
      </c>
      <c r="C1505" s="1212"/>
      <c r="D1505" s="1205"/>
      <c r="E1505" s="1205"/>
      <c r="F1505" s="1205"/>
      <c r="G1505" s="159"/>
      <c r="H1505" s="159"/>
      <c r="I1505" s="159"/>
      <c r="J1505" s="159"/>
      <c r="K1505" s="159"/>
      <c r="L1505" s="159"/>
      <c r="M1505" s="159"/>
      <c r="N1505" s="159"/>
      <c r="O1505" s="285"/>
      <c r="P1505" s="285"/>
      <c r="Q1505" s="285"/>
      <c r="R1505" s="285"/>
    </row>
    <row r="1506" spans="1:18" outlineLevel="1" x14ac:dyDescent="0.25">
      <c r="A1506" s="276">
        <f>ROW()</f>
        <v>1506</v>
      </c>
      <c r="B1506" s="403" t="s">
        <v>116</v>
      </c>
      <c r="C1506" s="1216">
        <v>1000</v>
      </c>
      <c r="D1506" s="1199"/>
      <c r="E1506" s="1199"/>
      <c r="F1506" s="1199"/>
      <c r="G1506" s="159"/>
      <c r="H1506" s="159"/>
      <c r="I1506" s="159"/>
      <c r="J1506" s="159"/>
      <c r="K1506" s="159"/>
      <c r="L1506" s="159"/>
      <c r="M1506" s="159"/>
      <c r="N1506" s="159"/>
      <c r="O1506" s="285"/>
      <c r="P1506" s="285"/>
      <c r="Q1506" s="285"/>
      <c r="R1506" s="285"/>
    </row>
    <row r="1507" spans="1:18" outlineLevel="1" x14ac:dyDescent="0.25">
      <c r="A1507" s="276">
        <f>ROW()</f>
        <v>1507</v>
      </c>
      <c r="B1507" s="403" t="s">
        <v>117</v>
      </c>
      <c r="C1507" s="1216">
        <v>500</v>
      </c>
      <c r="D1507" s="1199"/>
      <c r="E1507" s="1199"/>
      <c r="F1507" s="1199"/>
      <c r="G1507" s="1317"/>
      <c r="H1507" s="159"/>
      <c r="I1507" s="159"/>
      <c r="J1507" s="159"/>
      <c r="K1507" s="159"/>
      <c r="L1507" s="159"/>
      <c r="M1507" s="159"/>
      <c r="N1507" s="159"/>
      <c r="O1507" s="285"/>
      <c r="P1507" s="285"/>
      <c r="Q1507" s="285"/>
      <c r="R1507" s="285"/>
    </row>
    <row r="1508" spans="1:18" outlineLevel="1" x14ac:dyDescent="0.25">
      <c r="A1508" s="276">
        <f>ROW()</f>
        <v>1508</v>
      </c>
      <c r="B1508" s="403" t="s">
        <v>118</v>
      </c>
      <c r="C1508" s="1209"/>
      <c r="D1508" s="1200"/>
      <c r="E1508" s="1200"/>
      <c r="F1508" s="1200"/>
      <c r="G1508" s="1318"/>
      <c r="H1508" s="159"/>
      <c r="I1508" s="159"/>
      <c r="J1508" s="159"/>
      <c r="K1508" s="159"/>
      <c r="L1508" s="159"/>
      <c r="M1508" s="159"/>
      <c r="N1508" s="159"/>
      <c r="O1508" s="285"/>
      <c r="P1508" s="285"/>
      <c r="Q1508" s="285"/>
      <c r="R1508" s="285"/>
    </row>
    <row r="1509" spans="1:18" outlineLevel="1" x14ac:dyDescent="0.25">
      <c r="A1509" s="276">
        <f>ROW()</f>
        <v>1509</v>
      </c>
      <c r="B1509" s="403" t="s">
        <v>119</v>
      </c>
      <c r="C1509" s="1216">
        <v>400</v>
      </c>
      <c r="D1509" s="1199"/>
      <c r="E1509" s="1199"/>
      <c r="F1509" s="1199"/>
      <c r="G1509" s="1328" t="s">
        <v>120</v>
      </c>
      <c r="H1509" s="159"/>
      <c r="I1509" s="159"/>
      <c r="J1509" s="159"/>
      <c r="K1509" s="159"/>
      <c r="L1509" s="159"/>
      <c r="M1509" s="159"/>
      <c r="N1509" s="159"/>
      <c r="O1509" s="285"/>
      <c r="P1509" s="285"/>
      <c r="Q1509" s="285"/>
      <c r="R1509" s="285"/>
    </row>
    <row r="1510" spans="1:18" outlineLevel="1" x14ac:dyDescent="0.25">
      <c r="A1510" s="276">
        <f>ROW()</f>
        <v>1510</v>
      </c>
      <c r="B1510" s="403" t="s">
        <v>59</v>
      </c>
      <c r="C1510" s="1216">
        <v>150</v>
      </c>
      <c r="D1510" s="1199"/>
      <c r="E1510" s="1199"/>
      <c r="F1510" s="1199"/>
      <c r="G1510" s="1187"/>
      <c r="H1510" s="159"/>
      <c r="I1510" s="159"/>
      <c r="J1510" s="159"/>
      <c r="K1510" s="159"/>
      <c r="L1510" s="159"/>
      <c r="M1510" s="159"/>
      <c r="N1510" s="159"/>
      <c r="O1510" s="285"/>
      <c r="P1510" s="285"/>
      <c r="Q1510" s="285"/>
      <c r="R1510" s="285"/>
    </row>
    <row r="1511" spans="1:18" outlineLevel="1" x14ac:dyDescent="0.25">
      <c r="A1511" s="276">
        <f>ROW()</f>
        <v>1511</v>
      </c>
      <c r="B1511" s="403" t="s">
        <v>60</v>
      </c>
      <c r="C1511" s="1216">
        <v>400</v>
      </c>
      <c r="D1511" s="1199"/>
      <c r="E1511" s="1199"/>
      <c r="F1511" s="1199"/>
      <c r="G1511" s="1187" t="s">
        <v>171</v>
      </c>
      <c r="H1511" s="159"/>
      <c r="I1511" s="159"/>
      <c r="J1511" s="159"/>
      <c r="K1511" s="159"/>
      <c r="L1511" s="159"/>
      <c r="M1511" s="159"/>
      <c r="N1511" s="159"/>
      <c r="O1511" s="285"/>
      <c r="P1511" s="285"/>
      <c r="Q1511" s="285"/>
      <c r="R1511" s="285"/>
    </row>
    <row r="1512" spans="1:18" outlineLevel="1" x14ac:dyDescent="0.25">
      <c r="A1512" s="276">
        <f>ROW()</f>
        <v>1512</v>
      </c>
      <c r="B1512" s="403" t="s">
        <v>128</v>
      </c>
      <c r="C1512" s="1216">
        <v>1200</v>
      </c>
      <c r="D1512" s="1199"/>
      <c r="E1512" s="1199"/>
      <c r="F1512" s="1199"/>
      <c r="G1512" s="1187" t="s">
        <v>112</v>
      </c>
      <c r="H1512" s="159"/>
      <c r="I1512" s="159"/>
      <c r="J1512" s="159"/>
      <c r="K1512" s="159"/>
      <c r="L1512" s="159"/>
      <c r="M1512" s="159"/>
      <c r="N1512" s="159"/>
      <c r="O1512" s="285"/>
      <c r="P1512" s="285"/>
      <c r="Q1512" s="285"/>
      <c r="R1512" s="285"/>
    </row>
    <row r="1513" spans="1:18" outlineLevel="1" x14ac:dyDescent="0.25">
      <c r="A1513" s="276">
        <f>ROW()</f>
        <v>1513</v>
      </c>
      <c r="B1513" s="403" t="s">
        <v>113</v>
      </c>
      <c r="C1513" s="1216">
        <v>800</v>
      </c>
      <c r="D1513" s="1199"/>
      <c r="E1513" s="1199"/>
      <c r="F1513" s="1199"/>
      <c r="G1513" s="1187" t="s">
        <v>127</v>
      </c>
      <c r="H1513" s="159"/>
      <c r="I1513" s="159"/>
      <c r="J1513" s="159"/>
      <c r="K1513" s="159"/>
      <c r="L1513" s="159"/>
      <c r="M1513" s="159"/>
      <c r="N1513" s="159"/>
      <c r="O1513" s="285"/>
      <c r="P1513" s="285"/>
      <c r="Q1513" s="285"/>
      <c r="R1513" s="285"/>
    </row>
    <row r="1514" spans="1:18" outlineLevel="1" x14ac:dyDescent="0.25">
      <c r="A1514" s="276">
        <f>ROW()</f>
        <v>1514</v>
      </c>
      <c r="B1514" s="371" t="s">
        <v>53</v>
      </c>
      <c r="C1514" s="1217">
        <f>SUM(C1506:C1513)</f>
        <v>4450</v>
      </c>
      <c r="D1514" s="1201"/>
      <c r="E1514" s="1201"/>
      <c r="F1514" s="1201"/>
      <c r="G1514" s="1187"/>
      <c r="H1514" s="159"/>
      <c r="I1514" s="159"/>
      <c r="J1514" s="159"/>
      <c r="K1514" s="159"/>
      <c r="L1514" s="159"/>
      <c r="M1514" s="159"/>
      <c r="N1514" s="159"/>
      <c r="O1514" s="285"/>
      <c r="P1514" s="285"/>
      <c r="Q1514" s="285"/>
      <c r="R1514" s="285"/>
    </row>
    <row r="1515" spans="1:18" outlineLevel="1" x14ac:dyDescent="0.25">
      <c r="A1515" s="276">
        <f>ROW()</f>
        <v>1515</v>
      </c>
      <c r="B1515" s="407"/>
      <c r="C1515" s="1214"/>
      <c r="D1515" s="1207"/>
      <c r="E1515" s="1207"/>
      <c r="F1515" s="1207"/>
      <c r="G1515" s="1330"/>
      <c r="H1515" s="192"/>
      <c r="I1515" s="192"/>
      <c r="J1515" s="192"/>
      <c r="K1515" s="192"/>
      <c r="L1515" s="192"/>
      <c r="M1515" s="192"/>
      <c r="N1515" s="192"/>
      <c r="O1515" s="408"/>
      <c r="P1515" s="408"/>
      <c r="Q1515" s="408"/>
      <c r="R1515" s="408"/>
    </row>
    <row r="1516" spans="1:18" outlineLevel="1" x14ac:dyDescent="0.25">
      <c r="A1516" s="276">
        <f>ROW()</f>
        <v>1516</v>
      </c>
      <c r="B1516" s="371" t="s">
        <v>131</v>
      </c>
      <c r="C1516" s="1212"/>
      <c r="D1516" s="1205"/>
      <c r="E1516" s="1205"/>
      <c r="F1516" s="1205"/>
      <c r="G1516" s="159"/>
      <c r="H1516" s="159"/>
      <c r="I1516" s="159"/>
      <c r="J1516" s="159"/>
      <c r="K1516" s="159"/>
      <c r="L1516" s="159"/>
      <c r="M1516" s="159"/>
      <c r="N1516" s="159"/>
      <c r="O1516" s="285"/>
      <c r="P1516" s="285"/>
      <c r="Q1516" s="285"/>
      <c r="R1516" s="285"/>
    </row>
    <row r="1517" spans="1:18" outlineLevel="1" x14ac:dyDescent="0.25">
      <c r="A1517" s="276">
        <f>ROW()</f>
        <v>1517</v>
      </c>
      <c r="B1517" s="403" t="s">
        <v>116</v>
      </c>
      <c r="C1517" s="1216">
        <v>1000</v>
      </c>
      <c r="D1517" s="1199"/>
      <c r="E1517" s="1199"/>
      <c r="F1517" s="1199"/>
      <c r="G1517" s="159"/>
      <c r="H1517" s="159"/>
      <c r="I1517" s="159"/>
      <c r="J1517" s="159"/>
      <c r="K1517" s="159"/>
      <c r="L1517" s="159"/>
      <c r="M1517" s="159"/>
      <c r="N1517" s="159"/>
      <c r="O1517" s="285"/>
      <c r="P1517" s="285"/>
      <c r="Q1517" s="285"/>
      <c r="R1517" s="285"/>
    </row>
    <row r="1518" spans="1:18" outlineLevel="1" x14ac:dyDescent="0.25">
      <c r="A1518" s="276">
        <f>ROW()</f>
        <v>1518</v>
      </c>
      <c r="B1518" s="403" t="s">
        <v>117</v>
      </c>
      <c r="C1518" s="1216">
        <v>500</v>
      </c>
      <c r="D1518" s="1199"/>
      <c r="E1518" s="1199"/>
      <c r="F1518" s="1199"/>
      <c r="G1518" s="1317"/>
      <c r="H1518" s="159"/>
      <c r="I1518" s="159"/>
      <c r="J1518" s="159"/>
      <c r="K1518" s="159"/>
      <c r="L1518" s="159"/>
      <c r="M1518" s="159"/>
      <c r="N1518" s="159"/>
      <c r="O1518" s="285"/>
      <c r="P1518" s="285"/>
      <c r="Q1518" s="285"/>
      <c r="R1518" s="285"/>
    </row>
    <row r="1519" spans="1:18" outlineLevel="1" x14ac:dyDescent="0.25">
      <c r="A1519" s="276">
        <f>ROW()</f>
        <v>1519</v>
      </c>
      <c r="B1519" s="403" t="s">
        <v>118</v>
      </c>
      <c r="C1519" s="1209"/>
      <c r="D1519" s="1200"/>
      <c r="E1519" s="1200"/>
      <c r="F1519" s="1200"/>
      <c r="G1519" s="1318"/>
      <c r="H1519" s="159"/>
      <c r="I1519" s="159"/>
      <c r="J1519" s="159"/>
      <c r="K1519" s="159"/>
      <c r="L1519" s="159"/>
      <c r="M1519" s="159"/>
      <c r="N1519" s="159"/>
      <c r="O1519" s="285"/>
      <c r="P1519" s="285"/>
      <c r="Q1519" s="285"/>
      <c r="R1519" s="285"/>
    </row>
    <row r="1520" spans="1:18" outlineLevel="1" x14ac:dyDescent="0.25">
      <c r="A1520" s="276">
        <f>ROW()</f>
        <v>1520</v>
      </c>
      <c r="B1520" s="403" t="s">
        <v>119</v>
      </c>
      <c r="C1520" s="1216">
        <v>400</v>
      </c>
      <c r="D1520" s="1199"/>
      <c r="E1520" s="1199"/>
      <c r="F1520" s="1199"/>
      <c r="G1520" s="1328" t="s">
        <v>120</v>
      </c>
      <c r="H1520" s="159"/>
      <c r="I1520" s="159"/>
      <c r="J1520" s="159"/>
      <c r="K1520" s="159"/>
      <c r="L1520" s="159"/>
      <c r="M1520" s="159"/>
      <c r="N1520" s="159"/>
      <c r="O1520" s="285"/>
      <c r="P1520" s="285"/>
      <c r="Q1520" s="285"/>
      <c r="R1520" s="285"/>
    </row>
    <row r="1521" spans="1:18" outlineLevel="1" x14ac:dyDescent="0.25">
      <c r="A1521" s="276">
        <f>ROW()</f>
        <v>1521</v>
      </c>
      <c r="B1521" s="403" t="s">
        <v>59</v>
      </c>
      <c r="C1521" s="1216">
        <v>150</v>
      </c>
      <c r="D1521" s="1199"/>
      <c r="E1521" s="1199"/>
      <c r="F1521" s="1199"/>
      <c r="G1521" s="1187"/>
      <c r="H1521" s="159"/>
      <c r="I1521" s="159"/>
      <c r="J1521" s="159"/>
      <c r="K1521" s="159"/>
      <c r="L1521" s="159"/>
      <c r="M1521" s="159"/>
      <c r="N1521" s="159"/>
      <c r="O1521" s="285"/>
      <c r="P1521" s="285"/>
      <c r="Q1521" s="285"/>
      <c r="R1521" s="285"/>
    </row>
    <row r="1522" spans="1:18" outlineLevel="1" x14ac:dyDescent="0.25">
      <c r="A1522" s="276">
        <f>ROW()</f>
        <v>1522</v>
      </c>
      <c r="B1522" s="403" t="s">
        <v>60</v>
      </c>
      <c r="C1522" s="1216">
        <v>400</v>
      </c>
      <c r="D1522" s="1199"/>
      <c r="E1522" s="1199"/>
      <c r="F1522" s="1199"/>
      <c r="G1522" s="1187" t="s">
        <v>171</v>
      </c>
      <c r="H1522" s="159"/>
      <c r="I1522" s="159"/>
      <c r="J1522" s="159"/>
      <c r="K1522" s="159"/>
      <c r="L1522" s="159"/>
      <c r="M1522" s="159"/>
      <c r="N1522" s="159"/>
      <c r="O1522" s="285"/>
      <c r="P1522" s="285"/>
      <c r="Q1522" s="285"/>
      <c r="R1522" s="285"/>
    </row>
    <row r="1523" spans="1:18" outlineLevel="1" x14ac:dyDescent="0.25">
      <c r="A1523" s="276">
        <f>ROW()</f>
        <v>1523</v>
      </c>
      <c r="B1523" s="403" t="s">
        <v>132</v>
      </c>
      <c r="C1523" s="1216">
        <v>2000</v>
      </c>
      <c r="D1523" s="1199"/>
      <c r="E1523" s="1199"/>
      <c r="F1523" s="1199"/>
      <c r="G1523" s="1187" t="s">
        <v>133</v>
      </c>
      <c r="H1523" s="159"/>
      <c r="I1523" s="159"/>
      <c r="J1523" s="159"/>
      <c r="K1523" s="159"/>
      <c r="L1523" s="159"/>
      <c r="M1523" s="159"/>
      <c r="N1523" s="159"/>
      <c r="O1523" s="285"/>
      <c r="P1523" s="285"/>
      <c r="Q1523" s="285"/>
      <c r="R1523" s="285"/>
    </row>
    <row r="1524" spans="1:18" outlineLevel="1" x14ac:dyDescent="0.25">
      <c r="A1524" s="276">
        <f>ROW()</f>
        <v>1524</v>
      </c>
      <c r="B1524" s="403" t="s">
        <v>128</v>
      </c>
      <c r="C1524" s="1216">
        <v>1200</v>
      </c>
      <c r="D1524" s="1199"/>
      <c r="E1524" s="1199"/>
      <c r="F1524" s="1199"/>
      <c r="G1524" s="1187" t="s">
        <v>112</v>
      </c>
      <c r="H1524" s="159"/>
      <c r="I1524" s="159"/>
      <c r="J1524" s="159"/>
      <c r="K1524" s="159"/>
      <c r="L1524" s="159"/>
      <c r="M1524" s="159"/>
      <c r="N1524" s="159"/>
      <c r="O1524" s="285"/>
      <c r="P1524" s="285"/>
      <c r="Q1524" s="285"/>
      <c r="R1524" s="285"/>
    </row>
    <row r="1525" spans="1:18" outlineLevel="1" x14ac:dyDescent="0.25">
      <c r="A1525" s="276">
        <f>ROW()</f>
        <v>1525</v>
      </c>
      <c r="B1525" s="403" t="s">
        <v>113</v>
      </c>
      <c r="C1525" s="1216">
        <v>800</v>
      </c>
      <c r="D1525" s="1199"/>
      <c r="E1525" s="1199"/>
      <c r="F1525" s="1199"/>
      <c r="G1525" s="1187" t="s">
        <v>127</v>
      </c>
      <c r="H1525" s="159"/>
      <c r="I1525" s="159"/>
      <c r="J1525" s="159"/>
      <c r="K1525" s="159"/>
      <c r="L1525" s="159"/>
      <c r="M1525" s="159"/>
      <c r="N1525" s="159"/>
      <c r="O1525" s="285"/>
      <c r="P1525" s="285"/>
      <c r="Q1525" s="285"/>
      <c r="R1525" s="285"/>
    </row>
    <row r="1526" spans="1:18" outlineLevel="1" x14ac:dyDescent="0.25">
      <c r="A1526" s="276">
        <f>ROW()</f>
        <v>1526</v>
      </c>
      <c r="B1526" s="371" t="s">
        <v>53</v>
      </c>
      <c r="C1526" s="1217">
        <f>SUM(C1517:C1525)</f>
        <v>6450</v>
      </c>
      <c r="D1526" s="1201"/>
      <c r="E1526" s="1201"/>
      <c r="F1526" s="1201"/>
      <c r="G1526" s="1187"/>
      <c r="H1526" s="159"/>
      <c r="I1526" s="159"/>
      <c r="J1526" s="159"/>
      <c r="K1526" s="159"/>
      <c r="L1526" s="159"/>
      <c r="M1526" s="159"/>
      <c r="N1526" s="159"/>
      <c r="O1526" s="285"/>
      <c r="P1526" s="285"/>
      <c r="Q1526" s="285"/>
      <c r="R1526" s="285"/>
    </row>
    <row r="1527" spans="1:18" outlineLevel="1" x14ac:dyDescent="0.25">
      <c r="A1527" s="276">
        <f>ROW()</f>
        <v>1527</v>
      </c>
      <c r="B1527" s="407"/>
      <c r="C1527" s="1210"/>
      <c r="D1527" s="1202"/>
      <c r="E1527" s="1202"/>
      <c r="F1527" s="1202"/>
      <c r="G1527" s="1329"/>
      <c r="H1527" s="192"/>
      <c r="I1527" s="192"/>
      <c r="J1527" s="192"/>
      <c r="K1527" s="192"/>
      <c r="L1527" s="192"/>
      <c r="M1527" s="192"/>
      <c r="N1527" s="192"/>
      <c r="O1527" s="408"/>
      <c r="P1527" s="408"/>
      <c r="Q1527" s="408"/>
      <c r="R1527" s="408"/>
    </row>
    <row r="1528" spans="1:18" outlineLevel="1" x14ac:dyDescent="0.25">
      <c r="A1528" s="276">
        <f>ROW()</f>
        <v>1528</v>
      </c>
      <c r="B1528" s="371" t="s">
        <v>78</v>
      </c>
      <c r="C1528" s="1212"/>
      <c r="D1528" s="1205"/>
      <c r="E1528" s="1205"/>
      <c r="F1528" s="1205"/>
      <c r="G1528" s="159"/>
      <c r="H1528" s="159"/>
      <c r="I1528" s="159"/>
      <c r="J1528" s="159"/>
      <c r="K1528" s="159"/>
      <c r="L1528" s="159"/>
      <c r="M1528" s="159"/>
      <c r="N1528" s="159"/>
      <c r="O1528" s="285"/>
      <c r="P1528" s="285"/>
      <c r="Q1528" s="285"/>
      <c r="R1528" s="285"/>
    </row>
    <row r="1529" spans="1:18" outlineLevel="1" x14ac:dyDescent="0.25">
      <c r="A1529" s="276">
        <f>ROW()</f>
        <v>1529</v>
      </c>
      <c r="B1529" s="403" t="s">
        <v>116</v>
      </c>
      <c r="C1529" s="1216">
        <v>1000</v>
      </c>
      <c r="D1529" s="1199"/>
      <c r="E1529" s="1199"/>
      <c r="F1529" s="1199"/>
      <c r="G1529" s="159"/>
      <c r="H1529" s="159"/>
      <c r="I1529" s="159"/>
      <c r="J1529" s="159"/>
      <c r="K1529" s="159"/>
      <c r="L1529" s="159"/>
      <c r="M1529" s="159"/>
      <c r="N1529" s="159"/>
      <c r="O1529" s="285"/>
      <c r="P1529" s="285"/>
      <c r="Q1529" s="285"/>
      <c r="R1529" s="285"/>
    </row>
    <row r="1530" spans="1:18" outlineLevel="1" x14ac:dyDescent="0.25">
      <c r="A1530" s="276">
        <f>ROW()</f>
        <v>1530</v>
      </c>
      <c r="B1530" s="403" t="s">
        <v>117</v>
      </c>
      <c r="C1530" s="1216">
        <v>500</v>
      </c>
      <c r="D1530" s="1199"/>
      <c r="E1530" s="1199"/>
      <c r="F1530" s="1199"/>
      <c r="G1530" s="1317"/>
      <c r="H1530" s="159"/>
      <c r="I1530" s="159"/>
      <c r="J1530" s="159"/>
      <c r="K1530" s="159"/>
      <c r="L1530" s="159"/>
      <c r="M1530" s="159"/>
      <c r="N1530" s="159"/>
      <c r="O1530" s="285"/>
      <c r="P1530" s="285"/>
      <c r="Q1530" s="285"/>
      <c r="R1530" s="285"/>
    </row>
    <row r="1531" spans="1:18" outlineLevel="1" x14ac:dyDescent="0.25">
      <c r="A1531" s="276">
        <f>ROW()</f>
        <v>1531</v>
      </c>
      <c r="B1531" s="403" t="s">
        <v>118</v>
      </c>
      <c r="C1531" s="1209"/>
      <c r="D1531" s="1200"/>
      <c r="E1531" s="1200"/>
      <c r="F1531" s="1200"/>
      <c r="G1531" s="1318"/>
      <c r="H1531" s="159"/>
      <c r="I1531" s="159"/>
      <c r="J1531" s="159"/>
      <c r="K1531" s="159"/>
      <c r="L1531" s="159"/>
      <c r="M1531" s="159"/>
      <c r="N1531" s="159"/>
      <c r="O1531" s="285"/>
      <c r="P1531" s="285"/>
      <c r="Q1531" s="285"/>
      <c r="R1531" s="285"/>
    </row>
    <row r="1532" spans="1:18" outlineLevel="1" x14ac:dyDescent="0.25">
      <c r="A1532" s="276">
        <f>ROW()</f>
        <v>1532</v>
      </c>
      <c r="B1532" s="403" t="s">
        <v>119</v>
      </c>
      <c r="C1532" s="1216">
        <v>0</v>
      </c>
      <c r="D1532" s="1199"/>
      <c r="E1532" s="1199"/>
      <c r="F1532" s="1199"/>
      <c r="G1532" s="1328"/>
      <c r="H1532" s="159"/>
      <c r="I1532" s="159"/>
      <c r="J1532" s="159"/>
      <c r="K1532" s="159"/>
      <c r="L1532" s="159"/>
      <c r="M1532" s="159"/>
      <c r="N1532" s="159"/>
      <c r="O1532" s="285"/>
      <c r="P1532" s="285"/>
      <c r="Q1532" s="285"/>
      <c r="R1532" s="285"/>
    </row>
    <row r="1533" spans="1:18" outlineLevel="1" x14ac:dyDescent="0.25">
      <c r="A1533" s="276">
        <f>ROW()</f>
        <v>1533</v>
      </c>
      <c r="B1533" s="403" t="s">
        <v>29</v>
      </c>
      <c r="C1533" s="1216">
        <v>0</v>
      </c>
      <c r="D1533" s="1199"/>
      <c r="E1533" s="1199"/>
      <c r="F1533" s="1199"/>
      <c r="G1533" s="1187" t="s">
        <v>30</v>
      </c>
      <c r="H1533" s="159"/>
      <c r="I1533" s="159"/>
      <c r="J1533" s="159"/>
      <c r="K1533" s="159"/>
      <c r="L1533" s="159"/>
      <c r="M1533" s="159"/>
      <c r="N1533" s="159"/>
      <c r="O1533" s="285"/>
      <c r="P1533" s="285"/>
      <c r="Q1533" s="285"/>
      <c r="R1533" s="285"/>
    </row>
    <row r="1534" spans="1:18" outlineLevel="1" x14ac:dyDescent="0.25">
      <c r="A1534" s="276">
        <f>ROW()</f>
        <v>1534</v>
      </c>
      <c r="B1534" s="403" t="s">
        <v>128</v>
      </c>
      <c r="C1534" s="1216">
        <v>1200</v>
      </c>
      <c r="D1534" s="1199"/>
      <c r="E1534" s="1199"/>
      <c r="F1534" s="1199"/>
      <c r="G1534" s="1187" t="s">
        <v>112</v>
      </c>
      <c r="H1534" s="159"/>
      <c r="I1534" s="159"/>
      <c r="J1534" s="159"/>
      <c r="K1534" s="159"/>
      <c r="L1534" s="159"/>
      <c r="M1534" s="159"/>
      <c r="N1534" s="159"/>
      <c r="O1534" s="285"/>
      <c r="P1534" s="285"/>
      <c r="Q1534" s="285"/>
      <c r="R1534" s="285"/>
    </row>
    <row r="1535" spans="1:18" outlineLevel="1" x14ac:dyDescent="0.25">
      <c r="A1535" s="276">
        <f>ROW()</f>
        <v>1535</v>
      </c>
      <c r="B1535" s="403" t="s">
        <v>113</v>
      </c>
      <c r="C1535" s="1216">
        <v>800</v>
      </c>
      <c r="D1535" s="1199"/>
      <c r="E1535" s="1199"/>
      <c r="F1535" s="1199"/>
      <c r="G1535" s="1187" t="s">
        <v>127</v>
      </c>
      <c r="H1535" s="159"/>
      <c r="I1535" s="159"/>
      <c r="J1535" s="159"/>
      <c r="K1535" s="159"/>
      <c r="L1535" s="159"/>
      <c r="M1535" s="159"/>
      <c r="N1535" s="159"/>
      <c r="O1535" s="285"/>
      <c r="P1535" s="285"/>
      <c r="Q1535" s="285"/>
      <c r="R1535" s="285"/>
    </row>
    <row r="1536" spans="1:18" outlineLevel="1" x14ac:dyDescent="0.25">
      <c r="A1536" s="276">
        <f>ROW()</f>
        <v>1536</v>
      </c>
      <c r="B1536" s="371" t="s">
        <v>53</v>
      </c>
      <c r="C1536" s="1217">
        <f>SUM(C1529:C1535)</f>
        <v>3500</v>
      </c>
      <c r="D1536" s="1201"/>
      <c r="E1536" s="1201"/>
      <c r="F1536" s="1201"/>
      <c r="G1536" s="1187"/>
      <c r="H1536" s="159"/>
      <c r="I1536" s="159"/>
      <c r="J1536" s="159"/>
      <c r="K1536" s="159"/>
      <c r="L1536" s="159"/>
      <c r="M1536" s="159"/>
      <c r="N1536" s="159"/>
      <c r="O1536" s="285"/>
      <c r="P1536" s="285"/>
      <c r="Q1536" s="285"/>
      <c r="R1536" s="285"/>
    </row>
    <row r="1537" spans="1:18" outlineLevel="1" x14ac:dyDescent="0.25">
      <c r="A1537" s="276">
        <f>ROW()</f>
        <v>1537</v>
      </c>
      <c r="B1537" s="407"/>
      <c r="C1537" s="1210"/>
      <c r="D1537" s="1202"/>
      <c r="E1537" s="1202"/>
      <c r="F1537" s="1202"/>
      <c r="G1537" s="1329"/>
      <c r="H1537" s="192"/>
      <c r="I1537" s="192"/>
      <c r="J1537" s="192"/>
      <c r="K1537" s="192"/>
      <c r="L1537" s="192"/>
      <c r="M1537" s="192"/>
      <c r="N1537" s="192"/>
      <c r="O1537" s="408"/>
      <c r="P1537" s="408"/>
      <c r="Q1537" s="408"/>
      <c r="R1537" s="408"/>
    </row>
    <row r="1538" spans="1:18" outlineLevel="1" x14ac:dyDescent="0.25">
      <c r="A1538" s="276">
        <f>ROW()</f>
        <v>1538</v>
      </c>
      <c r="B1538" s="371" t="s">
        <v>165</v>
      </c>
      <c r="C1538" s="1212"/>
      <c r="D1538" s="1205"/>
      <c r="E1538" s="1205"/>
      <c r="F1538" s="1205"/>
      <c r="G1538" s="159"/>
      <c r="H1538" s="159"/>
      <c r="I1538" s="159"/>
      <c r="J1538" s="159"/>
      <c r="K1538" s="159"/>
      <c r="L1538" s="159"/>
      <c r="M1538" s="159"/>
      <c r="N1538" s="159"/>
      <c r="O1538" s="285"/>
      <c r="P1538" s="285"/>
      <c r="Q1538" s="285"/>
      <c r="R1538" s="285"/>
    </row>
    <row r="1539" spans="1:18" outlineLevel="1" x14ac:dyDescent="0.25">
      <c r="A1539" s="276">
        <f>ROW()</f>
        <v>1539</v>
      </c>
      <c r="B1539" s="403" t="s">
        <v>116</v>
      </c>
      <c r="C1539" s="1216">
        <v>1000</v>
      </c>
      <c r="D1539" s="1199"/>
      <c r="E1539" s="1199"/>
      <c r="F1539" s="1199"/>
      <c r="G1539" s="159"/>
      <c r="H1539" s="159"/>
      <c r="I1539" s="159"/>
      <c r="J1539" s="159"/>
      <c r="K1539" s="159"/>
      <c r="L1539" s="159"/>
      <c r="M1539" s="159"/>
      <c r="N1539" s="159"/>
      <c r="O1539" s="285"/>
      <c r="P1539" s="285"/>
      <c r="Q1539" s="285"/>
      <c r="R1539" s="285"/>
    </row>
    <row r="1540" spans="1:18" outlineLevel="1" x14ac:dyDescent="0.25">
      <c r="A1540" s="276">
        <f>ROW()</f>
        <v>1540</v>
      </c>
      <c r="B1540" s="403" t="s">
        <v>117</v>
      </c>
      <c r="C1540" s="1216">
        <v>500</v>
      </c>
      <c r="D1540" s="1199"/>
      <c r="E1540" s="1199"/>
      <c r="F1540" s="1199"/>
      <c r="G1540" s="1317"/>
      <c r="H1540" s="159"/>
      <c r="I1540" s="159"/>
      <c r="J1540" s="159"/>
      <c r="K1540" s="159"/>
      <c r="L1540" s="159"/>
      <c r="M1540" s="159"/>
      <c r="N1540" s="159"/>
      <c r="O1540" s="285"/>
      <c r="P1540" s="285"/>
      <c r="Q1540" s="285"/>
      <c r="R1540" s="285"/>
    </row>
    <row r="1541" spans="1:18" outlineLevel="1" x14ac:dyDescent="0.25">
      <c r="A1541" s="276">
        <f>ROW()</f>
        <v>1541</v>
      </c>
      <c r="B1541" s="403" t="s">
        <v>118</v>
      </c>
      <c r="C1541" s="1209"/>
      <c r="D1541" s="1200"/>
      <c r="E1541" s="1200"/>
      <c r="F1541" s="1200"/>
      <c r="G1541" s="1318"/>
      <c r="H1541" s="159"/>
      <c r="I1541" s="159"/>
      <c r="J1541" s="159"/>
      <c r="K1541" s="159"/>
      <c r="L1541" s="159"/>
      <c r="M1541" s="159"/>
      <c r="N1541" s="159"/>
      <c r="O1541" s="285"/>
      <c r="P1541" s="285"/>
      <c r="Q1541" s="285"/>
      <c r="R1541" s="285"/>
    </row>
    <row r="1542" spans="1:18" outlineLevel="1" x14ac:dyDescent="0.25">
      <c r="A1542" s="276">
        <f>ROW()</f>
        <v>1542</v>
      </c>
      <c r="B1542" s="403" t="s">
        <v>119</v>
      </c>
      <c r="C1542" s="1216">
        <v>0</v>
      </c>
      <c r="D1542" s="1199"/>
      <c r="E1542" s="1199"/>
      <c r="F1542" s="1199"/>
      <c r="G1542" s="1328"/>
      <c r="H1542" s="159"/>
      <c r="I1542" s="159"/>
      <c r="J1542" s="159"/>
      <c r="K1542" s="159"/>
      <c r="L1542" s="159"/>
      <c r="M1542" s="159"/>
      <c r="N1542" s="159"/>
      <c r="O1542" s="285"/>
      <c r="P1542" s="285"/>
      <c r="Q1542" s="285"/>
      <c r="R1542" s="285"/>
    </row>
    <row r="1543" spans="1:18" outlineLevel="1" x14ac:dyDescent="0.25">
      <c r="A1543" s="276">
        <f>ROW()</f>
        <v>1543</v>
      </c>
      <c r="B1543" s="403" t="s">
        <v>29</v>
      </c>
      <c r="C1543" s="1216">
        <v>0</v>
      </c>
      <c r="D1543" s="1199"/>
      <c r="E1543" s="1199"/>
      <c r="F1543" s="1199"/>
      <c r="G1543" s="1187" t="s">
        <v>30</v>
      </c>
      <c r="H1543" s="159"/>
      <c r="I1543" s="159"/>
      <c r="J1543" s="159"/>
      <c r="K1543" s="159"/>
      <c r="L1543" s="159"/>
      <c r="M1543" s="159"/>
      <c r="N1543" s="159"/>
      <c r="O1543" s="285"/>
      <c r="P1543" s="285"/>
      <c r="Q1543" s="285"/>
      <c r="R1543" s="285"/>
    </row>
    <row r="1544" spans="1:18" outlineLevel="1" x14ac:dyDescent="0.25">
      <c r="A1544" s="276">
        <f>ROW()</f>
        <v>1544</v>
      </c>
      <c r="B1544" s="403" t="s">
        <v>128</v>
      </c>
      <c r="C1544" s="1216">
        <v>1200</v>
      </c>
      <c r="D1544" s="1199"/>
      <c r="E1544" s="1199"/>
      <c r="F1544" s="1199"/>
      <c r="G1544" s="1187" t="s">
        <v>112</v>
      </c>
      <c r="H1544" s="159"/>
      <c r="I1544" s="159"/>
      <c r="J1544" s="159"/>
      <c r="K1544" s="159"/>
      <c r="L1544" s="159"/>
      <c r="M1544" s="159"/>
      <c r="N1544" s="159"/>
      <c r="O1544" s="285"/>
      <c r="P1544" s="285"/>
      <c r="Q1544" s="285"/>
      <c r="R1544" s="285"/>
    </row>
    <row r="1545" spans="1:18" outlineLevel="1" x14ac:dyDescent="0.25">
      <c r="A1545" s="276">
        <f>ROW()</f>
        <v>1545</v>
      </c>
      <c r="B1545" s="403" t="s">
        <v>113</v>
      </c>
      <c r="C1545" s="1216">
        <v>800</v>
      </c>
      <c r="D1545" s="1199"/>
      <c r="E1545" s="1199"/>
      <c r="F1545" s="1199"/>
      <c r="G1545" s="1187" t="s">
        <v>127</v>
      </c>
      <c r="H1545" s="159"/>
      <c r="I1545" s="159"/>
      <c r="J1545" s="159"/>
      <c r="K1545" s="159"/>
      <c r="L1545" s="159"/>
      <c r="M1545" s="159"/>
      <c r="N1545" s="159"/>
      <c r="O1545" s="285"/>
      <c r="P1545" s="285"/>
      <c r="Q1545" s="285"/>
      <c r="R1545" s="285"/>
    </row>
    <row r="1546" spans="1:18" outlineLevel="1" x14ac:dyDescent="0.25">
      <c r="A1546" s="276">
        <f>ROW()</f>
        <v>1546</v>
      </c>
      <c r="B1546" s="371" t="s">
        <v>53</v>
      </c>
      <c r="C1546" s="1217">
        <f>SUM(C1539:C1545)</f>
        <v>3500</v>
      </c>
      <c r="D1546" s="1201"/>
      <c r="E1546" s="1201"/>
      <c r="F1546" s="1201"/>
      <c r="G1546" s="1187"/>
      <c r="H1546" s="159"/>
      <c r="I1546" s="159"/>
      <c r="J1546" s="159"/>
      <c r="K1546" s="159"/>
      <c r="L1546" s="159"/>
      <c r="M1546" s="159"/>
      <c r="N1546" s="159"/>
      <c r="O1546" s="285"/>
      <c r="P1546" s="285"/>
      <c r="Q1546" s="285"/>
      <c r="R1546" s="285"/>
    </row>
    <row r="1547" spans="1:18" outlineLevel="1" x14ac:dyDescent="0.25">
      <c r="A1547" s="276">
        <f>ROW()</f>
        <v>1547</v>
      </c>
      <c r="B1547" s="407"/>
      <c r="C1547" s="1215"/>
      <c r="D1547" s="1208"/>
      <c r="E1547" s="1208"/>
      <c r="F1547" s="1208"/>
      <c r="G1547" s="192"/>
      <c r="H1547" s="192"/>
      <c r="I1547" s="192"/>
      <c r="J1547" s="192"/>
      <c r="K1547" s="192"/>
      <c r="L1547" s="192"/>
      <c r="M1547" s="192"/>
      <c r="N1547" s="192"/>
      <c r="O1547" s="408"/>
      <c r="P1547" s="408"/>
      <c r="Q1547" s="408"/>
      <c r="R1547" s="408"/>
    </row>
    <row r="1548" spans="1:18" outlineLevel="1" x14ac:dyDescent="0.25">
      <c r="A1548" s="276">
        <f>ROW()</f>
        <v>1548</v>
      </c>
      <c r="B1548" s="371" t="s">
        <v>134</v>
      </c>
      <c r="C1548" s="1212"/>
      <c r="D1548" s="1205"/>
      <c r="E1548" s="1205"/>
      <c r="F1548" s="1205"/>
      <c r="G1548" s="159"/>
      <c r="H1548" s="159"/>
      <c r="I1548" s="159"/>
      <c r="J1548" s="159"/>
      <c r="K1548" s="159"/>
      <c r="L1548" s="159"/>
      <c r="M1548" s="159"/>
      <c r="N1548" s="159"/>
      <c r="O1548" s="285"/>
      <c r="P1548" s="285"/>
      <c r="Q1548" s="285"/>
      <c r="R1548" s="285"/>
    </row>
    <row r="1549" spans="1:18" outlineLevel="1" x14ac:dyDescent="0.25">
      <c r="A1549" s="276">
        <f>ROW()</f>
        <v>1549</v>
      </c>
      <c r="B1549" s="403" t="s">
        <v>116</v>
      </c>
      <c r="C1549" s="1216">
        <v>1000</v>
      </c>
      <c r="D1549" s="1199"/>
      <c r="E1549" s="1199"/>
      <c r="F1549" s="1199"/>
      <c r="G1549" s="159"/>
      <c r="H1549" s="159"/>
      <c r="I1549" s="159"/>
      <c r="J1549" s="159"/>
      <c r="K1549" s="159"/>
      <c r="L1549" s="159"/>
      <c r="M1549" s="159"/>
      <c r="N1549" s="159"/>
      <c r="O1549" s="285"/>
      <c r="P1549" s="285"/>
      <c r="Q1549" s="285"/>
      <c r="R1549" s="285"/>
    </row>
    <row r="1550" spans="1:18" outlineLevel="1" x14ac:dyDescent="0.25">
      <c r="A1550" s="276">
        <f>ROW()</f>
        <v>1550</v>
      </c>
      <c r="B1550" s="403" t="s">
        <v>117</v>
      </c>
      <c r="C1550" s="1216">
        <v>500</v>
      </c>
      <c r="D1550" s="1199"/>
      <c r="E1550" s="1199"/>
      <c r="F1550" s="1199"/>
      <c r="G1550" s="1317"/>
      <c r="H1550" s="159"/>
      <c r="I1550" s="159"/>
      <c r="J1550" s="159"/>
      <c r="K1550" s="159"/>
      <c r="L1550" s="159"/>
      <c r="M1550" s="159"/>
      <c r="N1550" s="159"/>
      <c r="O1550" s="285"/>
      <c r="P1550" s="285"/>
      <c r="Q1550" s="285"/>
      <c r="R1550" s="285"/>
    </row>
    <row r="1551" spans="1:18" outlineLevel="1" x14ac:dyDescent="0.25">
      <c r="A1551" s="276">
        <f>ROW()</f>
        <v>1551</v>
      </c>
      <c r="B1551" s="403" t="s">
        <v>118</v>
      </c>
      <c r="C1551" s="1209"/>
      <c r="D1551" s="1200"/>
      <c r="E1551" s="1200"/>
      <c r="F1551" s="1200"/>
      <c r="G1551" s="1318"/>
      <c r="H1551" s="159"/>
      <c r="I1551" s="159"/>
      <c r="J1551" s="159"/>
      <c r="K1551" s="159"/>
      <c r="L1551" s="159"/>
      <c r="M1551" s="159"/>
      <c r="N1551" s="159"/>
      <c r="O1551" s="285"/>
      <c r="P1551" s="285"/>
      <c r="Q1551" s="285"/>
      <c r="R1551" s="285"/>
    </row>
    <row r="1552" spans="1:18" outlineLevel="1" x14ac:dyDescent="0.25">
      <c r="A1552" s="276">
        <f>ROW()</f>
        <v>1552</v>
      </c>
      <c r="B1552" s="403" t="s">
        <v>119</v>
      </c>
      <c r="C1552" s="1216">
        <v>0</v>
      </c>
      <c r="D1552" s="1199"/>
      <c r="E1552" s="1199"/>
      <c r="F1552" s="1199"/>
      <c r="G1552" s="1328"/>
      <c r="H1552" s="159"/>
      <c r="I1552" s="159"/>
      <c r="J1552" s="159"/>
      <c r="K1552" s="159"/>
      <c r="L1552" s="159"/>
      <c r="M1552" s="159"/>
      <c r="N1552" s="159"/>
      <c r="O1552" s="285"/>
      <c r="P1552" s="285"/>
      <c r="Q1552" s="285"/>
      <c r="R1552" s="285"/>
    </row>
    <row r="1553" spans="1:18" outlineLevel="1" x14ac:dyDescent="0.25">
      <c r="A1553" s="276">
        <f>ROW()</f>
        <v>1553</v>
      </c>
      <c r="B1553" s="403" t="s">
        <v>29</v>
      </c>
      <c r="C1553" s="1216">
        <v>0</v>
      </c>
      <c r="D1553" s="1199"/>
      <c r="E1553" s="1199"/>
      <c r="F1553" s="1199"/>
      <c r="G1553" s="1187" t="s">
        <v>30</v>
      </c>
      <c r="H1553" s="159"/>
      <c r="I1553" s="159"/>
      <c r="J1553" s="159"/>
      <c r="K1553" s="159"/>
      <c r="L1553" s="159"/>
      <c r="M1553" s="159"/>
      <c r="N1553" s="159"/>
      <c r="O1553" s="285"/>
      <c r="P1553" s="285"/>
      <c r="Q1553" s="285"/>
      <c r="R1553" s="285"/>
    </row>
    <row r="1554" spans="1:18" outlineLevel="1" x14ac:dyDescent="0.25">
      <c r="A1554" s="276">
        <f>ROW()</f>
        <v>1554</v>
      </c>
      <c r="B1554" s="403" t="s">
        <v>128</v>
      </c>
      <c r="C1554" s="1216">
        <v>1200</v>
      </c>
      <c r="D1554" s="1199"/>
      <c r="E1554" s="1199"/>
      <c r="F1554" s="1199"/>
      <c r="G1554" s="1187" t="s">
        <v>112</v>
      </c>
      <c r="H1554" s="159"/>
      <c r="I1554" s="159"/>
      <c r="J1554" s="159"/>
      <c r="K1554" s="159"/>
      <c r="L1554" s="159"/>
      <c r="M1554" s="159"/>
      <c r="N1554" s="159"/>
      <c r="O1554" s="285"/>
      <c r="P1554" s="285"/>
      <c r="Q1554" s="285"/>
      <c r="R1554" s="285"/>
    </row>
    <row r="1555" spans="1:18" outlineLevel="1" x14ac:dyDescent="0.25">
      <c r="A1555" s="276">
        <f>ROW()</f>
        <v>1555</v>
      </c>
      <c r="B1555" s="403" t="s">
        <v>113</v>
      </c>
      <c r="C1555" s="1216">
        <v>800</v>
      </c>
      <c r="D1555" s="1199"/>
      <c r="E1555" s="1199"/>
      <c r="F1555" s="1199"/>
      <c r="G1555" s="1187" t="s">
        <v>127</v>
      </c>
      <c r="H1555" s="159"/>
      <c r="I1555" s="159"/>
      <c r="J1555" s="159"/>
      <c r="K1555" s="159"/>
      <c r="L1555" s="159"/>
      <c r="M1555" s="159"/>
      <c r="N1555" s="159"/>
      <c r="O1555" s="285"/>
      <c r="P1555" s="285"/>
      <c r="Q1555" s="285"/>
      <c r="R1555" s="285"/>
    </row>
    <row r="1556" spans="1:18" outlineLevel="1" x14ac:dyDescent="0.25">
      <c r="A1556" s="276">
        <f>ROW()</f>
        <v>1556</v>
      </c>
      <c r="B1556" s="371" t="s">
        <v>53</v>
      </c>
      <c r="C1556" s="1217">
        <f>SUM(C1549:C1555)</f>
        <v>3500</v>
      </c>
      <c r="D1556" s="1201"/>
      <c r="E1556" s="1201"/>
      <c r="F1556" s="1201"/>
      <c r="G1556" s="1187"/>
      <c r="H1556" s="159"/>
      <c r="I1556" s="159"/>
      <c r="J1556" s="159"/>
      <c r="K1556" s="159"/>
      <c r="L1556" s="159"/>
      <c r="M1556" s="159"/>
      <c r="N1556" s="159"/>
      <c r="O1556" s="285"/>
      <c r="P1556" s="285"/>
      <c r="Q1556" s="285"/>
      <c r="R1556" s="285"/>
    </row>
    <row r="1557" spans="1:18" outlineLevel="1" x14ac:dyDescent="0.25">
      <c r="A1557" s="276">
        <f>ROW()</f>
        <v>1557</v>
      </c>
      <c r="B1557" s="407"/>
      <c r="C1557" s="1210"/>
      <c r="D1557" s="1202"/>
      <c r="E1557" s="1202"/>
      <c r="F1557" s="1202"/>
      <c r="G1557" s="1329"/>
      <c r="H1557" s="192"/>
      <c r="I1557" s="192"/>
      <c r="J1557" s="192"/>
      <c r="K1557" s="192"/>
      <c r="L1557" s="192"/>
      <c r="M1557" s="192"/>
      <c r="N1557" s="192"/>
      <c r="O1557" s="408"/>
      <c r="P1557" s="408"/>
      <c r="Q1557" s="408"/>
      <c r="R1557" s="408"/>
    </row>
    <row r="1558" spans="1:18" outlineLevel="1" x14ac:dyDescent="0.25">
      <c r="A1558" s="276">
        <f>ROW()</f>
        <v>1558</v>
      </c>
      <c r="B1558" s="371" t="s">
        <v>26</v>
      </c>
      <c r="C1558" s="1212"/>
      <c r="D1558" s="1205"/>
      <c r="E1558" s="1205"/>
      <c r="F1558" s="1205"/>
      <c r="G1558" s="159"/>
      <c r="H1558" s="159"/>
      <c r="I1558" s="159"/>
      <c r="J1558" s="159"/>
      <c r="K1558" s="159"/>
      <c r="L1558" s="159"/>
      <c r="M1558" s="159"/>
      <c r="N1558" s="159"/>
      <c r="O1558" s="285"/>
      <c r="P1558" s="285"/>
      <c r="Q1558" s="285"/>
      <c r="R1558" s="285"/>
    </row>
    <row r="1559" spans="1:18" outlineLevel="1" x14ac:dyDescent="0.25">
      <c r="A1559" s="276">
        <f>ROW()</f>
        <v>1559</v>
      </c>
      <c r="B1559" s="403" t="s">
        <v>116</v>
      </c>
      <c r="C1559" s="1216">
        <v>1000</v>
      </c>
      <c r="D1559" s="1199"/>
      <c r="E1559" s="1199"/>
      <c r="F1559" s="1199"/>
      <c r="G1559" s="159"/>
      <c r="H1559" s="159"/>
      <c r="I1559" s="159"/>
      <c r="J1559" s="159"/>
      <c r="K1559" s="159"/>
      <c r="L1559" s="159"/>
      <c r="M1559" s="159"/>
      <c r="N1559" s="159"/>
      <c r="O1559" s="285"/>
      <c r="P1559" s="285"/>
      <c r="Q1559" s="285"/>
      <c r="R1559" s="285"/>
    </row>
    <row r="1560" spans="1:18" outlineLevel="1" x14ac:dyDescent="0.25">
      <c r="A1560" s="276">
        <f>ROW()</f>
        <v>1560</v>
      </c>
      <c r="B1560" s="403" t="s">
        <v>117</v>
      </c>
      <c r="C1560" s="1216">
        <v>500</v>
      </c>
      <c r="D1560" s="1199"/>
      <c r="E1560" s="1199"/>
      <c r="F1560" s="1199"/>
      <c r="G1560" s="1317"/>
      <c r="H1560" s="159"/>
      <c r="I1560" s="159"/>
      <c r="J1560" s="159"/>
      <c r="K1560" s="159"/>
      <c r="L1560" s="159"/>
      <c r="M1560" s="159"/>
      <c r="N1560" s="159"/>
      <c r="O1560" s="285"/>
      <c r="P1560" s="285"/>
      <c r="Q1560" s="285"/>
      <c r="R1560" s="285"/>
    </row>
    <row r="1561" spans="1:18" outlineLevel="1" x14ac:dyDescent="0.25">
      <c r="A1561" s="276">
        <f>ROW()</f>
        <v>1561</v>
      </c>
      <c r="B1561" s="403" t="s">
        <v>118</v>
      </c>
      <c r="C1561" s="1209"/>
      <c r="D1561" s="1200"/>
      <c r="E1561" s="1200"/>
      <c r="F1561" s="1200"/>
      <c r="G1561" s="1318"/>
      <c r="H1561" s="159"/>
      <c r="I1561" s="159"/>
      <c r="J1561" s="159"/>
      <c r="K1561" s="159"/>
      <c r="L1561" s="159"/>
      <c r="M1561" s="159"/>
      <c r="N1561" s="159"/>
      <c r="O1561" s="285"/>
      <c r="P1561" s="285"/>
      <c r="Q1561" s="285"/>
      <c r="R1561" s="285"/>
    </row>
    <row r="1562" spans="1:18" outlineLevel="1" x14ac:dyDescent="0.25">
      <c r="A1562" s="276">
        <f>ROW()</f>
        <v>1562</v>
      </c>
      <c r="B1562" s="403" t="s">
        <v>119</v>
      </c>
      <c r="C1562" s="1216">
        <v>0</v>
      </c>
      <c r="D1562" s="1199"/>
      <c r="E1562" s="1199"/>
      <c r="F1562" s="1199"/>
      <c r="G1562" s="1328"/>
      <c r="H1562" s="159"/>
      <c r="I1562" s="159"/>
      <c r="J1562" s="159"/>
      <c r="K1562" s="159"/>
      <c r="L1562" s="159"/>
      <c r="M1562" s="159"/>
      <c r="N1562" s="159"/>
      <c r="O1562" s="285"/>
      <c r="P1562" s="285"/>
      <c r="Q1562" s="285"/>
      <c r="R1562" s="285"/>
    </row>
    <row r="1563" spans="1:18" outlineLevel="1" x14ac:dyDescent="0.25">
      <c r="A1563" s="276">
        <f>ROW()</f>
        <v>1563</v>
      </c>
      <c r="B1563" s="403" t="s">
        <v>29</v>
      </c>
      <c r="C1563" s="1216">
        <v>0</v>
      </c>
      <c r="D1563" s="1199"/>
      <c r="E1563" s="1199"/>
      <c r="F1563" s="1199"/>
      <c r="G1563" s="1187" t="s">
        <v>30</v>
      </c>
      <c r="H1563" s="159"/>
      <c r="I1563" s="159"/>
      <c r="J1563" s="159"/>
      <c r="K1563" s="159"/>
      <c r="L1563" s="159"/>
      <c r="M1563" s="159"/>
      <c r="N1563" s="159"/>
      <c r="O1563" s="285"/>
      <c r="P1563" s="285"/>
      <c r="Q1563" s="285"/>
      <c r="R1563" s="285"/>
    </row>
    <row r="1564" spans="1:18" outlineLevel="1" x14ac:dyDescent="0.25">
      <c r="A1564" s="276">
        <f>ROW()</f>
        <v>1564</v>
      </c>
      <c r="B1564" s="403" t="s">
        <v>128</v>
      </c>
      <c r="C1564" s="1216">
        <v>1200</v>
      </c>
      <c r="D1564" s="1199"/>
      <c r="E1564" s="1199"/>
      <c r="F1564" s="1199"/>
      <c r="G1564" s="1187" t="s">
        <v>112</v>
      </c>
      <c r="H1564" s="159"/>
      <c r="I1564" s="159"/>
      <c r="J1564" s="159"/>
      <c r="K1564" s="159"/>
      <c r="L1564" s="159"/>
      <c r="M1564" s="159"/>
      <c r="N1564" s="159"/>
      <c r="O1564" s="285"/>
      <c r="P1564" s="285"/>
      <c r="Q1564" s="285"/>
      <c r="R1564" s="285"/>
    </row>
    <row r="1565" spans="1:18" outlineLevel="1" x14ac:dyDescent="0.25">
      <c r="A1565" s="276">
        <f>ROW()</f>
        <v>1565</v>
      </c>
      <c r="B1565" s="403" t="s">
        <v>113</v>
      </c>
      <c r="C1565" s="1216">
        <v>800</v>
      </c>
      <c r="D1565" s="1199"/>
      <c r="E1565" s="1199"/>
      <c r="F1565" s="1199"/>
      <c r="G1565" s="1187" t="s">
        <v>127</v>
      </c>
      <c r="H1565" s="159"/>
      <c r="I1565" s="159"/>
      <c r="J1565" s="159"/>
      <c r="K1565" s="159"/>
      <c r="L1565" s="159"/>
      <c r="M1565" s="159"/>
      <c r="N1565" s="159"/>
      <c r="O1565" s="285"/>
      <c r="P1565" s="285"/>
      <c r="Q1565" s="285"/>
      <c r="R1565" s="285"/>
    </row>
    <row r="1566" spans="1:18" outlineLevel="1" x14ac:dyDescent="0.25">
      <c r="A1566" s="276">
        <f>ROW()</f>
        <v>1566</v>
      </c>
      <c r="B1566" s="371" t="s">
        <v>53</v>
      </c>
      <c r="C1566" s="581">
        <f>SUM(C1559:C1565)</f>
        <v>3500</v>
      </c>
      <c r="D1566" s="446"/>
      <c r="E1566" s="446"/>
      <c r="F1566" s="446"/>
      <c r="G1566" s="1187"/>
      <c r="H1566" s="159"/>
      <c r="I1566" s="159"/>
      <c r="J1566" s="159"/>
      <c r="K1566" s="159"/>
      <c r="L1566" s="159"/>
      <c r="M1566" s="159"/>
      <c r="N1566" s="159"/>
      <c r="O1566" s="285"/>
      <c r="P1566" s="285"/>
      <c r="Q1566" s="285"/>
      <c r="R1566" s="285"/>
    </row>
    <row r="1567" spans="1:18" outlineLevel="1" x14ac:dyDescent="0.25">
      <c r="A1567" s="276">
        <f>ROW()</f>
        <v>1567</v>
      </c>
      <c r="B1567" s="407"/>
      <c r="C1567" s="578"/>
      <c r="D1567" s="447"/>
      <c r="E1567" s="447"/>
      <c r="F1567" s="447"/>
      <c r="G1567" s="192"/>
      <c r="H1567" s="192"/>
      <c r="I1567" s="192"/>
      <c r="J1567" s="192"/>
      <c r="K1567" s="192"/>
      <c r="L1567" s="192"/>
      <c r="M1567" s="192"/>
      <c r="N1567" s="192"/>
      <c r="O1567" s="408"/>
      <c r="P1567" s="408"/>
      <c r="Q1567" s="408"/>
      <c r="R1567" s="408"/>
    </row>
    <row r="1568" spans="1:18" s="221" customFormat="1" outlineLevel="1" x14ac:dyDescent="0.25">
      <c r="A1568" s="276">
        <f>ROW()</f>
        <v>1568</v>
      </c>
      <c r="B1568" s="282"/>
      <c r="C1568" s="564"/>
      <c r="D1568" s="232"/>
      <c r="E1568" s="232"/>
      <c r="F1568" s="232"/>
      <c r="G1568" s="168"/>
      <c r="H1568" s="168"/>
      <c r="I1568" s="168"/>
      <c r="J1568" s="168"/>
      <c r="K1568" s="168"/>
      <c r="L1568" s="168"/>
      <c r="M1568" s="168"/>
      <c r="N1568" s="168"/>
      <c r="O1568" s="282"/>
      <c r="P1568" s="282"/>
      <c r="Q1568" s="282"/>
      <c r="R1568" s="282"/>
    </row>
    <row r="1569" spans="1:18" s="221" customFormat="1" outlineLevel="1" x14ac:dyDescent="0.25">
      <c r="A1569" s="276">
        <f>ROW()</f>
        <v>1569</v>
      </c>
      <c r="B1569" s="282"/>
      <c r="C1569" s="564"/>
      <c r="D1569" s="232"/>
      <c r="E1569" s="232"/>
      <c r="F1569" s="232"/>
      <c r="G1569" s="168"/>
      <c r="H1569" s="168"/>
      <c r="I1569" s="168"/>
      <c r="J1569" s="168"/>
      <c r="K1569" s="168"/>
      <c r="L1569" s="168"/>
      <c r="M1569" s="168"/>
      <c r="N1569" s="168"/>
      <c r="O1569" s="282"/>
      <c r="P1569" s="282"/>
      <c r="Q1569" s="282"/>
      <c r="R1569" s="282"/>
    </row>
    <row r="1570" spans="1:18" outlineLevel="1" x14ac:dyDescent="0.25">
      <c r="A1570" s="276">
        <f>ROW()</f>
        <v>1570</v>
      </c>
      <c r="C1570" s="573" t="s">
        <v>166</v>
      </c>
      <c r="D1570" s="464" t="s">
        <v>931</v>
      </c>
      <c r="E1570" s="464"/>
      <c r="F1570" s="464"/>
      <c r="G1570" s="168"/>
      <c r="H1570" s="150"/>
      <c r="I1570" s="150"/>
      <c r="J1570" s="150"/>
      <c r="K1570" s="141"/>
      <c r="L1570" s="141"/>
      <c r="M1570" s="141"/>
      <c r="N1570" s="141"/>
    </row>
    <row r="1571" spans="1:18" outlineLevel="1" x14ac:dyDescent="0.25">
      <c r="A1571" s="276">
        <f>ROW()</f>
        <v>1571</v>
      </c>
      <c r="B1571" s="217" t="s">
        <v>27</v>
      </c>
      <c r="C1571" s="1411" t="s">
        <v>49</v>
      </c>
      <c r="D1571" s="1412"/>
      <c r="E1571" s="1413"/>
      <c r="F1571" s="1413"/>
      <c r="G1571" s="141"/>
      <c r="H1571" s="1331">
        <f t="shared" ref="H1571:H1579" si="512">IF(AND($C1571="yes",D1571=1),$C$1479,0)</f>
        <v>0</v>
      </c>
      <c r="I1571" s="1331">
        <f t="shared" ref="I1571:I1579" si="513">IF(AND($C1571="yes",D1571=2),$C$1479,H1571)</f>
        <v>0</v>
      </c>
      <c r="J1571" s="1331">
        <f t="shared" ref="J1571:J1579" si="514">IF(AND($C1571="yes",D1571=3),$C$1479,I1571)</f>
        <v>0</v>
      </c>
      <c r="K1571" s="1331">
        <f t="shared" ref="K1571:K1579" si="515">IF(AND($C1571="yes",D1571=4),$C$1479,J1571)</f>
        <v>0</v>
      </c>
      <c r="L1571" s="1331">
        <f t="shared" ref="L1571:L1579" si="516">IF(AND($C1571="yes",D1571=5),$C$1479,K1571)</f>
        <v>0</v>
      </c>
      <c r="M1571" s="1331">
        <f t="shared" ref="M1571:M1579" si="517">IF(AND($C1571="yes",D1571=6),$C$1479,L1571)</f>
        <v>0</v>
      </c>
      <c r="N1571" s="141"/>
    </row>
    <row r="1572" spans="1:18" outlineLevel="1" x14ac:dyDescent="0.25">
      <c r="A1572" s="276">
        <f>ROW()</f>
        <v>1572</v>
      </c>
      <c r="B1572" s="217" t="s">
        <v>28</v>
      </c>
      <c r="C1572" s="1411" t="s">
        <v>49</v>
      </c>
      <c r="D1572" s="1412"/>
      <c r="E1572" s="1413"/>
      <c r="F1572" s="1413"/>
      <c r="G1572" s="141"/>
      <c r="H1572" s="195">
        <f t="shared" si="512"/>
        <v>0</v>
      </c>
      <c r="I1572" s="195">
        <f t="shared" si="513"/>
        <v>0</v>
      </c>
      <c r="J1572" s="195">
        <f t="shared" si="514"/>
        <v>0</v>
      </c>
      <c r="K1572" s="195">
        <f t="shared" si="515"/>
        <v>0</v>
      </c>
      <c r="L1572" s="195">
        <f t="shared" si="516"/>
        <v>0</v>
      </c>
      <c r="M1572" s="195">
        <f t="shared" si="517"/>
        <v>0</v>
      </c>
      <c r="N1572" s="141"/>
    </row>
    <row r="1573" spans="1:18" outlineLevel="1" x14ac:dyDescent="0.25">
      <c r="A1573" s="276">
        <f>ROW()</f>
        <v>1573</v>
      </c>
      <c r="B1573" s="217" t="s">
        <v>2</v>
      </c>
      <c r="C1573" s="1411" t="s">
        <v>49</v>
      </c>
      <c r="D1573" s="1412"/>
      <c r="E1573" s="1413"/>
      <c r="F1573" s="1413"/>
      <c r="G1573" s="141"/>
      <c r="H1573" s="195">
        <f t="shared" si="512"/>
        <v>0</v>
      </c>
      <c r="I1573" s="195">
        <f t="shared" si="513"/>
        <v>0</v>
      </c>
      <c r="J1573" s="195">
        <f t="shared" si="514"/>
        <v>0</v>
      </c>
      <c r="K1573" s="195">
        <f t="shared" si="515"/>
        <v>0</v>
      </c>
      <c r="L1573" s="195">
        <f t="shared" si="516"/>
        <v>0</v>
      </c>
      <c r="M1573" s="195">
        <f t="shared" si="517"/>
        <v>0</v>
      </c>
      <c r="N1573" s="141"/>
    </row>
    <row r="1574" spans="1:18" outlineLevel="1" x14ac:dyDescent="0.25">
      <c r="A1574" s="276">
        <f>ROW()</f>
        <v>1574</v>
      </c>
      <c r="B1574" s="217" t="s">
        <v>17</v>
      </c>
      <c r="C1574" s="1411" t="s">
        <v>49</v>
      </c>
      <c r="D1574" s="1412"/>
      <c r="E1574" s="1413"/>
      <c r="F1574" s="1413"/>
      <c r="G1574" s="141"/>
      <c r="H1574" s="195">
        <f t="shared" si="512"/>
        <v>0</v>
      </c>
      <c r="I1574" s="195">
        <f t="shared" si="513"/>
        <v>0</v>
      </c>
      <c r="J1574" s="195">
        <f t="shared" si="514"/>
        <v>0</v>
      </c>
      <c r="K1574" s="195">
        <f t="shared" si="515"/>
        <v>0</v>
      </c>
      <c r="L1574" s="195">
        <f t="shared" si="516"/>
        <v>0</v>
      </c>
      <c r="M1574" s="195">
        <f t="shared" si="517"/>
        <v>0</v>
      </c>
      <c r="N1574" s="141"/>
    </row>
    <row r="1575" spans="1:18" outlineLevel="1" x14ac:dyDescent="0.25">
      <c r="A1575" s="276">
        <f>ROW()</f>
        <v>1575</v>
      </c>
      <c r="B1575" s="217" t="s">
        <v>18</v>
      </c>
      <c r="C1575" s="1411" t="s">
        <v>49</v>
      </c>
      <c r="D1575" s="1412">
        <v>0</v>
      </c>
      <c r="E1575" s="1413"/>
      <c r="F1575" s="1413"/>
      <c r="G1575" s="141"/>
      <c r="H1575" s="195">
        <f t="shared" si="512"/>
        <v>0</v>
      </c>
      <c r="I1575" s="195">
        <f t="shared" si="513"/>
        <v>0</v>
      </c>
      <c r="J1575" s="195">
        <f t="shared" si="514"/>
        <v>0</v>
      </c>
      <c r="K1575" s="195">
        <f t="shared" si="515"/>
        <v>0</v>
      </c>
      <c r="L1575" s="195">
        <f t="shared" si="516"/>
        <v>0</v>
      </c>
      <c r="M1575" s="195">
        <f t="shared" si="517"/>
        <v>0</v>
      </c>
      <c r="N1575" s="141"/>
    </row>
    <row r="1576" spans="1:18" outlineLevel="1" x14ac:dyDescent="0.25">
      <c r="A1576" s="276">
        <f>ROW()</f>
        <v>1576</v>
      </c>
      <c r="B1576" s="217" t="s">
        <v>77</v>
      </c>
      <c r="C1576" s="1411" t="s">
        <v>49</v>
      </c>
      <c r="D1576" s="1412"/>
      <c r="E1576" s="1413"/>
      <c r="F1576" s="1413"/>
      <c r="G1576" s="141"/>
      <c r="H1576" s="195">
        <f t="shared" si="512"/>
        <v>0</v>
      </c>
      <c r="I1576" s="195">
        <f t="shared" si="513"/>
        <v>0</v>
      </c>
      <c r="J1576" s="195">
        <f t="shared" si="514"/>
        <v>0</v>
      </c>
      <c r="K1576" s="195">
        <f t="shared" si="515"/>
        <v>0</v>
      </c>
      <c r="L1576" s="195">
        <f t="shared" si="516"/>
        <v>0</v>
      </c>
      <c r="M1576" s="195">
        <f t="shared" si="517"/>
        <v>0</v>
      </c>
      <c r="N1576" s="141"/>
    </row>
    <row r="1577" spans="1:18" outlineLevel="1" x14ac:dyDescent="0.25">
      <c r="A1577" s="276">
        <f>ROW()</f>
        <v>1577</v>
      </c>
      <c r="B1577" s="217" t="s">
        <v>31</v>
      </c>
      <c r="C1577" s="1411" t="s">
        <v>49</v>
      </c>
      <c r="D1577" s="1412"/>
      <c r="E1577" s="1413"/>
      <c r="F1577" s="1413"/>
      <c r="G1577" s="141"/>
      <c r="H1577" s="195">
        <f t="shared" si="512"/>
        <v>0</v>
      </c>
      <c r="I1577" s="195">
        <f t="shared" si="513"/>
        <v>0</v>
      </c>
      <c r="J1577" s="195">
        <f t="shared" si="514"/>
        <v>0</v>
      </c>
      <c r="K1577" s="195">
        <f t="shared" si="515"/>
        <v>0</v>
      </c>
      <c r="L1577" s="195">
        <f t="shared" si="516"/>
        <v>0</v>
      </c>
      <c r="M1577" s="195">
        <f t="shared" si="517"/>
        <v>0</v>
      </c>
      <c r="N1577" s="141"/>
    </row>
    <row r="1578" spans="1:18" outlineLevel="1" x14ac:dyDescent="0.25">
      <c r="A1578" s="276">
        <f>ROW()</f>
        <v>1578</v>
      </c>
      <c r="B1578" s="217" t="s">
        <v>139</v>
      </c>
      <c r="C1578" s="1411" t="s">
        <v>49</v>
      </c>
      <c r="D1578" s="1412"/>
      <c r="E1578" s="1413"/>
      <c r="F1578" s="1413"/>
      <c r="G1578" s="141"/>
      <c r="H1578" s="195">
        <f t="shared" si="512"/>
        <v>0</v>
      </c>
      <c r="I1578" s="195">
        <f t="shared" si="513"/>
        <v>0</v>
      </c>
      <c r="J1578" s="195">
        <f t="shared" si="514"/>
        <v>0</v>
      </c>
      <c r="K1578" s="195">
        <f t="shared" si="515"/>
        <v>0</v>
      </c>
      <c r="L1578" s="195">
        <f t="shared" si="516"/>
        <v>0</v>
      </c>
      <c r="M1578" s="195">
        <f t="shared" si="517"/>
        <v>0</v>
      </c>
      <c r="N1578" s="141"/>
    </row>
    <row r="1579" spans="1:18" outlineLevel="1" x14ac:dyDescent="0.25">
      <c r="A1579" s="276">
        <f>ROW()</f>
        <v>1579</v>
      </c>
      <c r="B1579" s="217" t="s">
        <v>140</v>
      </c>
      <c r="C1579" s="1411" t="s">
        <v>49</v>
      </c>
      <c r="D1579" s="1412"/>
      <c r="E1579" s="1413"/>
      <c r="F1579" s="1413"/>
      <c r="G1579" s="141"/>
      <c r="H1579" s="195">
        <f t="shared" si="512"/>
        <v>0</v>
      </c>
      <c r="I1579" s="195">
        <f t="shared" si="513"/>
        <v>0</v>
      </c>
      <c r="J1579" s="195">
        <f t="shared" si="514"/>
        <v>0</v>
      </c>
      <c r="K1579" s="195">
        <f t="shared" si="515"/>
        <v>0</v>
      </c>
      <c r="L1579" s="195">
        <f t="shared" si="516"/>
        <v>0</v>
      </c>
      <c r="M1579" s="195">
        <f t="shared" si="517"/>
        <v>0</v>
      </c>
      <c r="N1579" s="141"/>
    </row>
    <row r="1580" spans="1:18" ht="15.75" thickBot="1" x14ac:dyDescent="0.3">
      <c r="A1580" s="276">
        <f>ROW()</f>
        <v>1580</v>
      </c>
      <c r="C1580" s="568"/>
      <c r="G1580" s="141"/>
      <c r="H1580" s="141"/>
      <c r="I1580" s="141"/>
      <c r="J1580" s="141"/>
      <c r="K1580" s="141"/>
      <c r="L1580" s="141"/>
      <c r="M1580" s="141"/>
      <c r="N1580" s="141"/>
    </row>
    <row r="1581" spans="1:18" ht="15.75" thickBot="1" x14ac:dyDescent="0.3">
      <c r="A1581" s="276">
        <f>ROW()</f>
        <v>1581</v>
      </c>
      <c r="B1581" s="381" t="s">
        <v>57</v>
      </c>
      <c r="C1581" s="572">
        <f>SUM(G1581:M1581)</f>
        <v>0</v>
      </c>
      <c r="D1581" s="436"/>
      <c r="E1581" s="436"/>
      <c r="F1581" s="436"/>
      <c r="G1581" s="1332">
        <f t="shared" ref="G1581:M1581" si="518">SUM(G1571:G1579)</f>
        <v>0</v>
      </c>
      <c r="H1581" s="1332">
        <f t="shared" si="518"/>
        <v>0</v>
      </c>
      <c r="I1581" s="1332">
        <f t="shared" si="518"/>
        <v>0</v>
      </c>
      <c r="J1581" s="1332">
        <f t="shared" si="518"/>
        <v>0</v>
      </c>
      <c r="K1581" s="1332">
        <f t="shared" si="518"/>
        <v>0</v>
      </c>
      <c r="L1581" s="1332">
        <f t="shared" si="518"/>
        <v>0</v>
      </c>
      <c r="M1581" s="1332">
        <f t="shared" si="518"/>
        <v>0</v>
      </c>
      <c r="N1581" s="141"/>
    </row>
    <row r="1582" spans="1:18" x14ac:dyDescent="0.25">
      <c r="A1582" s="276">
        <f>ROW()</f>
        <v>1582</v>
      </c>
      <c r="G1582" s="141"/>
      <c r="H1582" s="150"/>
      <c r="I1582" s="150"/>
      <c r="J1582" s="150"/>
      <c r="K1582" s="141"/>
      <c r="L1582" s="141"/>
      <c r="M1582" s="141"/>
      <c r="N1582" s="141"/>
    </row>
    <row r="1583" spans="1:18" x14ac:dyDescent="0.25">
      <c r="A1583" s="276">
        <f>ROW()</f>
        <v>1583</v>
      </c>
      <c r="G1583" s="141"/>
      <c r="H1583" s="150"/>
      <c r="I1583" s="150"/>
      <c r="J1583" s="150"/>
      <c r="K1583" s="141"/>
      <c r="L1583" s="141"/>
      <c r="M1583" s="141"/>
      <c r="N1583" s="141"/>
    </row>
    <row r="1584" spans="1:18" ht="15.75" thickBot="1" x14ac:dyDescent="0.3">
      <c r="A1584" s="276">
        <f>ROW()</f>
        <v>1584</v>
      </c>
      <c r="G1584" s="141"/>
      <c r="H1584" s="150"/>
      <c r="I1584" s="150"/>
      <c r="J1584" s="150"/>
      <c r="K1584" s="141"/>
      <c r="L1584" s="141"/>
      <c r="M1584" s="141"/>
      <c r="N1584" s="141"/>
    </row>
    <row r="1585" spans="1:14" s="223" customFormat="1" ht="15.75" thickBot="1" x14ac:dyDescent="0.3">
      <c r="A1585" s="276">
        <f>ROW()</f>
        <v>1585</v>
      </c>
      <c r="B1585" s="374" t="s">
        <v>63</v>
      </c>
      <c r="C1585" s="765">
        <f>SUM(G1585:M1585)</f>
        <v>25387009.159721613</v>
      </c>
      <c r="D1585" s="765"/>
      <c r="E1585" s="765"/>
      <c r="F1585" s="765"/>
      <c r="G1585" s="1333">
        <f t="shared" ref="G1585:M1585" si="519">G1581+G1464+G1437+G1372+G1370+G1368+G1343+G421</f>
        <v>0</v>
      </c>
      <c r="H1585" s="1333">
        <f t="shared" si="519"/>
        <v>1689452.0660000001</v>
      </c>
      <c r="I1585" s="1333">
        <f t="shared" si="519"/>
        <v>2976187.6130650002</v>
      </c>
      <c r="J1585" s="1333">
        <f t="shared" si="519"/>
        <v>4006622.7377712494</v>
      </c>
      <c r="K1585" s="1333">
        <f t="shared" si="519"/>
        <v>5003219.532214256</v>
      </c>
      <c r="L1585" s="1333">
        <f t="shared" si="519"/>
        <v>5591676.659200713</v>
      </c>
      <c r="M1585" s="1333">
        <f t="shared" si="519"/>
        <v>6119850.5514703896</v>
      </c>
      <c r="N1585" s="130"/>
    </row>
    <row r="1586" spans="1:14" x14ac:dyDescent="0.25">
      <c r="A1586" s="276">
        <f>ROW()</f>
        <v>1586</v>
      </c>
      <c r="G1586" s="141"/>
      <c r="H1586" s="141"/>
      <c r="I1586" s="141"/>
      <c r="J1586" s="141"/>
      <c r="K1586" s="141"/>
      <c r="L1586" s="141"/>
      <c r="M1586" s="141"/>
      <c r="N1586" s="141"/>
    </row>
    <row r="1587" spans="1:14" ht="15.75" thickBot="1" x14ac:dyDescent="0.3">
      <c r="A1587" s="276">
        <f>ROW()</f>
        <v>1587</v>
      </c>
      <c r="G1587" s="141"/>
      <c r="H1587" s="141"/>
      <c r="I1587" s="1334"/>
      <c r="J1587" s="141"/>
      <c r="K1587" s="141"/>
      <c r="L1587" s="141"/>
      <c r="M1587" s="141"/>
      <c r="N1587" s="141"/>
    </row>
    <row r="1588" spans="1:14" ht="15.75" thickBot="1" x14ac:dyDescent="0.3">
      <c r="A1588" s="276">
        <f>ROW()</f>
        <v>1588</v>
      </c>
      <c r="B1588" s="766" t="s">
        <v>745</v>
      </c>
      <c r="C1588" s="767">
        <f>SUM(G1588:M1588)</f>
        <v>20792591.309721611</v>
      </c>
      <c r="D1588" s="768"/>
      <c r="E1588" s="768"/>
      <c r="F1588" s="768"/>
      <c r="G1588" s="1335">
        <f>'Enrol Staff &amp; Exp'!G421+'Enrol Staff &amp; Exp'!G1343+'Enrol Staff &amp; Exp'!G1368+'Enrol Staff &amp; Exp'!G1370+'Enrol Staff &amp; Exp'!G1372</f>
        <v>0</v>
      </c>
      <c r="H1588" s="1335">
        <f>'Enrol Staff &amp; Exp'!H421+'Enrol Staff &amp; Exp'!H1343+'Enrol Staff &amp; Exp'!H1368+'Enrol Staff &amp; Exp'!H1370+'Enrol Staff &amp; Exp'!H1372</f>
        <v>1306853.0660000001</v>
      </c>
      <c r="I1588" s="1335">
        <f>'Enrol Staff &amp; Exp'!I421+'Enrol Staff &amp; Exp'!I1343+'Enrol Staff &amp; Exp'!I1368+'Enrol Staff &amp; Exp'!I1370+'Enrol Staff &amp; Exp'!I1372</f>
        <v>2388695.6130650002</v>
      </c>
      <c r="J1588" s="1335">
        <f>'Enrol Staff &amp; Exp'!J421+'Enrol Staff &amp; Exp'!J1343+'Enrol Staff &amp; Exp'!J1368+'Enrol Staff &amp; Exp'!J1370+'Enrol Staff &amp; Exp'!J1372</f>
        <v>3212374.7377712494</v>
      </c>
      <c r="K1588" s="1335">
        <f>'Enrol Staff &amp; Exp'!K421+'Enrol Staff &amp; Exp'!K1343+'Enrol Staff &amp; Exp'!K1368+'Enrol Staff &amp; Exp'!K1370+'Enrol Staff &amp; Exp'!K1372</f>
        <v>4120165.0322142565</v>
      </c>
      <c r="L1588" s="1335">
        <f>'Enrol Staff &amp; Exp'!L421+'Enrol Staff &amp; Exp'!L1343+'Enrol Staff &amp; Exp'!L1368+'Enrol Staff &amp; Exp'!L1370+'Enrol Staff &amp; Exp'!L1372</f>
        <v>4647568.4842007132</v>
      </c>
      <c r="M1588" s="1335">
        <f>'Enrol Staff &amp; Exp'!M421+'Enrol Staff &amp; Exp'!M1343+'Enrol Staff &amp; Exp'!M1368+'Enrol Staff &amp; Exp'!M1370+'Enrol Staff &amp; Exp'!M1372</f>
        <v>5116934.3764703898</v>
      </c>
      <c r="N1588" s="141"/>
    </row>
    <row r="1589" spans="1:14" x14ac:dyDescent="0.25">
      <c r="B1589" s="223"/>
      <c r="D1589" s="762"/>
      <c r="G1589" s="1336"/>
      <c r="H1589" s="1336"/>
      <c r="I1589" s="1336"/>
      <c r="J1589" s="1336"/>
      <c r="K1589" s="1336"/>
      <c r="L1589" s="1336"/>
      <c r="M1589" s="1336"/>
      <c r="N1589" s="141"/>
    </row>
    <row r="1590" spans="1:14" x14ac:dyDescent="0.25">
      <c r="B1590" s="697" t="s">
        <v>761</v>
      </c>
      <c r="C1590" s="275"/>
      <c r="D1590" s="763"/>
      <c r="E1590" s="275"/>
      <c r="F1590" s="275"/>
      <c r="G1590" s="1337"/>
      <c r="H1590" s="1337"/>
      <c r="I1590" s="1337"/>
      <c r="J1590" s="1337"/>
      <c r="K1590" s="1337"/>
      <c r="L1590" s="1337"/>
      <c r="M1590" s="1337"/>
      <c r="N1590" s="141"/>
    </row>
    <row r="1591" spans="1:14" x14ac:dyDescent="0.25">
      <c r="B1591" s="217" t="s">
        <v>742</v>
      </c>
      <c r="G1591" s="1338">
        <f t="shared" ref="G1591:M1591" si="520">+G1585-G1588</f>
        <v>0</v>
      </c>
      <c r="H1591" s="1338">
        <f t="shared" si="520"/>
        <v>382599</v>
      </c>
      <c r="I1591" s="1338">
        <f t="shared" si="520"/>
        <v>587492</v>
      </c>
      <c r="J1591" s="1338">
        <f t="shared" si="520"/>
        <v>794248</v>
      </c>
      <c r="K1591" s="1338">
        <f t="shared" si="520"/>
        <v>883054.49999999953</v>
      </c>
      <c r="L1591" s="1338">
        <f t="shared" si="520"/>
        <v>944108.17499999981</v>
      </c>
      <c r="M1591" s="1338">
        <f t="shared" si="520"/>
        <v>1002916.1749999998</v>
      </c>
      <c r="N1591" s="141"/>
    </row>
    <row r="1592" spans="1:14" x14ac:dyDescent="0.25">
      <c r="B1592" s="217" t="s">
        <v>743</v>
      </c>
      <c r="G1592" s="451">
        <f t="shared" ref="G1592:M1592" si="521">+G1437</f>
        <v>0</v>
      </c>
      <c r="H1592" s="451">
        <f t="shared" si="521"/>
        <v>382599</v>
      </c>
      <c r="I1592" s="451">
        <f t="shared" si="521"/>
        <v>587492</v>
      </c>
      <c r="J1592" s="451">
        <f t="shared" si="521"/>
        <v>794248</v>
      </c>
      <c r="K1592" s="451">
        <f t="shared" si="521"/>
        <v>883054.5</v>
      </c>
      <c r="L1592" s="451">
        <f t="shared" si="521"/>
        <v>944108.17500000005</v>
      </c>
      <c r="M1592" s="451">
        <f t="shared" si="521"/>
        <v>1002916.175</v>
      </c>
      <c r="N1592" s="141"/>
    </row>
    <row r="1593" spans="1:14" x14ac:dyDescent="0.25">
      <c r="B1593" s="217" t="s">
        <v>128</v>
      </c>
      <c r="G1593" s="1339">
        <f t="shared" ref="G1593:M1593" si="522">+G1464</f>
        <v>0</v>
      </c>
      <c r="H1593" s="1339">
        <f t="shared" si="522"/>
        <v>0</v>
      </c>
      <c r="I1593" s="1339">
        <f t="shared" si="522"/>
        <v>0</v>
      </c>
      <c r="J1593" s="1339">
        <f t="shared" si="522"/>
        <v>0</v>
      </c>
      <c r="K1593" s="1339">
        <f t="shared" si="522"/>
        <v>0</v>
      </c>
      <c r="L1593" s="1339">
        <f t="shared" si="522"/>
        <v>0</v>
      </c>
      <c r="M1593" s="1339">
        <f t="shared" si="522"/>
        <v>0</v>
      </c>
      <c r="N1593" s="1334"/>
    </row>
    <row r="1594" spans="1:14" x14ac:dyDescent="0.25">
      <c r="G1594" s="451">
        <f t="shared" ref="G1594:M1594" si="523">+G1591-G1592</f>
        <v>0</v>
      </c>
      <c r="H1594" s="451">
        <f t="shared" si="523"/>
        <v>0</v>
      </c>
      <c r="I1594" s="451">
        <f t="shared" si="523"/>
        <v>0</v>
      </c>
      <c r="J1594" s="451">
        <f t="shared" si="523"/>
        <v>0</v>
      </c>
      <c r="K1594" s="451">
        <f t="shared" si="523"/>
        <v>0</v>
      </c>
      <c r="L1594" s="451">
        <f t="shared" si="523"/>
        <v>0</v>
      </c>
      <c r="M1594" s="451">
        <f t="shared" si="523"/>
        <v>0</v>
      </c>
      <c r="N1594" s="141"/>
    </row>
    <row r="1595" spans="1:14" ht="15.75" thickBot="1" x14ac:dyDescent="0.3">
      <c r="B1595" s="764" t="s">
        <v>744</v>
      </c>
      <c r="C1595" s="764"/>
      <c r="D1595" s="764"/>
      <c r="E1595" s="764"/>
      <c r="F1595" s="764"/>
      <c r="G1595" s="1340">
        <f t="shared" ref="G1595:M1595" si="524">+G1593-G1594</f>
        <v>0</v>
      </c>
      <c r="H1595" s="1340">
        <f t="shared" si="524"/>
        <v>0</v>
      </c>
      <c r="I1595" s="1340">
        <f t="shared" si="524"/>
        <v>0</v>
      </c>
      <c r="J1595" s="1340">
        <f t="shared" si="524"/>
        <v>0</v>
      </c>
      <c r="K1595" s="1340">
        <f t="shared" si="524"/>
        <v>0</v>
      </c>
      <c r="L1595" s="1340">
        <f t="shared" si="524"/>
        <v>0</v>
      </c>
      <c r="M1595" s="1340">
        <f t="shared" si="524"/>
        <v>0</v>
      </c>
      <c r="N1595" s="141"/>
    </row>
    <row r="1596" spans="1:14" ht="15.75" thickTop="1" x14ac:dyDescent="0.25"/>
  </sheetData>
  <sheetProtection algorithmName="SHA-512" hashValue="7pE+yaPp2DV/eAowViFAQ5ZrPow90X/XjXKSbFNq1RYcPhDpTGwt4w7EYQj+FefxEtv9BWxd9FUgFSB5l4QJEg==" saltValue="Enm0a38YEurNCxHOGJcVcA==" spinCount="100000" sheet="1" objects="1" scenarios="1" selectLockedCells="1"/>
  <protectedRanges>
    <protectedRange sqref="C1350:D1366 G1361:M1361 G1365:M1365 G1349:M1349 G1353:M1353 G1357:M1357" name="Part Time Employees"/>
    <protectedRange sqref="C1379:C1416" name="General Operating Expenses"/>
    <protectedRange sqref="C84:C97 C105:F108 G98" name="Payroll Tax and Benefits"/>
    <protectedRange sqref="D57 C48:C57 C45:C46 E45:F59" name="Government Funding"/>
    <protectedRange sqref="H33:M33 G36:M43" name="Title I and SPED"/>
    <protectedRange sqref="G17:M30 G15:G16" name="Student Input"/>
    <protectedRange sqref="G68:M74" name="Other Revenues"/>
    <protectedRange sqref="G114:M118 C131:C139 C155:C163 C143:C151" name="Administrator Inputs"/>
    <protectedRange sqref="G123:M126" name="Office Staff Inputs"/>
    <protectedRange sqref="B131:B139 B155 D155 B143:B151 G155:M163 D131:D139 G131:M139 G143:M151 D143:D151" name="Specialists and Electives"/>
    <protectedRange sqref="C47" name="Government Funding_1"/>
    <protectedRange sqref="B114:B118" name="Administrator Inputs_1"/>
    <protectedRange sqref="D114:F118" name="Administrator Inputs_2"/>
    <protectedRange sqref="C114:C118" name="Teachers_1"/>
    <protectedRange sqref="B123:B125" name="Office Staff Inputs_2"/>
    <protectedRange sqref="D123:F125 E131:F133 E143:F145" name="Office Staff Inputs_3"/>
    <protectedRange sqref="C123:C125" name="Teachers_3"/>
    <protectedRange sqref="E172:F174 F176:F180 F182:F186 F188:F192 F194:F198 F200:F204 F206:F210 F212:F216 E223:F223 F225:F229 F231:F235 F237:F241 F243:F247 F249:F253 F255:F259 F261:F265 F218:F222" name="Teachers_4"/>
    <protectedRange sqref="H15:M15" name="Student Input_1"/>
    <protectedRange sqref="H16:M16" name="Student Input_1_1"/>
  </protectedRanges>
  <phoneticPr fontId="7" type="noConversion"/>
  <conditionalFormatting sqref="H37:M37 H39:M39 H43:M43 H41:M41">
    <cfRule type="cellIs" dxfId="51" priority="125" stopIfTrue="1" operator="equal">
      <formula>0</formula>
    </cfRule>
  </conditionalFormatting>
  <conditionalFormatting sqref="I166:M166">
    <cfRule type="cellIs" dxfId="50" priority="139" stopIfTrue="1" operator="equal">
      <formula>0</formula>
    </cfRule>
  </conditionalFormatting>
  <conditionalFormatting sqref="B18:F30">
    <cfRule type="expression" dxfId="49" priority="150" stopIfTrue="1">
      <formula>MOD(ROW(),2)=0</formula>
    </cfRule>
  </conditionalFormatting>
  <conditionalFormatting sqref="B36:F43">
    <cfRule type="expression" dxfId="48" priority="151" stopIfTrue="1">
      <formula>MOD(ROW(),2)=0</formula>
    </cfRule>
  </conditionalFormatting>
  <conditionalFormatting sqref="I140:M140">
    <cfRule type="cellIs" dxfId="47" priority="99" stopIfTrue="1" operator="equal">
      <formula>0</formula>
    </cfRule>
  </conditionalFormatting>
  <conditionalFormatting sqref="C13:F13">
    <cfRule type="expression" dxfId="46" priority="152" stopIfTrue="1">
      <formula>MOD(ROW(),2)=0</formula>
    </cfRule>
  </conditionalFormatting>
  <conditionalFormatting sqref="I152:M152">
    <cfRule type="cellIs" dxfId="45" priority="96" stopIfTrue="1" operator="equal">
      <formula>0</formula>
    </cfRule>
  </conditionalFormatting>
  <conditionalFormatting sqref="I164:M164">
    <cfRule type="cellIs" dxfId="44" priority="95" stopIfTrue="1" operator="equal">
      <formula>0</formula>
    </cfRule>
  </conditionalFormatting>
  <conditionalFormatting sqref="H99:M103">
    <cfRule type="cellIs" dxfId="43" priority="162" stopIfTrue="1" operator="equal">
      <formula>0</formula>
    </cfRule>
  </conditionalFormatting>
  <conditionalFormatting sqref="G114:M118">
    <cfRule type="cellIs" dxfId="42" priority="163" stopIfTrue="1" operator="equal">
      <formula>0</formula>
    </cfRule>
  </conditionalFormatting>
  <conditionalFormatting sqref="G120:M120">
    <cfRule type="cellIs" dxfId="41" priority="164" stopIfTrue="1" operator="equal">
      <formula>0</formula>
    </cfRule>
  </conditionalFormatting>
  <conditionalFormatting sqref="G123:M126">
    <cfRule type="cellIs" dxfId="40" priority="165" stopIfTrue="1" operator="equal">
      <formula>0</formula>
    </cfRule>
  </conditionalFormatting>
  <conditionalFormatting sqref="G128:M128">
    <cfRule type="cellIs" dxfId="39" priority="166" stopIfTrue="1" operator="equal">
      <formula>0</formula>
    </cfRule>
  </conditionalFormatting>
  <conditionalFormatting sqref="G131:M139">
    <cfRule type="cellIs" dxfId="38" priority="168" stopIfTrue="1" operator="equal">
      <formula>0</formula>
    </cfRule>
  </conditionalFormatting>
  <conditionalFormatting sqref="G143:M151">
    <cfRule type="cellIs" dxfId="37" priority="169" stopIfTrue="1" operator="equal">
      <formula>0</formula>
    </cfRule>
  </conditionalFormatting>
  <conditionalFormatting sqref="G155:M163">
    <cfRule type="cellIs" dxfId="36" priority="170" stopIfTrue="1" operator="equal">
      <formula>0</formula>
    </cfRule>
  </conditionalFormatting>
  <conditionalFormatting sqref="G172:M174">
    <cfRule type="cellIs" dxfId="35" priority="171" stopIfTrue="1" operator="equal">
      <formula>0</formula>
    </cfRule>
  </conditionalFormatting>
  <conditionalFormatting sqref="G176:M180">
    <cfRule type="cellIs" dxfId="34" priority="172" stopIfTrue="1" operator="equal">
      <formula>0</formula>
    </cfRule>
  </conditionalFormatting>
  <conditionalFormatting sqref="G182:M186">
    <cfRule type="cellIs" dxfId="33" priority="173" stopIfTrue="1" operator="equal">
      <formula>0</formula>
    </cfRule>
  </conditionalFormatting>
  <conditionalFormatting sqref="G188:M192">
    <cfRule type="cellIs" dxfId="32" priority="174" stopIfTrue="1" operator="equal">
      <formula>0</formula>
    </cfRule>
  </conditionalFormatting>
  <conditionalFormatting sqref="G194:M198">
    <cfRule type="cellIs" dxfId="31" priority="175" stopIfTrue="1" operator="equal">
      <formula>0</formula>
    </cfRule>
  </conditionalFormatting>
  <conditionalFormatting sqref="G200:M204">
    <cfRule type="cellIs" dxfId="30" priority="176" stopIfTrue="1" operator="equal">
      <formula>0</formula>
    </cfRule>
  </conditionalFormatting>
  <conditionalFormatting sqref="G206:M210">
    <cfRule type="cellIs" dxfId="29" priority="177" stopIfTrue="1" operator="equal">
      <formula>0</formula>
    </cfRule>
  </conditionalFormatting>
  <conditionalFormatting sqref="G212:M216">
    <cfRule type="cellIs" dxfId="28" priority="178" stopIfTrue="1" operator="equal">
      <formula>0</formula>
    </cfRule>
  </conditionalFormatting>
  <conditionalFormatting sqref="G218:M223">
    <cfRule type="cellIs" dxfId="27" priority="179" stopIfTrue="1" operator="equal">
      <formula>0</formula>
    </cfRule>
  </conditionalFormatting>
  <conditionalFormatting sqref="G225:M229">
    <cfRule type="cellIs" dxfId="26" priority="180" stopIfTrue="1" operator="equal">
      <formula>0</formula>
    </cfRule>
  </conditionalFormatting>
  <conditionalFormatting sqref="G231:M235">
    <cfRule type="cellIs" dxfId="25" priority="181" stopIfTrue="1" operator="equal">
      <formula>0</formula>
    </cfRule>
  </conditionalFormatting>
  <conditionalFormatting sqref="G237:M241">
    <cfRule type="cellIs" dxfId="24" priority="182" stopIfTrue="1" operator="equal">
      <formula>0</formula>
    </cfRule>
  </conditionalFormatting>
  <conditionalFormatting sqref="G243:M247">
    <cfRule type="cellIs" dxfId="23" priority="183" stopIfTrue="1" operator="equal">
      <formula>0</formula>
    </cfRule>
  </conditionalFormatting>
  <conditionalFormatting sqref="G249:M253">
    <cfRule type="cellIs" dxfId="22" priority="184" stopIfTrue="1" operator="equal">
      <formula>0</formula>
    </cfRule>
  </conditionalFormatting>
  <conditionalFormatting sqref="G255:M259">
    <cfRule type="cellIs" dxfId="21" priority="185" stopIfTrue="1" operator="equal">
      <formula>0</formula>
    </cfRule>
  </conditionalFormatting>
  <conditionalFormatting sqref="G261:M265">
    <cfRule type="cellIs" dxfId="20" priority="186" stopIfTrue="1" operator="equal">
      <formula>0</formula>
    </cfRule>
  </conditionalFormatting>
  <conditionalFormatting sqref="H15:M15">
    <cfRule type="cellIs" dxfId="19" priority="194" stopIfTrue="1" operator="equal">
      <formula>0</formula>
    </cfRule>
  </conditionalFormatting>
  <pageMargins left="0.25" right="0.25" top="0.5" bottom="0.45" header="0.25" footer="0.25"/>
  <pageSetup scale="10" fitToHeight="4" orientation="landscape" r:id="rId1"/>
  <headerFooter>
    <oddHeader xml:space="preserve">&amp;L &amp;C &amp;R </oddHeader>
    <oddFooter>&amp;L&amp;7&amp;D  at &amp;T Mike 702.854.0691&amp;C&amp;7&amp;F  &amp;A&amp;R&amp;7Page &amp;P of &amp;N</oddFooter>
  </headerFooter>
  <rowBreaks count="3" manualBreakCount="3">
    <brk id="58" max="13" man="1"/>
    <brk id="109" max="13" man="1"/>
    <brk id="1375" max="13" man="1"/>
  </rowBreaks>
  <legacyDrawing r:id="rId2"/>
  <extLst>
    <ext xmlns:x14="http://schemas.microsoft.com/office/spreadsheetml/2009/9/main" uri="{CCE6A557-97BC-4b89-ADB6-D9C93CAAB3DF}">
      <x14:dataValidations xmlns:xm="http://schemas.microsoft.com/office/excel/2006/main" disablePrompts="1" xWindow="527" yWindow="807" count="1">
        <x14:dataValidation type="list" allowBlank="1" showInputMessage="1" showErrorMessage="1" promptTitle="County" prompt="In the Dropdown Box select the county where your school will be located.">
          <x14:formula1>
            <xm:f>'DSA Rates'!$A$10:$A$27</xm:f>
          </x14:formula1>
          <xm:sqref>C57:D57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FF00"/>
  </sheetPr>
  <dimension ref="A1:O81"/>
  <sheetViews>
    <sheetView showGridLines="0" zoomScale="70" zoomScaleNormal="70" zoomScaleSheetLayoutView="70" workbookViewId="0">
      <selection activeCell="H23" sqref="H23"/>
    </sheetView>
  </sheetViews>
  <sheetFormatPr defaultColWidth="8.85546875" defaultRowHeight="15" outlineLevelRow="1" x14ac:dyDescent="0.25"/>
  <cols>
    <col min="1" max="1" width="2.85546875" style="141" customWidth="1"/>
    <col min="2" max="2" width="40.42578125" style="141" customWidth="1"/>
    <col min="3" max="3" width="19.140625" style="141" customWidth="1"/>
    <col min="4" max="4" width="7.140625" style="141" customWidth="1"/>
    <col min="5" max="5" width="22.7109375" style="150" customWidth="1"/>
    <col min="6" max="6" width="14" style="150" customWidth="1"/>
    <col min="7" max="7" width="11.5703125" style="150" customWidth="1"/>
    <col min="8" max="8" width="14.28515625" style="141" bestFit="1" customWidth="1"/>
    <col min="9" max="9" width="13.7109375" style="141" bestFit="1" customWidth="1"/>
    <col min="10" max="10" width="14.28515625" style="141" bestFit="1" customWidth="1"/>
    <col min="11" max="12" width="13.85546875" style="141" bestFit="1" customWidth="1"/>
    <col min="13" max="13" width="15.7109375" style="141" bestFit="1" customWidth="1"/>
    <col min="14" max="14" width="27.85546875" style="141" bestFit="1" customWidth="1"/>
    <col min="15" max="15" width="11.5703125" style="141" bestFit="1" customWidth="1"/>
    <col min="16" max="16" width="8.85546875" style="141"/>
    <col min="17" max="17" width="17.28515625" style="141" customWidth="1"/>
    <col min="18" max="16384" width="8.85546875" style="141"/>
  </cols>
  <sheetData>
    <row r="1" spans="1:14" ht="15.75" x14ac:dyDescent="0.25">
      <c r="A1" s="457" t="s">
        <v>92</v>
      </c>
      <c r="B1" s="1387"/>
      <c r="H1" s="673" t="s">
        <v>639</v>
      </c>
      <c r="I1" s="673"/>
      <c r="J1" s="673"/>
      <c r="K1" s="275"/>
      <c r="L1" s="275"/>
    </row>
    <row r="2" spans="1:14" ht="15.75" x14ac:dyDescent="0.25">
      <c r="A2" s="152" t="str">
        <f>SchoolName</f>
        <v xml:space="preserve">Alaka'i Heritage Academy </v>
      </c>
      <c r="B2" s="153"/>
      <c r="H2" s="1435" t="str">
        <f>+Cover!C17</f>
        <v xml:space="preserve">3415 S Mojave Rd, Las Vegas, NV 89121 </v>
      </c>
      <c r="I2" s="1435"/>
      <c r="J2" s="1435"/>
      <c r="K2" s="1435"/>
      <c r="L2" s="1435"/>
    </row>
    <row r="3" spans="1:14" x14ac:dyDescent="0.25">
      <c r="A3" s="154" t="s">
        <v>415</v>
      </c>
      <c r="H3" s="1436" t="str">
        <f>+Cover!C18</f>
        <v>Site 2</v>
      </c>
      <c r="I3" s="1436"/>
      <c r="J3" s="1436"/>
      <c r="K3" s="1436"/>
      <c r="L3" s="1436"/>
    </row>
    <row r="4" spans="1:14" x14ac:dyDescent="0.25">
      <c r="A4" s="155" t="s">
        <v>452</v>
      </c>
      <c r="E4" s="141"/>
    </row>
    <row r="5" spans="1:14" x14ac:dyDescent="0.25">
      <c r="A5" s="129" t="str">
        <f ca="1">CELL("filename")</f>
        <v>C:\Users\Kyle.McOmber\Work Folders\Desktop\Alaka'i Appeal Submissions\Second Submission\[Copy of Attachment 16 - Financial Plan Workbook - AHA (002).xlsx]Market</v>
      </c>
    </row>
    <row r="6" spans="1:14" ht="15.75" thickBot="1" x14ac:dyDescent="0.3"/>
    <row r="7" spans="1:14" s="130" customFormat="1" ht="14.25" outlineLevel="1" x14ac:dyDescent="0.2">
      <c r="B7" s="131" t="s">
        <v>257</v>
      </c>
      <c r="C7" s="132"/>
      <c r="D7" s="133"/>
      <c r="E7" s="134"/>
      <c r="F7" s="134"/>
      <c r="G7" s="135" t="str">
        <f>'Enrol Staff &amp; Exp'!G9</f>
        <v>SY 0/Incubation</v>
      </c>
      <c r="H7" s="135" t="str">
        <f>'Enrol Staff &amp; Exp'!H9</f>
        <v>SY 1</v>
      </c>
      <c r="I7" s="135" t="str">
        <f>'Enrol Staff &amp; Exp'!I9</f>
        <v>SY 2</v>
      </c>
      <c r="J7" s="135" t="str">
        <f>'Enrol Staff &amp; Exp'!J9</f>
        <v>SY 3</v>
      </c>
      <c r="K7" s="135" t="str">
        <f>'Enrol Staff &amp; Exp'!K9</f>
        <v>SY 4</v>
      </c>
      <c r="L7" s="135" t="str">
        <f>'Enrol Staff &amp; Exp'!L9</f>
        <v>SY 5</v>
      </c>
      <c r="M7" s="135" t="str">
        <f>'Enrol Staff &amp; Exp'!M9</f>
        <v>SY 6</v>
      </c>
    </row>
    <row r="8" spans="1:14" ht="15.75" outlineLevel="1" thickBot="1" x14ac:dyDescent="0.3">
      <c r="B8" s="136" t="s">
        <v>863</v>
      </c>
      <c r="C8" s="838" t="s">
        <v>864</v>
      </c>
      <c r="D8" s="137"/>
      <c r="G8" s="667">
        <f>+H8-1</f>
        <v>2019</v>
      </c>
      <c r="H8" s="156">
        <f>'Enrol Staff &amp; Exp'!H10</f>
        <v>2020</v>
      </c>
      <c r="I8" s="157">
        <f>'Enrol Staff &amp; Exp'!I10</f>
        <v>2021</v>
      </c>
      <c r="J8" s="157">
        <f>'Enrol Staff &amp; Exp'!J10</f>
        <v>2022</v>
      </c>
      <c r="K8" s="157">
        <f>'Enrol Staff &amp; Exp'!K10</f>
        <v>2023</v>
      </c>
      <c r="L8" s="157">
        <f>'Enrol Staff &amp; Exp'!L10</f>
        <v>2024</v>
      </c>
      <c r="M8" s="158">
        <f>'Enrol Staff &amp; Exp'!M10</f>
        <v>2025</v>
      </c>
      <c r="N8" s="159"/>
    </row>
    <row r="9" spans="1:14" outlineLevel="1" x14ac:dyDescent="0.25">
      <c r="C9" s="130"/>
      <c r="G9" s="668">
        <f>+H9-1</f>
        <v>2020</v>
      </c>
      <c r="H9" s="138">
        <f>'Enrol Staff &amp; Exp'!H11</f>
        <v>2021</v>
      </c>
      <c r="I9" s="139">
        <f>'Enrol Staff &amp; Exp'!I11</f>
        <v>2022</v>
      </c>
      <c r="J9" s="139">
        <f>'Enrol Staff &amp; Exp'!J11</f>
        <v>2023</v>
      </c>
      <c r="K9" s="139">
        <f>'Enrol Staff &amp; Exp'!K11</f>
        <v>2024</v>
      </c>
      <c r="L9" s="139">
        <f>'Enrol Staff &amp; Exp'!L11</f>
        <v>2025</v>
      </c>
      <c r="M9" s="140">
        <f>'Enrol Staff &amp; Exp'!M11</f>
        <v>2026</v>
      </c>
      <c r="N9" s="159"/>
    </row>
    <row r="10" spans="1:14" outlineLevel="1" x14ac:dyDescent="0.25">
      <c r="B10" s="952" t="s">
        <v>243</v>
      </c>
      <c r="C10" s="953"/>
      <c r="D10" s="953"/>
      <c r="E10" s="461" t="s">
        <v>305</v>
      </c>
      <c r="H10" s="180">
        <f>'Enrol Staff &amp; Exp'!H31</f>
        <v>330</v>
      </c>
      <c r="I10" s="180">
        <f>'Enrol Staff &amp; Exp'!I31</f>
        <v>540</v>
      </c>
      <c r="J10" s="180">
        <f>'Enrol Staff &amp; Exp'!J31</f>
        <v>760</v>
      </c>
      <c r="K10" s="180">
        <f>'Enrol Staff &amp; Exp'!K31</f>
        <v>840</v>
      </c>
      <c r="L10" s="180">
        <f>'Enrol Staff &amp; Exp'!L31</f>
        <v>900</v>
      </c>
      <c r="M10" s="180">
        <f>'Enrol Staff &amp; Exp'!M31</f>
        <v>960</v>
      </c>
      <c r="N10" s="159"/>
    </row>
    <row r="11" spans="1:14" outlineLevel="1" x14ac:dyDescent="0.25">
      <c r="C11" s="130"/>
      <c r="E11" s="141" t="s">
        <v>377</v>
      </c>
      <c r="F11" s="141"/>
      <c r="G11" s="141"/>
      <c r="H11" s="636">
        <f>+H12/'Enrol Staff &amp; Exp'!H31</f>
        <v>151.5151515151515</v>
      </c>
      <c r="I11" s="636">
        <f>+I12/'Enrol Staff &amp; Exp'!I31</f>
        <v>92.592592592592595</v>
      </c>
      <c r="J11" s="636">
        <f>+J12/'Enrol Staff &amp; Exp'!J31</f>
        <v>65.78947368421052</v>
      </c>
      <c r="K11" s="636">
        <f>+K12/'Enrol Staff &amp; Exp'!K31</f>
        <v>59.523809523809526</v>
      </c>
      <c r="L11" s="636">
        <f>+L12/'Enrol Staff &amp; Exp'!L31</f>
        <v>55.555555555555557</v>
      </c>
      <c r="M11" s="636">
        <f>+M12/'Enrol Staff &amp; Exp'!M31</f>
        <v>52.083333333333336</v>
      </c>
      <c r="N11" s="159"/>
    </row>
    <row r="12" spans="1:14" outlineLevel="1" x14ac:dyDescent="0.25">
      <c r="B12" s="130" t="s">
        <v>246</v>
      </c>
      <c r="C12" s="139" t="s">
        <v>219</v>
      </c>
      <c r="E12" s="141" t="s">
        <v>445</v>
      </c>
      <c r="F12" s="141"/>
      <c r="G12" s="141"/>
      <c r="H12" s="839">
        <v>50000</v>
      </c>
      <c r="I12" s="839">
        <v>50000</v>
      </c>
      <c r="J12" s="839">
        <v>50000</v>
      </c>
      <c r="K12" s="839">
        <v>50000</v>
      </c>
      <c r="L12" s="839">
        <v>50000</v>
      </c>
      <c r="M12" s="839">
        <v>50000</v>
      </c>
      <c r="N12" s="159"/>
    </row>
    <row r="13" spans="1:14" outlineLevel="1" x14ac:dyDescent="0.25">
      <c r="B13" s="130"/>
      <c r="C13" s="919"/>
      <c r="E13" s="169" t="s">
        <v>879</v>
      </c>
      <c r="F13" s="169"/>
      <c r="G13" s="141"/>
      <c r="H13" s="840">
        <f>396000/H12</f>
        <v>7.92</v>
      </c>
      <c r="I13" s="840">
        <f>618000/I12</f>
        <v>12.36</v>
      </c>
      <c r="J13" s="840">
        <f>840000/J12</f>
        <v>16.8</v>
      </c>
      <c r="K13" s="840">
        <f>1008000/K12</f>
        <v>20.16</v>
      </c>
      <c r="L13" s="840">
        <f>1080000/L12</f>
        <v>21.6</v>
      </c>
      <c r="M13" s="840">
        <f>1152000/M12</f>
        <v>23.04</v>
      </c>
      <c r="N13" s="159"/>
    </row>
    <row r="14" spans="1:14" outlineLevel="1" x14ac:dyDescent="0.25">
      <c r="B14" s="130"/>
      <c r="C14" s="919"/>
      <c r="E14" s="161" t="s">
        <v>852</v>
      </c>
      <c r="F14" s="141"/>
      <c r="G14" s="141"/>
      <c r="H14" s="918">
        <v>0.01</v>
      </c>
      <c r="I14" s="918">
        <f>(I13-H13)/H13</f>
        <v>0.56060606060606055</v>
      </c>
      <c r="J14" s="918">
        <f t="shared" ref="J14:M14" si="0">(J13-I13)/I13</f>
        <v>0.3592233009708739</v>
      </c>
      <c r="K14" s="918">
        <f t="shared" si="0"/>
        <v>0.19999999999999996</v>
      </c>
      <c r="L14" s="918">
        <f t="shared" si="0"/>
        <v>7.1428571428571494E-2</v>
      </c>
      <c r="M14" s="918">
        <f t="shared" si="0"/>
        <v>6.6666666666666555E-2</v>
      </c>
      <c r="N14" s="159"/>
    </row>
    <row r="15" spans="1:14" outlineLevel="1" x14ac:dyDescent="0.25">
      <c r="E15" s="161" t="s">
        <v>853</v>
      </c>
      <c r="F15" s="141"/>
      <c r="G15" s="141"/>
      <c r="H15" s="840">
        <f>+H13*(1+H14)</f>
        <v>7.9992000000000001</v>
      </c>
      <c r="I15" s="840">
        <f>+H15*(1+I14)</f>
        <v>12.483599999999999</v>
      </c>
      <c r="J15" s="840">
        <f>+I15*(1+J14)</f>
        <v>16.968</v>
      </c>
      <c r="K15" s="840">
        <f>+J15*(1+K14)</f>
        <v>20.361599999999999</v>
      </c>
      <c r="L15" s="840">
        <f>+K15*(1+L14)</f>
        <v>21.815999999999999</v>
      </c>
      <c r="M15" s="840">
        <f>+L15*(1+M14)</f>
        <v>23.270399999999999</v>
      </c>
      <c r="N15" s="159"/>
    </row>
    <row r="16" spans="1:14" outlineLevel="1" x14ac:dyDescent="0.25">
      <c r="E16" s="161" t="s">
        <v>637</v>
      </c>
      <c r="F16" s="162"/>
      <c r="G16" s="162"/>
      <c r="H16" s="163">
        <f t="shared" ref="H16:M16" si="1">+H15/12</f>
        <v>0.66659999999999997</v>
      </c>
      <c r="I16" s="163">
        <f t="shared" si="1"/>
        <v>1.0403</v>
      </c>
      <c r="J16" s="163">
        <f t="shared" si="1"/>
        <v>1.4139999999999999</v>
      </c>
      <c r="K16" s="163">
        <f t="shared" si="1"/>
        <v>1.6967999999999999</v>
      </c>
      <c r="L16" s="163">
        <f t="shared" si="1"/>
        <v>1.8179999999999998</v>
      </c>
      <c r="M16" s="163">
        <f t="shared" si="1"/>
        <v>1.9391999999999998</v>
      </c>
      <c r="N16" s="159"/>
    </row>
    <row r="17" spans="2:15" outlineLevel="1" x14ac:dyDescent="0.25">
      <c r="E17" s="164" t="s">
        <v>656</v>
      </c>
      <c r="F17" s="669">
        <f>SUM(G17:M17)</f>
        <v>5144940</v>
      </c>
      <c r="G17" s="1166"/>
      <c r="H17" s="950">
        <f t="shared" ref="H17:M17" si="2">H12*(H15)</f>
        <v>399960</v>
      </c>
      <c r="I17" s="951">
        <f t="shared" si="2"/>
        <v>624180</v>
      </c>
      <c r="J17" s="951">
        <f t="shared" si="2"/>
        <v>848400</v>
      </c>
      <c r="K17" s="951">
        <f t="shared" si="2"/>
        <v>1018080</v>
      </c>
      <c r="L17" s="951">
        <f t="shared" si="2"/>
        <v>1090800</v>
      </c>
      <c r="M17" s="951">
        <f t="shared" si="2"/>
        <v>1163520</v>
      </c>
      <c r="N17" s="159"/>
    </row>
    <row r="18" spans="2:15" outlineLevel="1" x14ac:dyDescent="0.25">
      <c r="B18" s="141" t="s">
        <v>467</v>
      </c>
      <c r="C18" s="837">
        <v>1.32</v>
      </c>
      <c r="D18" s="361" t="s">
        <v>929</v>
      </c>
      <c r="E18" s="141" t="str">
        <f>+B18</f>
        <v>Custodial (Non CAM)</v>
      </c>
      <c r="F18" s="670">
        <f t="shared" ref="F18:F24" si="3">SUM(G18:M18)</f>
        <v>396000</v>
      </c>
      <c r="G18" s="1167"/>
      <c r="H18" s="951">
        <f t="shared" ref="H18:M18" si="4">H12*$C$18</f>
        <v>66000</v>
      </c>
      <c r="I18" s="951">
        <f t="shared" si="4"/>
        <v>66000</v>
      </c>
      <c r="J18" s="951">
        <f t="shared" si="4"/>
        <v>66000</v>
      </c>
      <c r="K18" s="951">
        <f t="shared" si="4"/>
        <v>66000</v>
      </c>
      <c r="L18" s="951">
        <f t="shared" si="4"/>
        <v>66000</v>
      </c>
      <c r="M18" s="951">
        <f t="shared" si="4"/>
        <v>66000</v>
      </c>
      <c r="N18" s="159"/>
    </row>
    <row r="19" spans="2:15" outlineLevel="1" x14ac:dyDescent="0.25">
      <c r="B19" s="168" t="s">
        <v>255</v>
      </c>
      <c r="C19" s="837">
        <v>1.75</v>
      </c>
      <c r="D19" s="361" t="s">
        <v>929</v>
      </c>
      <c r="E19" s="141" t="str">
        <f>+B19</f>
        <v>Utilities</v>
      </c>
      <c r="F19" s="670">
        <f t="shared" si="3"/>
        <v>525000</v>
      </c>
      <c r="G19" s="1167">
        <v>0</v>
      </c>
      <c r="H19" s="951">
        <f t="shared" ref="H19:M19" si="5">H12*$C$19</f>
        <v>87500</v>
      </c>
      <c r="I19" s="951">
        <f t="shared" si="5"/>
        <v>87500</v>
      </c>
      <c r="J19" s="951">
        <f t="shared" si="5"/>
        <v>87500</v>
      </c>
      <c r="K19" s="951">
        <f t="shared" si="5"/>
        <v>87500</v>
      </c>
      <c r="L19" s="951">
        <f t="shared" si="5"/>
        <v>87500</v>
      </c>
      <c r="M19" s="951">
        <f t="shared" si="5"/>
        <v>87500</v>
      </c>
      <c r="N19" s="165"/>
      <c r="O19" s="166"/>
    </row>
    <row r="20" spans="2:15" outlineLevel="1" x14ac:dyDescent="0.25">
      <c r="B20" s="168" t="s">
        <v>466</v>
      </c>
      <c r="C20" s="837">
        <v>0.5</v>
      </c>
      <c r="D20" s="361" t="s">
        <v>929</v>
      </c>
      <c r="E20" s="141" t="str">
        <f>+B20</f>
        <v>CAM (Common Area Maintenance &amp; Other)</v>
      </c>
      <c r="F20" s="670">
        <f t="shared" si="3"/>
        <v>150000</v>
      </c>
      <c r="G20" s="1167"/>
      <c r="H20" s="951">
        <f t="shared" ref="H20:M20" si="6">H12*$C20</f>
        <v>25000</v>
      </c>
      <c r="I20" s="951">
        <f t="shared" si="6"/>
        <v>25000</v>
      </c>
      <c r="J20" s="951">
        <f t="shared" si="6"/>
        <v>25000</v>
      </c>
      <c r="K20" s="951">
        <f t="shared" si="6"/>
        <v>25000</v>
      </c>
      <c r="L20" s="951">
        <f t="shared" si="6"/>
        <v>25000</v>
      </c>
      <c r="M20" s="951">
        <f t="shared" si="6"/>
        <v>25000</v>
      </c>
      <c r="N20" s="159"/>
      <c r="O20" s="167"/>
    </row>
    <row r="21" spans="2:15" outlineLevel="1" x14ac:dyDescent="0.25">
      <c r="B21" s="168" t="s">
        <v>654</v>
      </c>
      <c r="C21" s="612">
        <v>7500</v>
      </c>
      <c r="D21" s="361" t="s">
        <v>655</v>
      </c>
      <c r="E21" s="141" t="str">
        <f>+B21</f>
        <v>Campus security</v>
      </c>
      <c r="F21" s="670">
        <f t="shared" si="3"/>
        <v>45000</v>
      </c>
      <c r="G21" s="1167"/>
      <c r="H21" s="951">
        <f t="shared" ref="H21:M21" si="7">+$C$21</f>
        <v>7500</v>
      </c>
      <c r="I21" s="951">
        <f t="shared" si="7"/>
        <v>7500</v>
      </c>
      <c r="J21" s="951">
        <f t="shared" si="7"/>
        <v>7500</v>
      </c>
      <c r="K21" s="951">
        <f t="shared" si="7"/>
        <v>7500</v>
      </c>
      <c r="L21" s="951">
        <f t="shared" si="7"/>
        <v>7500</v>
      </c>
      <c r="M21" s="951">
        <f t="shared" si="7"/>
        <v>7500</v>
      </c>
      <c r="N21" s="159"/>
      <c r="O21" s="167"/>
    </row>
    <row r="22" spans="2:15" outlineLevel="1" x14ac:dyDescent="0.25">
      <c r="B22" s="141" t="s">
        <v>653</v>
      </c>
      <c r="C22" s="80">
        <v>1</v>
      </c>
      <c r="E22" s="169" t="str">
        <f>+B22</f>
        <v>Security Deposit(s)(post to Cashflow ("CF Y1 Mo" tab)</v>
      </c>
      <c r="F22" s="670">
        <f t="shared" si="3"/>
        <v>0</v>
      </c>
      <c r="G22" s="1167">
        <v>0</v>
      </c>
      <c r="H22" s="1168">
        <v>0</v>
      </c>
      <c r="I22" s="1169">
        <v>0</v>
      </c>
      <c r="J22" s="1169">
        <v>0</v>
      </c>
      <c r="K22" s="1169">
        <v>0</v>
      </c>
      <c r="L22" s="1169">
        <v>0</v>
      </c>
      <c r="M22" s="1169">
        <v>0</v>
      </c>
      <c r="N22" s="159"/>
    </row>
    <row r="23" spans="2:15" outlineLevel="1" x14ac:dyDescent="0.25">
      <c r="C23" s="913"/>
      <c r="E23" s="914" t="s">
        <v>446</v>
      </c>
      <c r="F23" s="670"/>
      <c r="G23" s="1167">
        <v>0</v>
      </c>
      <c r="H23" s="1168">
        <v>0</v>
      </c>
      <c r="I23" s="1169"/>
      <c r="J23" s="1169"/>
      <c r="K23" s="1169"/>
      <c r="L23" s="1169"/>
      <c r="M23" s="1169"/>
      <c r="N23" s="159"/>
    </row>
    <row r="24" spans="2:15" outlineLevel="1" x14ac:dyDescent="0.25">
      <c r="C24" s="150"/>
      <c r="E24" s="914" t="s">
        <v>527</v>
      </c>
      <c r="F24" s="670">
        <f t="shared" si="3"/>
        <v>0</v>
      </c>
      <c r="G24" s="1168">
        <f>G23/15</f>
        <v>0</v>
      </c>
      <c r="H24" s="1168">
        <f t="shared" ref="H24:M24" si="8">G24+(H23/15)</f>
        <v>0</v>
      </c>
      <c r="I24" s="1169">
        <f t="shared" si="8"/>
        <v>0</v>
      </c>
      <c r="J24" s="1169">
        <f t="shared" si="8"/>
        <v>0</v>
      </c>
      <c r="K24" s="1169">
        <f t="shared" si="8"/>
        <v>0</v>
      </c>
      <c r="L24" s="1169">
        <f t="shared" si="8"/>
        <v>0</v>
      </c>
      <c r="M24" s="1169">
        <f t="shared" si="8"/>
        <v>0</v>
      </c>
      <c r="N24" s="159"/>
    </row>
    <row r="25" spans="2:15" outlineLevel="1" x14ac:dyDescent="0.25">
      <c r="B25" s="150"/>
      <c r="C25" s="170" t="s">
        <v>528</v>
      </c>
      <c r="E25" s="130"/>
      <c r="F25" s="130"/>
      <c r="G25" s="1281">
        <f t="shared" ref="G25" si="9">SUM(G17:G24)</f>
        <v>0</v>
      </c>
      <c r="H25" s="1281">
        <f>SUM(H17:H23)</f>
        <v>585960</v>
      </c>
      <c r="I25" s="1281">
        <f t="shared" ref="I25:M25" si="10">SUM(I17:I23)</f>
        <v>810180</v>
      </c>
      <c r="J25" s="1281">
        <f t="shared" si="10"/>
        <v>1034400</v>
      </c>
      <c r="K25" s="1281">
        <f t="shared" si="10"/>
        <v>1204080</v>
      </c>
      <c r="L25" s="1281">
        <f t="shared" si="10"/>
        <v>1276800</v>
      </c>
      <c r="M25" s="1281">
        <f t="shared" si="10"/>
        <v>1349520</v>
      </c>
      <c r="N25" s="159"/>
    </row>
    <row r="26" spans="2:15" outlineLevel="1" x14ac:dyDescent="0.25">
      <c r="B26" s="150"/>
      <c r="C26" s="170" t="s">
        <v>557</v>
      </c>
      <c r="E26" s="130"/>
      <c r="F26" s="130"/>
      <c r="G26" s="1282">
        <f>SUM(G17:G22)+G24</f>
        <v>0</v>
      </c>
      <c r="H26" s="1282">
        <f>SUM(H17:H22)+H24</f>
        <v>585960</v>
      </c>
      <c r="I26" s="1282">
        <f>SUM(I17:I22)+I24</f>
        <v>810180</v>
      </c>
      <c r="J26" s="1282">
        <f>SUM(J17:J22)+J24</f>
        <v>1034400</v>
      </c>
      <c r="K26" s="1282">
        <f t="shared" ref="K26:M26" si="11">SUM(K17:K22)+K24</f>
        <v>1204080</v>
      </c>
      <c r="L26" s="1282">
        <f t="shared" si="11"/>
        <v>1276800</v>
      </c>
      <c r="M26" s="1282">
        <f t="shared" si="11"/>
        <v>1349520</v>
      </c>
      <c r="N26" s="159"/>
    </row>
    <row r="27" spans="2:15" s="130" customFormat="1" outlineLevel="1" x14ac:dyDescent="0.25">
      <c r="B27" s="134"/>
      <c r="G27" s="950">
        <f>+G26-G25</f>
        <v>0</v>
      </c>
      <c r="H27" s="950">
        <f>+H26-H25</f>
        <v>0</v>
      </c>
      <c r="I27" s="950">
        <f t="shared" ref="I27:M27" si="12">+I26-I25</f>
        <v>0</v>
      </c>
      <c r="J27" s="950">
        <f t="shared" si="12"/>
        <v>0</v>
      </c>
      <c r="K27" s="950">
        <f t="shared" si="12"/>
        <v>0</v>
      </c>
      <c r="L27" s="950">
        <f t="shared" si="12"/>
        <v>0</v>
      </c>
      <c r="M27" s="950">
        <f t="shared" si="12"/>
        <v>0</v>
      </c>
      <c r="N27" s="171"/>
    </row>
    <row r="28" spans="2:15" s="130" customFormat="1" ht="14.25" outlineLevel="1" x14ac:dyDescent="0.2">
      <c r="B28" s="134"/>
      <c r="C28" s="134"/>
      <c r="N28" s="171"/>
    </row>
    <row r="29" spans="2:15" s="130" customFormat="1" outlineLevel="1" x14ac:dyDescent="0.25">
      <c r="B29" s="168" t="s">
        <v>477</v>
      </c>
      <c r="C29" s="134" t="s">
        <v>478</v>
      </c>
      <c r="H29" s="172"/>
      <c r="I29" s="172"/>
      <c r="J29" s="172"/>
      <c r="K29" s="172"/>
      <c r="L29" s="172"/>
      <c r="M29" s="172"/>
      <c r="N29" s="171"/>
    </row>
    <row r="30" spans="2:15" s="130" customFormat="1" ht="14.25" outlineLevel="1" x14ac:dyDescent="0.2">
      <c r="B30" s="170" t="s">
        <v>479</v>
      </c>
      <c r="C30" s="134"/>
      <c r="H30" s="172"/>
      <c r="I30" s="172"/>
      <c r="J30" s="172"/>
      <c r="K30" s="172"/>
      <c r="L30" s="172"/>
      <c r="M30" s="172"/>
      <c r="N30" s="171"/>
    </row>
    <row r="31" spans="2:15" s="130" customFormat="1" ht="14.25" outlineLevel="1" x14ac:dyDescent="0.2">
      <c r="B31" s="170"/>
      <c r="C31" s="134"/>
      <c r="H31" s="172"/>
      <c r="I31" s="172"/>
      <c r="J31" s="172"/>
      <c r="K31" s="172"/>
      <c r="L31" s="172"/>
      <c r="M31" s="172"/>
      <c r="N31" s="171"/>
    </row>
    <row r="32" spans="2:15" ht="15" customHeight="1" outlineLevel="1" x14ac:dyDescent="0.25">
      <c r="B32" s="952" t="s">
        <v>244</v>
      </c>
      <c r="C32" s="954"/>
      <c r="D32" s="953"/>
      <c r="E32" s="461"/>
      <c r="H32" s="174"/>
      <c r="I32" s="175"/>
      <c r="J32" s="175"/>
      <c r="K32" s="175"/>
      <c r="L32" s="175"/>
      <c r="M32" s="175"/>
      <c r="N32" s="159"/>
    </row>
    <row r="33" spans="2:14" ht="15" customHeight="1" outlineLevel="1" x14ac:dyDescent="0.25">
      <c r="B33" s="130"/>
      <c r="C33" s="173"/>
      <c r="H33" s="174"/>
      <c r="I33" s="175"/>
      <c r="J33" s="175"/>
      <c r="K33" s="175"/>
      <c r="L33" s="175"/>
      <c r="M33" s="175"/>
      <c r="N33" s="159"/>
    </row>
    <row r="34" spans="2:14" ht="15" customHeight="1" outlineLevel="1" x14ac:dyDescent="0.25">
      <c r="B34" s="141" t="s">
        <v>245</v>
      </c>
      <c r="C34" s="1170">
        <v>0</v>
      </c>
      <c r="E34" s="141"/>
      <c r="F34" s="141"/>
      <c r="G34" s="141"/>
      <c r="H34" s="162"/>
      <c r="N34" s="159"/>
    </row>
    <row r="35" spans="2:14" ht="15" customHeight="1" outlineLevel="1" x14ac:dyDescent="0.25">
      <c r="C35" s="130"/>
      <c r="E35" s="141"/>
      <c r="F35" s="141"/>
      <c r="G35" s="141"/>
      <c r="H35" s="162"/>
      <c r="N35" s="159"/>
    </row>
    <row r="36" spans="2:14" ht="15" customHeight="1" outlineLevel="1" x14ac:dyDescent="0.25">
      <c r="B36" s="141" t="s">
        <v>247</v>
      </c>
      <c r="C36" s="837">
        <v>0</v>
      </c>
      <c r="D36" s="141" t="s">
        <v>219</v>
      </c>
      <c r="H36" s="162"/>
      <c r="I36" s="176"/>
      <c r="J36" s="176"/>
      <c r="K36" s="176"/>
      <c r="L36" s="176"/>
      <c r="M36" s="176"/>
      <c r="N36" s="159"/>
    </row>
    <row r="37" spans="2:14" ht="15" customHeight="1" outlineLevel="1" x14ac:dyDescent="0.25">
      <c r="C37" s="130"/>
      <c r="E37" s="141"/>
      <c r="F37" s="141"/>
      <c r="G37" s="141"/>
      <c r="H37" s="162"/>
      <c r="N37" s="159"/>
    </row>
    <row r="38" spans="2:14" ht="15" customHeight="1" outlineLevel="1" x14ac:dyDescent="0.25">
      <c r="B38" s="141" t="s">
        <v>248</v>
      </c>
      <c r="C38" s="166">
        <f>C34*C36</f>
        <v>0</v>
      </c>
      <c r="E38" s="141"/>
      <c r="F38" s="141"/>
      <c r="G38" s="141"/>
      <c r="H38" s="162"/>
      <c r="N38" s="159"/>
    </row>
    <row r="39" spans="2:14" ht="15" customHeight="1" outlineLevel="1" x14ac:dyDescent="0.25">
      <c r="C39" s="130"/>
      <c r="E39" s="141"/>
      <c r="F39" s="141"/>
      <c r="G39" s="141"/>
      <c r="H39" s="162"/>
      <c r="N39" s="159"/>
    </row>
    <row r="40" spans="2:14" ht="15" customHeight="1" outlineLevel="1" x14ac:dyDescent="0.25">
      <c r="B40" s="141" t="s">
        <v>249</v>
      </c>
      <c r="C40" s="837">
        <v>0</v>
      </c>
      <c r="D40" s="141" t="s">
        <v>219</v>
      </c>
      <c r="E40" s="141"/>
      <c r="F40" s="141"/>
      <c r="G40" s="141"/>
      <c r="H40" s="162"/>
      <c r="N40" s="159"/>
    </row>
    <row r="41" spans="2:14" ht="15" customHeight="1" outlineLevel="1" x14ac:dyDescent="0.25">
      <c r="C41" s="177"/>
      <c r="E41" s="141"/>
      <c r="F41" s="141"/>
      <c r="G41" s="141"/>
      <c r="H41" s="162"/>
      <c r="N41" s="159"/>
    </row>
    <row r="42" spans="2:14" ht="15" customHeight="1" outlineLevel="1" x14ac:dyDescent="0.25">
      <c r="B42" s="141" t="s">
        <v>250</v>
      </c>
      <c r="C42" s="166">
        <f>C34*C40</f>
        <v>0</v>
      </c>
      <c r="E42" s="141"/>
      <c r="F42" s="141"/>
      <c r="G42" s="141"/>
      <c r="H42" s="162"/>
      <c r="N42" s="159"/>
    </row>
    <row r="43" spans="2:14" ht="15" customHeight="1" outlineLevel="1" x14ac:dyDescent="0.25">
      <c r="C43" s="177"/>
      <c r="E43" s="141"/>
      <c r="F43" s="141"/>
      <c r="G43" s="141"/>
      <c r="H43" s="162"/>
      <c r="N43" s="159"/>
    </row>
    <row r="44" spans="2:14" ht="15" customHeight="1" outlineLevel="1" x14ac:dyDescent="0.25">
      <c r="B44" s="130" t="s">
        <v>251</v>
      </c>
      <c r="C44" s="178">
        <f>C38+C42</f>
        <v>0</v>
      </c>
      <c r="E44" s="141"/>
      <c r="F44" s="141"/>
      <c r="G44" s="141"/>
      <c r="N44" s="159"/>
    </row>
    <row r="45" spans="2:14" ht="15" customHeight="1" outlineLevel="1" x14ac:dyDescent="0.25">
      <c r="C45" s="178"/>
      <c r="E45" s="141"/>
      <c r="F45" s="141"/>
      <c r="G45" s="141"/>
      <c r="N45" s="159"/>
    </row>
    <row r="46" spans="2:14" ht="15" customHeight="1" outlineLevel="1" x14ac:dyDescent="0.25">
      <c r="B46" s="168" t="s">
        <v>143</v>
      </c>
      <c r="C46" s="1171">
        <v>0</v>
      </c>
      <c r="D46" s="141" t="s">
        <v>84</v>
      </c>
      <c r="E46" s="141"/>
      <c r="F46" s="141"/>
      <c r="G46" s="141"/>
      <c r="N46" s="159"/>
    </row>
    <row r="47" spans="2:14" ht="15" customHeight="1" outlineLevel="1" x14ac:dyDescent="0.25">
      <c r="C47" s="130"/>
      <c r="E47" s="141"/>
      <c r="F47" s="141"/>
      <c r="G47" s="141"/>
      <c r="N47" s="159"/>
    </row>
    <row r="48" spans="2:14" ht="15" customHeight="1" outlineLevel="1" x14ac:dyDescent="0.25">
      <c r="B48" s="168" t="s">
        <v>85</v>
      </c>
      <c r="C48" s="142">
        <f>C44*(1-C46)</f>
        <v>0</v>
      </c>
      <c r="E48" s="141"/>
      <c r="F48" s="141"/>
      <c r="G48" s="141"/>
      <c r="N48" s="159"/>
    </row>
    <row r="49" spans="2:14" ht="15" customHeight="1" outlineLevel="1" x14ac:dyDescent="0.25">
      <c r="B49" s="141" t="s">
        <v>76</v>
      </c>
      <c r="C49" s="1172">
        <v>0</v>
      </c>
      <c r="D49" s="160"/>
      <c r="E49" s="141"/>
      <c r="F49" s="141"/>
      <c r="G49" s="141"/>
      <c r="N49" s="159"/>
    </row>
    <row r="50" spans="2:14" ht="15" customHeight="1" outlineLevel="1" x14ac:dyDescent="0.25">
      <c r="B50" s="168" t="s">
        <v>492</v>
      </c>
      <c r="C50" s="1172"/>
      <c r="D50" s="160"/>
      <c r="E50" s="141"/>
      <c r="F50" s="141"/>
      <c r="G50" s="141"/>
      <c r="N50" s="159"/>
    </row>
    <row r="51" spans="2:14" ht="15" customHeight="1" outlineLevel="1" x14ac:dyDescent="0.25">
      <c r="B51" s="141" t="s">
        <v>32</v>
      </c>
      <c r="C51" s="1171">
        <v>0</v>
      </c>
      <c r="E51" s="141"/>
      <c r="F51" s="141"/>
      <c r="G51" s="141"/>
      <c r="N51" s="159"/>
    </row>
    <row r="52" spans="2:14" ht="15" customHeight="1" outlineLevel="1" x14ac:dyDescent="0.25">
      <c r="C52" s="130"/>
      <c r="E52" s="141"/>
      <c r="F52" s="141"/>
      <c r="G52" s="141"/>
      <c r="I52" s="160"/>
      <c r="J52" s="160"/>
      <c r="K52" s="160"/>
      <c r="L52" s="160"/>
      <c r="M52" s="160"/>
      <c r="N52" s="159"/>
    </row>
    <row r="53" spans="2:14" ht="15" customHeight="1" outlineLevel="1" x14ac:dyDescent="0.25">
      <c r="B53" s="141" t="s">
        <v>33</v>
      </c>
      <c r="C53" s="841">
        <f>IFERROR(-PMT(C51/12,C49*12,C48,0,1),0)</f>
        <v>0</v>
      </c>
      <c r="E53" s="141"/>
      <c r="F53" s="141"/>
      <c r="G53" s="141"/>
      <c r="I53" s="160"/>
      <c r="J53" s="160"/>
      <c r="K53" s="160"/>
      <c r="L53" s="160"/>
      <c r="M53" s="160"/>
      <c r="N53" s="159"/>
    </row>
    <row r="54" spans="2:14" ht="15" customHeight="1" outlineLevel="1" x14ac:dyDescent="0.25">
      <c r="B54" s="141" t="s">
        <v>34</v>
      </c>
      <c r="C54" s="142">
        <f>C53*12</f>
        <v>0</v>
      </c>
      <c r="D54" s="143"/>
      <c r="E54" s="143"/>
      <c r="F54" s="143"/>
      <c r="G54" s="143"/>
      <c r="H54" s="991">
        <f>+C54</f>
        <v>0</v>
      </c>
      <c r="I54" s="991">
        <f>IF(I8-$H$8&lt;$C$49,$C$54,0)</f>
        <v>0</v>
      </c>
      <c r="J54" s="991">
        <f>IF(J8-$H$8&lt;$C$49,$C$54,0)</f>
        <v>0</v>
      </c>
      <c r="K54" s="991">
        <f>IF(K8-$H$8&lt;$C$49,$C$54,0)</f>
        <v>0</v>
      </c>
      <c r="L54" s="991">
        <f>IF(L8-$H$8&lt;$C$49,$C$54,0)</f>
        <v>0</v>
      </c>
      <c r="M54" s="991">
        <f>IF(M8-$H$8&lt;$C$49,$C$54,0)</f>
        <v>0</v>
      </c>
      <c r="N54" s="159"/>
    </row>
    <row r="55" spans="2:14" ht="15" customHeight="1" outlineLevel="1" x14ac:dyDescent="0.25">
      <c r="B55" s="141" t="s">
        <v>530</v>
      </c>
      <c r="C55" s="142" t="e">
        <f>(-PV(0.02,C49,0,((C54*C49)-C48),0))/C49</f>
        <v>#DIV/0!</v>
      </c>
      <c r="D55" s="143"/>
      <c r="E55" s="143"/>
      <c r="F55" s="143"/>
      <c r="G55" s="143"/>
      <c r="H55" s="993" t="e">
        <f>$C$55</f>
        <v>#DIV/0!</v>
      </c>
      <c r="I55" s="992">
        <f>IF(I8-$H$8&lt;$C$49,$C$55,0)</f>
        <v>0</v>
      </c>
      <c r="J55" s="992">
        <f>IF(J8-$H$8&lt;$C$49,$C$55,0)</f>
        <v>0</v>
      </c>
      <c r="K55" s="992">
        <f>IF(K8-$H$8&lt;$C$49,$C$55,0)</f>
        <v>0</v>
      </c>
      <c r="L55" s="992">
        <f>IF(L8-$H$8&lt;$C$49,$C$55,0)</f>
        <v>0</v>
      </c>
      <c r="M55" s="992">
        <f>IF(M8-$H$8&lt;$C$49,$C$55,0)</f>
        <v>0</v>
      </c>
      <c r="N55" s="159"/>
    </row>
    <row r="56" spans="2:14" ht="15" customHeight="1" outlineLevel="1" x14ac:dyDescent="0.25">
      <c r="B56" s="141" t="s">
        <v>531</v>
      </c>
      <c r="E56" s="141"/>
      <c r="F56" s="141"/>
      <c r="G56" s="141"/>
      <c r="H56" s="179"/>
      <c r="I56" s="180"/>
      <c r="J56" s="180"/>
      <c r="K56" s="180"/>
      <c r="L56" s="180"/>
      <c r="M56" s="180"/>
      <c r="N56" s="159"/>
    </row>
    <row r="57" spans="2:14" ht="15" customHeight="1" outlineLevel="1" x14ac:dyDescent="0.25">
      <c r="B57" s="141" t="s">
        <v>256</v>
      </c>
      <c r="C57" s="837">
        <v>0</v>
      </c>
      <c r="D57" s="141" t="s">
        <v>219</v>
      </c>
      <c r="E57" s="141"/>
      <c r="F57" s="141"/>
      <c r="G57" s="141"/>
      <c r="H57" s="180">
        <f t="shared" ref="H57:M57" si="13">$C$57*$C$34</f>
        <v>0</v>
      </c>
      <c r="I57" s="180">
        <f t="shared" si="13"/>
        <v>0</v>
      </c>
      <c r="J57" s="180">
        <f t="shared" si="13"/>
        <v>0</v>
      </c>
      <c r="K57" s="180">
        <f t="shared" si="13"/>
        <v>0</v>
      </c>
      <c r="L57" s="180">
        <f t="shared" si="13"/>
        <v>0</v>
      </c>
      <c r="M57" s="180">
        <f t="shared" si="13"/>
        <v>0</v>
      </c>
      <c r="N57" s="159"/>
    </row>
    <row r="58" spans="2:14" ht="15" customHeight="1" outlineLevel="1" x14ac:dyDescent="0.25">
      <c r="B58" s="168" t="s">
        <v>255</v>
      </c>
      <c r="C58" s="837">
        <v>0</v>
      </c>
      <c r="D58" s="141" t="s">
        <v>219</v>
      </c>
      <c r="E58" s="141"/>
      <c r="F58" s="141"/>
      <c r="G58" s="141"/>
      <c r="H58" s="180">
        <f t="shared" ref="H58:M58" si="14">$C$58*$C$34</f>
        <v>0</v>
      </c>
      <c r="I58" s="180">
        <f t="shared" si="14"/>
        <v>0</v>
      </c>
      <c r="J58" s="180">
        <f t="shared" si="14"/>
        <v>0</v>
      </c>
      <c r="K58" s="180">
        <f t="shared" si="14"/>
        <v>0</v>
      </c>
      <c r="L58" s="180">
        <f t="shared" si="14"/>
        <v>0</v>
      </c>
      <c r="M58" s="180">
        <f t="shared" si="14"/>
        <v>0</v>
      </c>
      <c r="N58" s="159"/>
    </row>
    <row r="59" spans="2:14" ht="15" customHeight="1" outlineLevel="1" x14ac:dyDescent="0.25">
      <c r="B59" s="168" t="s">
        <v>772</v>
      </c>
      <c r="C59" s="837">
        <v>0</v>
      </c>
      <c r="D59" s="141" t="s">
        <v>219</v>
      </c>
      <c r="E59" s="141"/>
      <c r="F59" s="141"/>
      <c r="G59" s="141"/>
      <c r="H59" s="180">
        <f t="shared" ref="H59:M59" si="15">$C$59*$C$34</f>
        <v>0</v>
      </c>
      <c r="I59" s="180">
        <f t="shared" si="15"/>
        <v>0</v>
      </c>
      <c r="J59" s="180">
        <f t="shared" si="15"/>
        <v>0</v>
      </c>
      <c r="K59" s="180">
        <f t="shared" si="15"/>
        <v>0</v>
      </c>
      <c r="L59" s="180">
        <f t="shared" si="15"/>
        <v>0</v>
      </c>
      <c r="M59" s="180">
        <f t="shared" si="15"/>
        <v>0</v>
      </c>
      <c r="N59" s="159"/>
    </row>
    <row r="60" spans="2:14" ht="15" customHeight="1" outlineLevel="1" x14ac:dyDescent="0.25">
      <c r="B60" s="168" t="s">
        <v>654</v>
      </c>
      <c r="C60" s="837">
        <v>0</v>
      </c>
      <c r="D60" s="141" t="s">
        <v>45</v>
      </c>
      <c r="E60" s="141"/>
      <c r="F60" s="141"/>
      <c r="G60" s="141"/>
      <c r="H60" s="180">
        <f t="shared" ref="H60:M60" si="16">$C$60</f>
        <v>0</v>
      </c>
      <c r="I60" s="180">
        <f t="shared" si="16"/>
        <v>0</v>
      </c>
      <c r="J60" s="180">
        <f t="shared" si="16"/>
        <v>0</v>
      </c>
      <c r="K60" s="180">
        <f t="shared" si="16"/>
        <v>0</v>
      </c>
      <c r="L60" s="180">
        <f t="shared" si="16"/>
        <v>0</v>
      </c>
      <c r="M60" s="180">
        <f t="shared" si="16"/>
        <v>0</v>
      </c>
      <c r="N60" s="159"/>
    </row>
    <row r="61" spans="2:14" ht="15" customHeight="1" outlineLevel="1" x14ac:dyDescent="0.25">
      <c r="B61" s="141" t="s">
        <v>252</v>
      </c>
      <c r="E61" s="141"/>
      <c r="F61" s="141"/>
      <c r="G61" s="141"/>
      <c r="H61" s="180">
        <f>C38*C46</f>
        <v>0</v>
      </c>
      <c r="I61" s="180"/>
      <c r="J61" s="180"/>
      <c r="K61" s="180"/>
      <c r="L61" s="180"/>
      <c r="M61" s="180"/>
      <c r="N61" s="159"/>
    </row>
    <row r="62" spans="2:14" ht="15" customHeight="1" outlineLevel="1" x14ac:dyDescent="0.25">
      <c r="B62" s="141" t="s">
        <v>253</v>
      </c>
      <c r="E62" s="141"/>
      <c r="F62" s="141"/>
      <c r="G62" s="141"/>
      <c r="H62" s="180"/>
      <c r="I62" s="180"/>
      <c r="J62" s="180"/>
      <c r="K62" s="180"/>
      <c r="L62" s="180"/>
      <c r="M62" s="180"/>
      <c r="N62" s="159"/>
    </row>
    <row r="63" spans="2:14" ht="15" customHeight="1" outlineLevel="1" x14ac:dyDescent="0.25">
      <c r="B63" s="181" t="s">
        <v>529</v>
      </c>
      <c r="C63" s="181"/>
      <c r="D63" s="181"/>
      <c r="E63" s="181"/>
      <c r="F63" s="181"/>
      <c r="G63" s="671"/>
      <c r="H63" s="182" t="e">
        <f t="shared" ref="H63:M63" si="17">SUM(H54:H62)-H55</f>
        <v>#DIV/0!</v>
      </c>
      <c r="I63" s="182">
        <f t="shared" si="17"/>
        <v>0</v>
      </c>
      <c r="J63" s="182">
        <f t="shared" si="17"/>
        <v>0</v>
      </c>
      <c r="K63" s="182">
        <f t="shared" si="17"/>
        <v>0</v>
      </c>
      <c r="L63" s="182">
        <f t="shared" si="17"/>
        <v>0</v>
      </c>
      <c r="M63" s="182">
        <f t="shared" si="17"/>
        <v>0</v>
      </c>
      <c r="N63" s="159"/>
    </row>
    <row r="64" spans="2:14" ht="15" customHeight="1" outlineLevel="1" x14ac:dyDescent="0.25">
      <c r="B64" s="462" t="s">
        <v>559</v>
      </c>
      <c r="C64" s="462"/>
      <c r="D64" s="462"/>
      <c r="E64" s="462"/>
      <c r="F64" s="462"/>
      <c r="G64" s="672"/>
      <c r="H64" s="463">
        <f>(($C$38+$C$42)/50)+H57+H58+H59+H60</f>
        <v>0</v>
      </c>
      <c r="I64" s="463">
        <f t="shared" ref="I64:M64" si="18">(($C$38+$C$42)/50)+I57+I58+I59+I60</f>
        <v>0</v>
      </c>
      <c r="J64" s="463">
        <f t="shared" si="18"/>
        <v>0</v>
      </c>
      <c r="K64" s="463">
        <f t="shared" si="18"/>
        <v>0</v>
      </c>
      <c r="L64" s="463">
        <f t="shared" si="18"/>
        <v>0</v>
      </c>
      <c r="M64" s="463">
        <f t="shared" si="18"/>
        <v>0</v>
      </c>
      <c r="N64" s="159"/>
    </row>
    <row r="65" spans="2:14" ht="15.75" outlineLevel="1" thickBot="1" x14ac:dyDescent="0.3">
      <c r="E65" s="141"/>
      <c r="F65" s="141"/>
      <c r="G65" s="141"/>
      <c r="I65" s="183"/>
      <c r="J65" s="183"/>
      <c r="K65" s="183"/>
      <c r="L65" s="183"/>
      <c r="M65" s="183"/>
      <c r="N65" s="159"/>
    </row>
    <row r="66" spans="2:14" ht="15.75" outlineLevel="1" thickBot="1" x14ac:dyDescent="0.3">
      <c r="B66" s="144" t="s">
        <v>532</v>
      </c>
      <c r="C66" s="184"/>
      <c r="D66" s="184"/>
      <c r="E66" s="779">
        <f>SUM(G66:M66)</f>
        <v>6260940</v>
      </c>
      <c r="F66" s="185"/>
      <c r="G66" s="145">
        <f>IF($C$8="Lease",G25,G63)</f>
        <v>0</v>
      </c>
      <c r="H66" s="145">
        <f t="shared" ref="H66:M66" si="19">IF($C$8="Lease",H25,H63)</f>
        <v>585960</v>
      </c>
      <c r="I66" s="145">
        <f t="shared" si="19"/>
        <v>810180</v>
      </c>
      <c r="J66" s="145">
        <f t="shared" si="19"/>
        <v>1034400</v>
      </c>
      <c r="K66" s="145">
        <f t="shared" si="19"/>
        <v>1204080</v>
      </c>
      <c r="L66" s="145">
        <f t="shared" si="19"/>
        <v>1276800</v>
      </c>
      <c r="M66" s="145">
        <f t="shared" si="19"/>
        <v>1349520</v>
      </c>
      <c r="N66" s="159"/>
    </row>
    <row r="67" spans="2:14" ht="15.75" outlineLevel="1" thickBot="1" x14ac:dyDescent="0.3">
      <c r="B67" s="144" t="s">
        <v>558</v>
      </c>
      <c r="C67" s="184"/>
      <c r="D67" s="184"/>
      <c r="E67" s="779">
        <f>SUM(G67:M67)</f>
        <v>6260940</v>
      </c>
      <c r="F67" s="185"/>
      <c r="G67" s="961">
        <f>IF($C$8="Lease",G26,G64)</f>
        <v>0</v>
      </c>
      <c r="H67" s="961">
        <f>IF($C$8="Lease",H26,H64)</f>
        <v>585960</v>
      </c>
      <c r="I67" s="145">
        <f t="shared" ref="I67:M67" si="20">IF($C$8="Lease",I26,I64)</f>
        <v>810180</v>
      </c>
      <c r="J67" s="145">
        <f t="shared" si="20"/>
        <v>1034400</v>
      </c>
      <c r="K67" s="145">
        <f t="shared" si="20"/>
        <v>1204080</v>
      </c>
      <c r="L67" s="145">
        <f t="shared" si="20"/>
        <v>1276800</v>
      </c>
      <c r="M67" s="145">
        <f t="shared" si="20"/>
        <v>1349520</v>
      </c>
      <c r="N67" s="159"/>
    </row>
    <row r="68" spans="2:14" ht="15.75" thickBot="1" x14ac:dyDescent="0.3">
      <c r="B68" s="770" t="str">
        <f>IF(C8="Lease",$C$26,B67)</f>
        <v>Total lease book expense</v>
      </c>
      <c r="C68" s="771"/>
      <c r="D68" s="771"/>
      <c r="E68" s="962">
        <f>SUM(G68:M68)</f>
        <v>6260940</v>
      </c>
      <c r="F68" s="771"/>
      <c r="G68" s="772">
        <f t="shared" ref="G68:M68" si="21">IF($C$8="Lease",G26,G64)</f>
        <v>0</v>
      </c>
      <c r="H68" s="772">
        <f t="shared" si="21"/>
        <v>585960</v>
      </c>
      <c r="I68" s="772">
        <f t="shared" si="21"/>
        <v>810180</v>
      </c>
      <c r="J68" s="772">
        <f t="shared" si="21"/>
        <v>1034400</v>
      </c>
      <c r="K68" s="772">
        <f t="shared" si="21"/>
        <v>1204080</v>
      </c>
      <c r="L68" s="772">
        <f t="shared" si="21"/>
        <v>1276800</v>
      </c>
      <c r="M68" s="772">
        <f t="shared" si="21"/>
        <v>1349520</v>
      </c>
      <c r="N68" s="159"/>
    </row>
    <row r="69" spans="2:14" x14ac:dyDescent="0.25">
      <c r="B69" s="141" t="s">
        <v>470</v>
      </c>
      <c r="G69" s="773">
        <f t="shared" ref="G69:M69" si="22">+G68-G66</f>
        <v>0</v>
      </c>
      <c r="H69" s="773">
        <f t="shared" si="22"/>
        <v>0</v>
      </c>
      <c r="I69" s="773">
        <f t="shared" si="22"/>
        <v>0</v>
      </c>
      <c r="J69" s="773">
        <f t="shared" si="22"/>
        <v>0</v>
      </c>
      <c r="K69" s="773">
        <f t="shared" si="22"/>
        <v>0</v>
      </c>
      <c r="L69" s="773">
        <f t="shared" si="22"/>
        <v>0</v>
      </c>
      <c r="M69" s="773">
        <f t="shared" si="22"/>
        <v>0</v>
      </c>
    </row>
    <row r="72" spans="2:14" x14ac:dyDescent="0.25">
      <c r="B72" s="960" t="s">
        <v>770</v>
      </c>
      <c r="C72" s="960"/>
      <c r="D72" s="960"/>
      <c r="E72" s="960"/>
      <c r="F72" s="960"/>
      <c r="G72" s="960" t="s">
        <v>726</v>
      </c>
      <c r="H72" s="960" t="s">
        <v>404</v>
      </c>
      <c r="I72" s="960" t="s">
        <v>405</v>
      </c>
      <c r="J72" s="960" t="s">
        <v>406</v>
      </c>
      <c r="K72" s="960" t="s">
        <v>407</v>
      </c>
      <c r="L72" s="960" t="s">
        <v>408</v>
      </c>
      <c r="M72" s="960" t="s">
        <v>409</v>
      </c>
    </row>
    <row r="73" spans="2:14" x14ac:dyDescent="0.25">
      <c r="B73" s="956" t="s">
        <v>771</v>
      </c>
      <c r="C73" s="956"/>
      <c r="D73" s="956"/>
      <c r="E73" s="956"/>
      <c r="F73" s="956"/>
      <c r="G73" s="956"/>
      <c r="H73" s="957">
        <f t="shared" ref="H73:M73" si="23">IF($C$8="lease",H12,$C$34)</f>
        <v>50000</v>
      </c>
      <c r="I73" s="957">
        <f t="shared" si="23"/>
        <v>50000</v>
      </c>
      <c r="J73" s="957">
        <f t="shared" si="23"/>
        <v>50000</v>
      </c>
      <c r="K73" s="957">
        <f t="shared" si="23"/>
        <v>50000</v>
      </c>
      <c r="L73" s="957">
        <f t="shared" si="23"/>
        <v>50000</v>
      </c>
      <c r="M73" s="957">
        <f t="shared" si="23"/>
        <v>50000</v>
      </c>
    </row>
    <row r="74" spans="2:14" x14ac:dyDescent="0.25">
      <c r="B74" s="958" t="s">
        <v>537</v>
      </c>
      <c r="C74" s="956"/>
      <c r="D74" s="956"/>
      <c r="E74" s="956"/>
      <c r="F74" s="956"/>
      <c r="G74" s="956"/>
      <c r="H74" s="957">
        <f t="shared" ref="H74:M74" si="24">IF($C$8="lease",H17,H54)</f>
        <v>399960</v>
      </c>
      <c r="I74" s="957">
        <f t="shared" si="24"/>
        <v>624180</v>
      </c>
      <c r="J74" s="957">
        <f t="shared" si="24"/>
        <v>848400</v>
      </c>
      <c r="K74" s="957">
        <f t="shared" si="24"/>
        <v>1018080</v>
      </c>
      <c r="L74" s="957">
        <f t="shared" si="24"/>
        <v>1090800</v>
      </c>
      <c r="M74" s="957">
        <f t="shared" si="24"/>
        <v>1163520</v>
      </c>
    </row>
    <row r="75" spans="2:14" x14ac:dyDescent="0.25">
      <c r="B75" s="958" t="s">
        <v>15</v>
      </c>
      <c r="C75" s="956"/>
      <c r="D75" s="956"/>
      <c r="E75" s="956"/>
      <c r="F75" s="956"/>
      <c r="G75" s="956"/>
      <c r="H75" s="957">
        <f t="shared" ref="H75:M78" si="25">IF($C$8="lease",H18,H57)</f>
        <v>66000</v>
      </c>
      <c r="I75" s="957">
        <f t="shared" si="25"/>
        <v>66000</v>
      </c>
      <c r="J75" s="957">
        <f t="shared" si="25"/>
        <v>66000</v>
      </c>
      <c r="K75" s="957">
        <f t="shared" si="25"/>
        <v>66000</v>
      </c>
      <c r="L75" s="957">
        <f t="shared" si="25"/>
        <v>66000</v>
      </c>
      <c r="M75" s="957">
        <f t="shared" si="25"/>
        <v>66000</v>
      </c>
    </row>
    <row r="76" spans="2:14" x14ac:dyDescent="0.25">
      <c r="B76" s="958" t="s">
        <v>255</v>
      </c>
      <c r="C76" s="956"/>
      <c r="D76" s="956"/>
      <c r="E76" s="956"/>
      <c r="F76" s="956"/>
      <c r="G76" s="956"/>
      <c r="H76" s="957">
        <f t="shared" si="25"/>
        <v>87500</v>
      </c>
      <c r="I76" s="957">
        <f t="shared" si="25"/>
        <v>87500</v>
      </c>
      <c r="J76" s="957">
        <f t="shared" si="25"/>
        <v>87500</v>
      </c>
      <c r="K76" s="957">
        <f t="shared" si="25"/>
        <v>87500</v>
      </c>
      <c r="L76" s="957">
        <f t="shared" si="25"/>
        <v>87500</v>
      </c>
      <c r="M76" s="957">
        <f t="shared" si="25"/>
        <v>87500</v>
      </c>
    </row>
    <row r="77" spans="2:14" x14ac:dyDescent="0.25">
      <c r="B77" s="959" t="s">
        <v>773</v>
      </c>
      <c r="C77" s="956"/>
      <c r="D77" s="956"/>
      <c r="E77" s="956"/>
      <c r="F77" s="956"/>
      <c r="G77" s="956"/>
      <c r="H77" s="957">
        <f t="shared" si="25"/>
        <v>25000</v>
      </c>
      <c r="I77" s="957">
        <f t="shared" si="25"/>
        <v>25000</v>
      </c>
      <c r="J77" s="957">
        <f t="shared" si="25"/>
        <v>25000</v>
      </c>
      <c r="K77" s="957">
        <f t="shared" si="25"/>
        <v>25000</v>
      </c>
      <c r="L77" s="957">
        <f t="shared" si="25"/>
        <v>25000</v>
      </c>
      <c r="M77" s="957">
        <f t="shared" si="25"/>
        <v>25000</v>
      </c>
    </row>
    <row r="78" spans="2:14" x14ac:dyDescent="0.25">
      <c r="B78" s="959" t="s">
        <v>774</v>
      </c>
      <c r="C78" s="956"/>
      <c r="D78" s="956"/>
      <c r="E78" s="956"/>
      <c r="F78" s="956"/>
      <c r="G78" s="956"/>
      <c r="H78" s="957">
        <f t="shared" si="25"/>
        <v>7500</v>
      </c>
      <c r="I78" s="957">
        <f t="shared" si="25"/>
        <v>7500</v>
      </c>
      <c r="J78" s="957">
        <f t="shared" si="25"/>
        <v>7500</v>
      </c>
      <c r="K78" s="957">
        <f t="shared" si="25"/>
        <v>7500</v>
      </c>
      <c r="L78" s="957">
        <f t="shared" si="25"/>
        <v>7500</v>
      </c>
      <c r="M78" s="957">
        <f t="shared" si="25"/>
        <v>7500</v>
      </c>
    </row>
    <row r="79" spans="2:14" x14ac:dyDescent="0.25">
      <c r="B79" s="959" t="s">
        <v>651</v>
      </c>
      <c r="C79" s="956"/>
      <c r="D79" s="956"/>
      <c r="E79" s="956"/>
      <c r="F79" s="956"/>
      <c r="G79" s="956"/>
      <c r="H79" s="957">
        <f t="shared" ref="H79:M79" si="26">IF($C$8="lease",H23,0)</f>
        <v>0</v>
      </c>
      <c r="I79" s="957">
        <f t="shared" si="26"/>
        <v>0</v>
      </c>
      <c r="J79" s="957">
        <f t="shared" si="26"/>
        <v>0</v>
      </c>
      <c r="K79" s="957">
        <f t="shared" si="26"/>
        <v>0</v>
      </c>
      <c r="L79" s="957">
        <f t="shared" si="26"/>
        <v>0</v>
      </c>
      <c r="M79" s="957">
        <f t="shared" si="26"/>
        <v>0</v>
      </c>
    </row>
    <row r="80" spans="2:14" x14ac:dyDescent="0.25">
      <c r="B80" s="959" t="s">
        <v>652</v>
      </c>
      <c r="C80" s="956"/>
      <c r="D80" s="956"/>
      <c r="E80" s="956"/>
      <c r="F80" s="956"/>
      <c r="G80" s="956"/>
      <c r="H80" s="957">
        <f t="shared" ref="H80:M80" si="27">IF($C$8="lease",H22,0)</f>
        <v>0</v>
      </c>
      <c r="I80" s="957">
        <f t="shared" si="27"/>
        <v>0</v>
      </c>
      <c r="J80" s="957">
        <f t="shared" si="27"/>
        <v>0</v>
      </c>
      <c r="K80" s="957">
        <f t="shared" si="27"/>
        <v>0</v>
      </c>
      <c r="L80" s="957">
        <f t="shared" si="27"/>
        <v>0</v>
      </c>
      <c r="M80" s="957">
        <f t="shared" si="27"/>
        <v>0</v>
      </c>
    </row>
    <row r="81" spans="2:2" x14ac:dyDescent="0.25">
      <c r="B81" s="465" t="s">
        <v>775</v>
      </c>
    </row>
  </sheetData>
  <sheetProtection algorithmName="SHA-512" hashValue="bPYqmB/9Z3JUJ6C+Io+m0cqEDfSJux+84vv1nc/3JeAUUArko5jLRyEsAzH23c8fE5pwTMJlp6tzXJGa1pkMig==" saltValue="3x2/lX3ymToLpGUqIDeQWQ==" spinCount="100000" sheet="1" selectLockedCells="1"/>
  <mergeCells count="2">
    <mergeCell ref="H2:L2"/>
    <mergeCell ref="H3:L3"/>
  </mergeCells>
  <conditionalFormatting sqref="C49">
    <cfRule type="expression" dxfId="18" priority="3">
      <formula>"'=or(&lt;0.95*Facilities!$I$16,&gt;1.05*Facilities!$I$16,&lt;0.95*Facilities!$I$51,&gt;1.05*Facilities!$I$51)"</formula>
    </cfRule>
    <cfRule type="expression" priority="4">
      <formula>"'=or(&lt;.95*Facilities!$I$16,&gt;1.05*Facilities!$I$16,&lt;.95*Facilities!$I$51,&gt;1.05*Facilities!$I$51)"</formula>
    </cfRule>
  </conditionalFormatting>
  <conditionalFormatting sqref="G63:G64">
    <cfRule type="cellIs" dxfId="17" priority="5" stopIfTrue="1" operator="equal">
      <formula>0</formula>
    </cfRule>
  </conditionalFormatting>
  <pageMargins left="0.25" right="0.25" top="0.5" bottom="0.44999999999999996" header="0.25" footer="0.25"/>
  <pageSetup scale="54"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tint="-0.249977111117893"/>
  </sheetPr>
  <dimension ref="A1:N43"/>
  <sheetViews>
    <sheetView view="pageBreakPreview" zoomScale="70" zoomScaleNormal="85" zoomScaleSheetLayoutView="70" workbookViewId="0">
      <selection activeCell="L9" sqref="L9"/>
    </sheetView>
  </sheetViews>
  <sheetFormatPr defaultColWidth="9.140625" defaultRowHeight="12.75" x14ac:dyDescent="0.25"/>
  <cols>
    <col min="1" max="1" width="30" style="876" customWidth="1"/>
    <col min="2" max="2" width="30.85546875" style="876" customWidth="1"/>
    <col min="3" max="4" width="9" style="876" customWidth="1"/>
    <col min="5" max="5" width="7.42578125" style="876" customWidth="1"/>
    <col min="6" max="6" width="7" style="876" customWidth="1"/>
    <col min="7" max="7" width="10.140625" style="876" customWidth="1"/>
    <col min="8" max="8" width="8.28515625" style="876" customWidth="1"/>
    <col min="9" max="9" width="10" style="876" customWidth="1"/>
    <col min="10" max="10" width="8.5703125" style="876" customWidth="1"/>
    <col min="11" max="11" width="10" style="876" customWidth="1"/>
    <col min="12" max="12" width="11.42578125" style="876" customWidth="1"/>
    <col min="13" max="13" width="10.5703125" style="876" customWidth="1"/>
    <col min="14" max="14" width="2.85546875" style="876" customWidth="1"/>
    <col min="15" max="16384" width="9.140625" style="876"/>
  </cols>
  <sheetData>
    <row r="1" spans="1:14" ht="15.75" x14ac:dyDescent="0.2">
      <c r="A1" s="879" t="s">
        <v>865</v>
      </c>
      <c r="B1" s="879"/>
      <c r="G1" s="1143"/>
      <c r="H1" s="139" t="s">
        <v>404</v>
      </c>
      <c r="I1" s="139" t="s">
        <v>405</v>
      </c>
      <c r="J1" s="139" t="s">
        <v>406</v>
      </c>
      <c r="K1" s="139" t="s">
        <v>407</v>
      </c>
      <c r="L1" s="139" t="s">
        <v>408</v>
      </c>
      <c r="M1" s="140" t="s">
        <v>409</v>
      </c>
    </row>
    <row r="2" spans="1:14" ht="15.75" x14ac:dyDescent="0.25">
      <c r="A2" s="880" t="str">
        <f>SchoolName</f>
        <v xml:space="preserve">Alaka'i Heritage Academy </v>
      </c>
      <c r="B2" s="880"/>
      <c r="G2" s="1143"/>
      <c r="H2" s="1144">
        <f>+'Enrol Staff &amp; Exp'!H10</f>
        <v>2020</v>
      </c>
      <c r="I2" s="1145">
        <f>+H3</f>
        <v>2021</v>
      </c>
      <c r="J2" s="1145">
        <f>+I3</f>
        <v>2022</v>
      </c>
      <c r="K2" s="1145">
        <f>+J3</f>
        <v>2023</v>
      </c>
      <c r="L2" s="1145">
        <f>+K3</f>
        <v>2024</v>
      </c>
      <c r="M2" s="1146">
        <f>+L3</f>
        <v>2025</v>
      </c>
    </row>
    <row r="3" spans="1:14" ht="15.75" x14ac:dyDescent="0.25">
      <c r="A3" s="877" t="s">
        <v>415</v>
      </c>
      <c r="G3" s="1143"/>
      <c r="H3" s="1147">
        <f t="shared" ref="H3:M3" si="0">+H2+1</f>
        <v>2021</v>
      </c>
      <c r="I3" s="1148">
        <f t="shared" si="0"/>
        <v>2022</v>
      </c>
      <c r="J3" s="1148">
        <f t="shared" si="0"/>
        <v>2023</v>
      </c>
      <c r="K3" s="1148">
        <f t="shared" si="0"/>
        <v>2024</v>
      </c>
      <c r="L3" s="1148">
        <f t="shared" si="0"/>
        <v>2025</v>
      </c>
      <c r="M3" s="1149">
        <f t="shared" si="0"/>
        <v>2026</v>
      </c>
    </row>
    <row r="4" spans="1:14" ht="15" x14ac:dyDescent="0.25">
      <c r="A4" s="878" t="s">
        <v>452</v>
      </c>
      <c r="F4" s="876" t="s">
        <v>845</v>
      </c>
      <c r="H4" s="905">
        <f>+'Enrol Staff &amp; Exp'!H31</f>
        <v>330</v>
      </c>
      <c r="I4" s="905">
        <f>+'Enrol Staff &amp; Exp'!I31</f>
        <v>540</v>
      </c>
      <c r="J4" s="905">
        <f>+'Enrol Staff &amp; Exp'!J31</f>
        <v>760</v>
      </c>
      <c r="K4" s="905">
        <f>+'Enrol Staff &amp; Exp'!K31</f>
        <v>840</v>
      </c>
      <c r="L4" s="905">
        <f>+'Enrol Staff &amp; Exp'!L31</f>
        <v>900</v>
      </c>
      <c r="M4" s="905">
        <f>+'Enrol Staff &amp; Exp'!M31</f>
        <v>960</v>
      </c>
    </row>
    <row r="5" spans="1:14" ht="15" x14ac:dyDescent="0.25">
      <c r="A5" s="908" t="str">
        <f ca="1">CELL("filename")</f>
        <v>C:\Users\Kyle.McOmber\Work Folders\Desktop\Alaka'i Appeal Submissions\Second Submission\[Copy of Attachment 16 - Financial Plan Workbook - AHA (002).xlsx]Market</v>
      </c>
      <c r="F5" s="876" t="s">
        <v>846</v>
      </c>
      <c r="H5" s="905">
        <f>+'Enrol Staff &amp; Exp'!H16</f>
        <v>0</v>
      </c>
      <c r="I5" s="905">
        <f>+'Enrol Staff &amp; Exp'!I16</f>
        <v>0</v>
      </c>
      <c r="J5" s="905">
        <f>+'Enrol Staff &amp; Exp'!J16</f>
        <v>0</v>
      </c>
      <c r="K5" s="905">
        <f>+'Enrol Staff &amp; Exp'!K16</f>
        <v>0</v>
      </c>
      <c r="L5" s="905">
        <f>+'Enrol Staff &amp; Exp'!L16</f>
        <v>0</v>
      </c>
      <c r="M5" s="905">
        <f>+'Enrol Staff &amp; Exp'!M16</f>
        <v>0</v>
      </c>
    </row>
    <row r="6" spans="1:14" ht="15" x14ac:dyDescent="0.25">
      <c r="F6" s="876" t="s">
        <v>847</v>
      </c>
      <c r="H6" s="907" t="e">
        <f t="shared" ref="H6:M6" si="1">+H4/H5</f>
        <v>#DIV/0!</v>
      </c>
      <c r="I6" s="907" t="e">
        <f t="shared" si="1"/>
        <v>#DIV/0!</v>
      </c>
      <c r="J6" s="907" t="e">
        <f t="shared" si="1"/>
        <v>#DIV/0!</v>
      </c>
      <c r="K6" s="907" t="e">
        <f t="shared" si="1"/>
        <v>#DIV/0!</v>
      </c>
      <c r="L6" s="907" t="e">
        <f t="shared" si="1"/>
        <v>#DIV/0!</v>
      </c>
      <c r="M6" s="907" t="e">
        <f t="shared" si="1"/>
        <v>#DIV/0!</v>
      </c>
    </row>
    <row r="7" spans="1:14" ht="17.25" customHeight="1" x14ac:dyDescent="0.25">
      <c r="A7" s="980" t="s">
        <v>866</v>
      </c>
      <c r="B7" s="981"/>
      <c r="C7" s="981"/>
      <c r="D7" s="981"/>
      <c r="E7" s="981"/>
      <c r="F7" s="981"/>
      <c r="G7" s="981"/>
      <c r="H7" s="981"/>
      <c r="I7" s="981"/>
      <c r="J7" s="981"/>
      <c r="K7" s="981"/>
      <c r="L7" s="981"/>
      <c r="M7" s="981"/>
      <c r="N7" s="906"/>
    </row>
    <row r="8" spans="1:14" ht="19.5" customHeight="1" x14ac:dyDescent="0.25">
      <c r="A8" s="899" t="s">
        <v>836</v>
      </c>
      <c r="B8" s="901" t="s">
        <v>859</v>
      </c>
      <c r="C8" s="902" t="s">
        <v>834</v>
      </c>
      <c r="D8" s="902" t="s">
        <v>835</v>
      </c>
      <c r="E8" s="903" t="s">
        <v>840</v>
      </c>
      <c r="F8" s="1437" t="s">
        <v>781</v>
      </c>
      <c r="G8" s="1438"/>
      <c r="H8" s="1437" t="s">
        <v>782</v>
      </c>
      <c r="I8" s="1438"/>
      <c r="J8" s="1437" t="s">
        <v>783</v>
      </c>
      <c r="K8" s="1438"/>
      <c r="L8" s="1437" t="s">
        <v>860</v>
      </c>
      <c r="M8" s="1438"/>
    </row>
    <row r="9" spans="1:14" ht="15" x14ac:dyDescent="0.25">
      <c r="A9" s="922" t="s">
        <v>305</v>
      </c>
      <c r="B9" s="925" t="s">
        <v>784</v>
      </c>
      <c r="C9" s="900"/>
      <c r="D9" s="900"/>
      <c r="E9" s="926"/>
      <c r="F9" s="1150">
        <v>500</v>
      </c>
      <c r="G9" s="934"/>
      <c r="H9" s="1150">
        <v>400</v>
      </c>
      <c r="I9" s="942"/>
      <c r="J9" s="1150">
        <f>+H4</f>
        <v>330</v>
      </c>
      <c r="K9" s="942"/>
      <c r="L9" s="1150">
        <f>+K4</f>
        <v>840</v>
      </c>
      <c r="M9" s="942"/>
    </row>
    <row r="10" spans="1:14" ht="15" x14ac:dyDescent="0.25">
      <c r="A10" s="923" t="s">
        <v>785</v>
      </c>
      <c r="B10" s="927" t="s">
        <v>786</v>
      </c>
      <c r="C10" s="892"/>
      <c r="D10" s="892"/>
      <c r="E10" s="928"/>
      <c r="F10" s="935"/>
      <c r="G10" s="936"/>
      <c r="H10" s="943"/>
      <c r="I10" s="944"/>
      <c r="J10" s="943"/>
      <c r="K10" s="944"/>
      <c r="L10" s="943"/>
      <c r="M10" s="942"/>
    </row>
    <row r="11" spans="1:14" ht="15" x14ac:dyDescent="0.25">
      <c r="A11" s="923" t="s">
        <v>787</v>
      </c>
      <c r="B11" s="927" t="s">
        <v>788</v>
      </c>
      <c r="C11" s="892"/>
      <c r="D11" s="892"/>
      <c r="E11" s="928"/>
      <c r="F11" s="1150">
        <v>25</v>
      </c>
      <c r="G11" s="936"/>
      <c r="H11" s="1159">
        <v>25</v>
      </c>
      <c r="I11" s="944"/>
      <c r="J11" s="1164" t="e">
        <f>+H6</f>
        <v>#DIV/0!</v>
      </c>
      <c r="K11" s="944"/>
      <c r="L11" s="1164" t="e">
        <f>+K6</f>
        <v>#DIV/0!</v>
      </c>
      <c r="M11" s="942"/>
    </row>
    <row r="12" spans="1:14" ht="15" x14ac:dyDescent="0.25">
      <c r="A12" s="923" t="s">
        <v>848</v>
      </c>
      <c r="B12" s="927" t="s">
        <v>849</v>
      </c>
      <c r="C12" s="904">
        <v>55</v>
      </c>
      <c r="D12" s="904">
        <v>100</v>
      </c>
      <c r="E12" s="1152">
        <f>AVERAGE(C12:D12)</f>
        <v>77.5</v>
      </c>
      <c r="F12" s="1151">
        <v>600</v>
      </c>
      <c r="G12" s="937">
        <f>+F12*$E$12</f>
        <v>46500</v>
      </c>
      <c r="H12" s="1160">
        <v>800</v>
      </c>
      <c r="I12" s="937">
        <f>+H12*$E$12</f>
        <v>62000</v>
      </c>
      <c r="J12" s="1160">
        <v>500</v>
      </c>
      <c r="K12" s="937">
        <f>+J12*$E$12</f>
        <v>38750</v>
      </c>
      <c r="L12" s="1160">
        <v>700</v>
      </c>
      <c r="M12" s="937">
        <f>+L12*$E$12</f>
        <v>54250</v>
      </c>
    </row>
    <row r="13" spans="1:14" ht="15" x14ac:dyDescent="0.25">
      <c r="A13" s="923"/>
      <c r="B13" s="927"/>
      <c r="C13" s="892"/>
      <c r="D13" s="892"/>
      <c r="E13" s="929"/>
      <c r="F13" s="938"/>
      <c r="G13" s="934"/>
      <c r="H13" s="938"/>
      <c r="I13" s="942"/>
      <c r="J13" s="938"/>
      <c r="K13" s="942"/>
      <c r="L13" s="938"/>
      <c r="M13" s="942"/>
    </row>
    <row r="14" spans="1:14" ht="15" x14ac:dyDescent="0.25">
      <c r="A14" s="922" t="s">
        <v>844</v>
      </c>
      <c r="B14" s="927"/>
      <c r="C14" s="892"/>
      <c r="D14" s="892"/>
      <c r="E14" s="929"/>
      <c r="F14" s="935"/>
      <c r="G14" s="934"/>
      <c r="H14" s="935"/>
      <c r="I14" s="942"/>
      <c r="J14" s="935"/>
      <c r="K14" s="942"/>
      <c r="L14" s="935"/>
      <c r="M14" s="942"/>
    </row>
    <row r="15" spans="1:14" ht="24" customHeight="1" x14ac:dyDescent="0.25">
      <c r="A15" s="923" t="s">
        <v>789</v>
      </c>
      <c r="B15" s="927" t="s">
        <v>790</v>
      </c>
      <c r="C15" s="893">
        <v>750</v>
      </c>
      <c r="D15" s="893">
        <v>1000</v>
      </c>
      <c r="E15" s="1153">
        <v>850</v>
      </c>
      <c r="F15" s="935">
        <f>+F9/F11</f>
        <v>20</v>
      </c>
      <c r="G15" s="939">
        <f>+F15*$E15</f>
        <v>17000</v>
      </c>
      <c r="H15" s="935">
        <f>+H9/H11</f>
        <v>16</v>
      </c>
      <c r="I15" s="939">
        <f>+H15*$E15</f>
        <v>13600</v>
      </c>
      <c r="J15" s="935" t="e">
        <f>+J9/J11</f>
        <v>#DIV/0!</v>
      </c>
      <c r="K15" s="939" t="e">
        <f>+J15*$E15</f>
        <v>#DIV/0!</v>
      </c>
      <c r="L15" s="935" t="e">
        <f>+L9/L11</f>
        <v>#DIV/0!</v>
      </c>
      <c r="M15" s="939" t="e">
        <f>+L15*$E15</f>
        <v>#DIV/0!</v>
      </c>
    </row>
    <row r="16" spans="1:14" ht="15" x14ac:dyDescent="0.25">
      <c r="A16" s="923" t="s">
        <v>791</v>
      </c>
      <c r="B16" s="927" t="s">
        <v>792</v>
      </c>
      <c r="C16" s="893">
        <v>850</v>
      </c>
      <c r="D16" s="893">
        <v>1200</v>
      </c>
      <c r="E16" s="1153">
        <v>1000</v>
      </c>
      <c r="F16" s="1154">
        <v>2</v>
      </c>
      <c r="G16" s="940">
        <f t="shared" ref="G16:G28" si="2">+$E16*F16</f>
        <v>2000</v>
      </c>
      <c r="H16" s="1150">
        <v>2</v>
      </c>
      <c r="I16" s="940">
        <f t="shared" ref="I16:I28" si="3">+$E16*H16</f>
        <v>2000</v>
      </c>
      <c r="J16" s="1162">
        <v>0</v>
      </c>
      <c r="K16" s="940">
        <f t="shared" ref="K16:K28" si="4">+$E16*J16</f>
        <v>0</v>
      </c>
      <c r="L16" s="1162">
        <v>2</v>
      </c>
      <c r="M16" s="940">
        <f t="shared" ref="M16:M28" si="5">+$E16*L16</f>
        <v>2000</v>
      </c>
    </row>
    <row r="17" spans="1:13" ht="15" x14ac:dyDescent="0.25">
      <c r="A17" s="923" t="s">
        <v>793</v>
      </c>
      <c r="B17" s="927" t="s">
        <v>794</v>
      </c>
      <c r="C17" s="893">
        <v>850</v>
      </c>
      <c r="D17" s="893">
        <v>1200</v>
      </c>
      <c r="E17" s="1153">
        <v>1000</v>
      </c>
      <c r="F17" s="1155">
        <v>1</v>
      </c>
      <c r="G17" s="940">
        <f t="shared" si="2"/>
        <v>1000</v>
      </c>
      <c r="H17" s="1150">
        <v>1</v>
      </c>
      <c r="I17" s="940">
        <f t="shared" si="3"/>
        <v>1000</v>
      </c>
      <c r="J17" s="1162">
        <v>0</v>
      </c>
      <c r="K17" s="940">
        <f t="shared" si="4"/>
        <v>0</v>
      </c>
      <c r="L17" s="1162">
        <v>1</v>
      </c>
      <c r="M17" s="940">
        <f t="shared" si="5"/>
        <v>1000</v>
      </c>
    </row>
    <row r="18" spans="1:13" ht="31.5" customHeight="1" x14ac:dyDescent="0.25">
      <c r="A18" s="923" t="s">
        <v>795</v>
      </c>
      <c r="B18" s="927" t="s">
        <v>796</v>
      </c>
      <c r="C18" s="893"/>
      <c r="D18" s="893"/>
      <c r="E18" s="1153">
        <v>400</v>
      </c>
      <c r="F18" s="1155">
        <v>2</v>
      </c>
      <c r="G18" s="940">
        <f t="shared" si="2"/>
        <v>800</v>
      </c>
      <c r="H18" s="1150">
        <v>2</v>
      </c>
      <c r="I18" s="940">
        <f t="shared" si="3"/>
        <v>800</v>
      </c>
      <c r="J18" s="1162">
        <v>0</v>
      </c>
      <c r="K18" s="940">
        <f t="shared" si="4"/>
        <v>0</v>
      </c>
      <c r="L18" s="1162">
        <v>2</v>
      </c>
      <c r="M18" s="940">
        <f t="shared" si="5"/>
        <v>800</v>
      </c>
    </row>
    <row r="19" spans="1:13" ht="27.75" customHeight="1" x14ac:dyDescent="0.25">
      <c r="A19" s="923" t="s">
        <v>797</v>
      </c>
      <c r="B19" s="927" t="s">
        <v>798</v>
      </c>
      <c r="C19" s="893"/>
      <c r="D19" s="893"/>
      <c r="E19" s="1153">
        <v>100</v>
      </c>
      <c r="F19" s="1155">
        <v>4</v>
      </c>
      <c r="G19" s="940">
        <f t="shared" si="2"/>
        <v>400</v>
      </c>
      <c r="H19" s="1150">
        <v>4</v>
      </c>
      <c r="I19" s="940">
        <f t="shared" si="3"/>
        <v>400</v>
      </c>
      <c r="J19" s="1162">
        <v>0</v>
      </c>
      <c r="K19" s="940">
        <f t="shared" si="4"/>
        <v>0</v>
      </c>
      <c r="L19" s="1162">
        <v>4</v>
      </c>
      <c r="M19" s="940">
        <f t="shared" si="5"/>
        <v>400</v>
      </c>
    </row>
    <row r="20" spans="1:13" ht="15" x14ac:dyDescent="0.25">
      <c r="A20" s="923" t="s">
        <v>799</v>
      </c>
      <c r="B20" s="927" t="s">
        <v>800</v>
      </c>
      <c r="C20" s="893"/>
      <c r="D20" s="893"/>
      <c r="E20" s="1153">
        <v>400</v>
      </c>
      <c r="F20" s="1155">
        <v>1</v>
      </c>
      <c r="G20" s="940">
        <f t="shared" si="2"/>
        <v>400</v>
      </c>
      <c r="H20" s="1150">
        <v>1</v>
      </c>
      <c r="I20" s="940">
        <f t="shared" si="3"/>
        <v>400</v>
      </c>
      <c r="J20" s="1162">
        <v>0.25</v>
      </c>
      <c r="K20" s="940">
        <f t="shared" si="4"/>
        <v>100</v>
      </c>
      <c r="L20" s="1162">
        <v>1</v>
      </c>
      <c r="M20" s="940">
        <f t="shared" si="5"/>
        <v>400</v>
      </c>
    </row>
    <row r="21" spans="1:13" ht="15" x14ac:dyDescent="0.25">
      <c r="A21" s="923" t="s">
        <v>801</v>
      </c>
      <c r="B21" s="927" t="s">
        <v>802</v>
      </c>
      <c r="C21" s="893">
        <v>70</v>
      </c>
      <c r="D21" s="893">
        <v>100</v>
      </c>
      <c r="E21" s="1153">
        <v>100</v>
      </c>
      <c r="F21" s="1155">
        <v>4</v>
      </c>
      <c r="G21" s="940">
        <f t="shared" si="2"/>
        <v>400</v>
      </c>
      <c r="H21" s="1150">
        <v>4</v>
      </c>
      <c r="I21" s="940">
        <f t="shared" si="3"/>
        <v>400</v>
      </c>
      <c r="J21" s="1162">
        <v>2</v>
      </c>
      <c r="K21" s="940">
        <f t="shared" si="4"/>
        <v>200</v>
      </c>
      <c r="L21" s="1162">
        <v>4</v>
      </c>
      <c r="M21" s="940">
        <f t="shared" si="5"/>
        <v>400</v>
      </c>
    </row>
    <row r="22" spans="1:13" ht="15" x14ac:dyDescent="0.25">
      <c r="A22" s="923" t="s">
        <v>803</v>
      </c>
      <c r="B22" s="927" t="s">
        <v>804</v>
      </c>
      <c r="C22" s="893"/>
      <c r="D22" s="893"/>
      <c r="E22" s="1153">
        <v>400</v>
      </c>
      <c r="F22" s="1155">
        <v>1</v>
      </c>
      <c r="G22" s="940">
        <f t="shared" si="2"/>
        <v>400</v>
      </c>
      <c r="H22" s="1150">
        <v>1</v>
      </c>
      <c r="I22" s="940">
        <f t="shared" si="3"/>
        <v>400</v>
      </c>
      <c r="J22" s="1162">
        <v>1</v>
      </c>
      <c r="K22" s="940">
        <f t="shared" si="4"/>
        <v>400</v>
      </c>
      <c r="L22" s="1162">
        <v>1</v>
      </c>
      <c r="M22" s="940">
        <f t="shared" si="5"/>
        <v>400</v>
      </c>
    </row>
    <row r="23" spans="1:13" ht="15" x14ac:dyDescent="0.25">
      <c r="A23" s="923" t="s">
        <v>805</v>
      </c>
      <c r="B23" s="927" t="s">
        <v>806</v>
      </c>
      <c r="C23" s="893"/>
      <c r="D23" s="893"/>
      <c r="E23" s="1153">
        <v>600</v>
      </c>
      <c r="F23" s="1155">
        <v>1</v>
      </c>
      <c r="G23" s="940">
        <f t="shared" si="2"/>
        <v>600</v>
      </c>
      <c r="H23" s="1150">
        <v>1</v>
      </c>
      <c r="I23" s="940">
        <f t="shared" si="3"/>
        <v>600</v>
      </c>
      <c r="J23" s="1162">
        <v>0</v>
      </c>
      <c r="K23" s="940">
        <f t="shared" si="4"/>
        <v>0</v>
      </c>
      <c r="L23" s="1162">
        <v>1</v>
      </c>
      <c r="M23" s="940">
        <f t="shared" si="5"/>
        <v>600</v>
      </c>
    </row>
    <row r="24" spans="1:13" ht="15" x14ac:dyDescent="0.25">
      <c r="A24" s="923" t="s">
        <v>807</v>
      </c>
      <c r="B24" s="927" t="s">
        <v>808</v>
      </c>
      <c r="C24" s="893"/>
      <c r="D24" s="893"/>
      <c r="E24" s="1153">
        <v>1500</v>
      </c>
      <c r="F24" s="1155">
        <v>1</v>
      </c>
      <c r="G24" s="940">
        <f t="shared" si="2"/>
        <v>1500</v>
      </c>
      <c r="H24" s="1150">
        <v>1</v>
      </c>
      <c r="I24" s="940">
        <f t="shared" si="3"/>
        <v>1500</v>
      </c>
      <c r="J24" s="1162">
        <v>0</v>
      </c>
      <c r="K24" s="940">
        <f t="shared" si="4"/>
        <v>0</v>
      </c>
      <c r="L24" s="1162">
        <v>1</v>
      </c>
      <c r="M24" s="940">
        <f t="shared" si="5"/>
        <v>1500</v>
      </c>
    </row>
    <row r="25" spans="1:13" ht="15" x14ac:dyDescent="0.25">
      <c r="A25" s="923" t="s">
        <v>809</v>
      </c>
      <c r="B25" s="927" t="s">
        <v>810</v>
      </c>
      <c r="C25" s="893"/>
      <c r="D25" s="893"/>
      <c r="E25" s="1153">
        <v>200</v>
      </c>
      <c r="F25" s="1155">
        <v>1</v>
      </c>
      <c r="G25" s="940">
        <f t="shared" si="2"/>
        <v>200</v>
      </c>
      <c r="H25" s="1150">
        <v>1</v>
      </c>
      <c r="I25" s="940">
        <f t="shared" si="3"/>
        <v>200</v>
      </c>
      <c r="J25" s="1162">
        <v>0.5</v>
      </c>
      <c r="K25" s="940">
        <f t="shared" si="4"/>
        <v>100</v>
      </c>
      <c r="L25" s="1162">
        <v>1</v>
      </c>
      <c r="M25" s="940">
        <f t="shared" si="5"/>
        <v>200</v>
      </c>
    </row>
    <row r="26" spans="1:13" ht="15" x14ac:dyDescent="0.25">
      <c r="A26" s="923" t="s">
        <v>811</v>
      </c>
      <c r="B26" s="927" t="s">
        <v>812</v>
      </c>
      <c r="C26" s="893"/>
      <c r="D26" s="893"/>
      <c r="E26" s="1153">
        <v>400</v>
      </c>
      <c r="F26" s="1155">
        <v>2</v>
      </c>
      <c r="G26" s="940">
        <f t="shared" si="2"/>
        <v>800</v>
      </c>
      <c r="H26" s="1150">
        <v>2</v>
      </c>
      <c r="I26" s="940">
        <f t="shared" si="3"/>
        <v>800</v>
      </c>
      <c r="J26" s="1162">
        <v>2</v>
      </c>
      <c r="K26" s="940">
        <f t="shared" si="4"/>
        <v>800</v>
      </c>
      <c r="L26" s="1162">
        <v>2</v>
      </c>
      <c r="M26" s="940">
        <f t="shared" si="5"/>
        <v>800</v>
      </c>
    </row>
    <row r="27" spans="1:13" ht="15" x14ac:dyDescent="0.25">
      <c r="A27" s="923" t="s">
        <v>813</v>
      </c>
      <c r="B27" s="927" t="s">
        <v>814</v>
      </c>
      <c r="C27" s="893"/>
      <c r="D27" s="893"/>
      <c r="E27" s="1153">
        <v>100</v>
      </c>
      <c r="F27" s="1155">
        <v>3</v>
      </c>
      <c r="G27" s="940">
        <f t="shared" si="2"/>
        <v>300</v>
      </c>
      <c r="H27" s="1150">
        <v>3</v>
      </c>
      <c r="I27" s="940">
        <f t="shared" si="3"/>
        <v>300</v>
      </c>
      <c r="J27" s="1162">
        <v>3</v>
      </c>
      <c r="K27" s="940">
        <f t="shared" si="4"/>
        <v>300</v>
      </c>
      <c r="L27" s="1162">
        <v>3</v>
      </c>
      <c r="M27" s="940">
        <f t="shared" si="5"/>
        <v>300</v>
      </c>
    </row>
    <row r="28" spans="1:13" ht="30" x14ac:dyDescent="0.25">
      <c r="A28" s="923" t="s">
        <v>815</v>
      </c>
      <c r="B28" s="927" t="s">
        <v>816</v>
      </c>
      <c r="C28" s="893"/>
      <c r="D28" s="893"/>
      <c r="E28" s="1153">
        <v>4000</v>
      </c>
      <c r="F28" s="1155">
        <v>1</v>
      </c>
      <c r="G28" s="940">
        <f t="shared" si="2"/>
        <v>4000</v>
      </c>
      <c r="H28" s="1150">
        <v>0</v>
      </c>
      <c r="I28" s="940">
        <f t="shared" si="3"/>
        <v>0</v>
      </c>
      <c r="J28" s="1162">
        <v>0</v>
      </c>
      <c r="K28" s="940">
        <f t="shared" si="4"/>
        <v>0</v>
      </c>
      <c r="L28" s="1162">
        <v>0</v>
      </c>
      <c r="M28" s="940">
        <f t="shared" si="5"/>
        <v>0</v>
      </c>
    </row>
    <row r="29" spans="1:13" ht="30" x14ac:dyDescent="0.25">
      <c r="A29" s="923" t="s">
        <v>817</v>
      </c>
      <c r="B29" s="927" t="s">
        <v>818</v>
      </c>
      <c r="C29" s="893">
        <v>7</v>
      </c>
      <c r="D29" s="893">
        <v>10</v>
      </c>
      <c r="E29" s="930" t="s">
        <v>819</v>
      </c>
      <c r="F29" s="1156">
        <v>0</v>
      </c>
      <c r="G29" s="940">
        <f>+F29*F9</f>
        <v>0</v>
      </c>
      <c r="H29" s="1156">
        <v>7</v>
      </c>
      <c r="I29" s="940">
        <f>+H29*H9</f>
        <v>2800</v>
      </c>
      <c r="J29" s="1156">
        <v>7</v>
      </c>
      <c r="K29" s="940">
        <f>+J29*J9</f>
        <v>2310</v>
      </c>
      <c r="L29" s="1156">
        <v>7</v>
      </c>
      <c r="M29" s="940">
        <f>+L29*L9</f>
        <v>5880</v>
      </c>
    </row>
    <row r="30" spans="1:13" ht="15" x14ac:dyDescent="0.25">
      <c r="A30" s="923" t="s">
        <v>820</v>
      </c>
      <c r="B30" s="927" t="s">
        <v>821</v>
      </c>
      <c r="C30" s="893"/>
      <c r="D30" s="893"/>
      <c r="E30" s="1153">
        <v>1000</v>
      </c>
      <c r="F30" s="1155">
        <v>1</v>
      </c>
      <c r="G30" s="940">
        <f>+$E30*F30</f>
        <v>1000</v>
      </c>
      <c r="H30" s="1150">
        <v>1</v>
      </c>
      <c r="I30" s="940">
        <f>+$E30*H30</f>
        <v>1000</v>
      </c>
      <c r="J30" s="1162">
        <v>0</v>
      </c>
      <c r="K30" s="940">
        <f>+$E30*J30</f>
        <v>0</v>
      </c>
      <c r="L30" s="1162">
        <v>1</v>
      </c>
      <c r="M30" s="940">
        <f>+$E30*L30</f>
        <v>1000</v>
      </c>
    </row>
    <row r="31" spans="1:13" ht="15" x14ac:dyDescent="0.25">
      <c r="A31" s="923" t="s">
        <v>822</v>
      </c>
      <c r="B31" s="927" t="s">
        <v>823</v>
      </c>
      <c r="C31" s="893"/>
      <c r="D31" s="893"/>
      <c r="E31" s="1153">
        <v>300</v>
      </c>
      <c r="F31" s="1155">
        <v>2</v>
      </c>
      <c r="G31" s="940">
        <f>+$E31*F31</f>
        <v>600</v>
      </c>
      <c r="H31" s="1150">
        <v>2</v>
      </c>
      <c r="I31" s="940">
        <f>+$E31*H31</f>
        <v>600</v>
      </c>
      <c r="J31" s="1162">
        <v>1</v>
      </c>
      <c r="K31" s="940">
        <f>+$E31*J31</f>
        <v>300</v>
      </c>
      <c r="L31" s="1162">
        <v>2</v>
      </c>
      <c r="M31" s="940">
        <f>+$E31*L31</f>
        <v>600</v>
      </c>
    </row>
    <row r="32" spans="1:13" ht="15" x14ac:dyDescent="0.25">
      <c r="A32" s="923" t="s">
        <v>824</v>
      </c>
      <c r="B32" s="927" t="s">
        <v>825</v>
      </c>
      <c r="C32" s="893"/>
      <c r="D32" s="893"/>
      <c r="E32" s="1153">
        <v>150</v>
      </c>
      <c r="F32" s="1155">
        <v>1</v>
      </c>
      <c r="G32" s="940">
        <f>+$E32*F32</f>
        <v>150</v>
      </c>
      <c r="H32" s="1150">
        <v>1</v>
      </c>
      <c r="I32" s="940">
        <f>+$E32*H32</f>
        <v>150</v>
      </c>
      <c r="J32" s="1162">
        <v>0.2</v>
      </c>
      <c r="K32" s="940">
        <f>+$E32*J32</f>
        <v>30</v>
      </c>
      <c r="L32" s="1162">
        <v>1</v>
      </c>
      <c r="M32" s="940">
        <f>+$E32*L32</f>
        <v>150</v>
      </c>
    </row>
    <row r="33" spans="1:13" ht="15" x14ac:dyDescent="0.25">
      <c r="A33" s="923" t="s">
        <v>826</v>
      </c>
      <c r="B33" s="927" t="s">
        <v>827</v>
      </c>
      <c r="C33" s="893"/>
      <c r="D33" s="893"/>
      <c r="E33" s="1153">
        <v>250</v>
      </c>
      <c r="F33" s="1155">
        <v>1</v>
      </c>
      <c r="G33" s="940">
        <f>+$E33*F33</f>
        <v>250</v>
      </c>
      <c r="H33" s="1150">
        <v>1</v>
      </c>
      <c r="I33" s="940">
        <f>+$E33*H33</f>
        <v>250</v>
      </c>
      <c r="J33" s="1162">
        <v>0.2</v>
      </c>
      <c r="K33" s="940">
        <f>+$E33*J33</f>
        <v>50</v>
      </c>
      <c r="L33" s="1162">
        <v>1</v>
      </c>
      <c r="M33" s="940">
        <f>+$E33*L33</f>
        <v>250</v>
      </c>
    </row>
    <row r="34" spans="1:13" ht="30" x14ac:dyDescent="0.25">
      <c r="A34" s="924" t="s">
        <v>828</v>
      </c>
      <c r="B34" s="931" t="s">
        <v>829</v>
      </c>
      <c r="C34" s="894"/>
      <c r="D34" s="894"/>
      <c r="E34" s="1158">
        <v>200</v>
      </c>
      <c r="F34" s="1157">
        <v>1</v>
      </c>
      <c r="G34" s="941">
        <f>+$E34*F34</f>
        <v>200</v>
      </c>
      <c r="H34" s="1161">
        <v>1</v>
      </c>
      <c r="I34" s="941">
        <f>+$E34*H34</f>
        <v>200</v>
      </c>
      <c r="J34" s="1163">
        <v>0.5</v>
      </c>
      <c r="K34" s="941">
        <f>+$E34*J34</f>
        <v>100</v>
      </c>
      <c r="L34" s="1163">
        <v>1</v>
      </c>
      <c r="M34" s="941">
        <f>+$E34*L34</f>
        <v>200</v>
      </c>
    </row>
    <row r="35" spans="1:13" ht="30" x14ac:dyDescent="0.25">
      <c r="A35" s="881" t="s">
        <v>830</v>
      </c>
      <c r="B35" s="932"/>
      <c r="C35" s="891"/>
      <c r="D35" s="891"/>
      <c r="E35" s="933"/>
      <c r="F35" s="890"/>
      <c r="G35" s="882">
        <f>SUM(G15:G34)</f>
        <v>32000</v>
      </c>
      <c r="H35" s="883"/>
      <c r="I35" s="882">
        <f>SUM(I15:I34)</f>
        <v>27400</v>
      </c>
      <c r="J35" s="883"/>
      <c r="K35" s="882" t="e">
        <f>SUM(K15:K34)</f>
        <v>#DIV/0!</v>
      </c>
      <c r="L35" s="883"/>
      <c r="M35" s="882" t="e">
        <f>SUM(M15:M34)</f>
        <v>#DIV/0!</v>
      </c>
    </row>
    <row r="36" spans="1:13" ht="15" x14ac:dyDescent="0.25">
      <c r="A36" s="884" t="s">
        <v>831</v>
      </c>
      <c r="B36" s="947" t="s">
        <v>832</v>
      </c>
      <c r="C36" s="948"/>
      <c r="D36" s="948"/>
      <c r="E36" s="1165">
        <v>0.15</v>
      </c>
      <c r="F36" s="945"/>
      <c r="G36" s="885">
        <f>+G35*$E36</f>
        <v>4800</v>
      </c>
      <c r="H36" s="886"/>
      <c r="I36" s="885">
        <f>+I35*$E36</f>
        <v>4110</v>
      </c>
      <c r="J36" s="886"/>
      <c r="K36" s="885" t="e">
        <f>+K35*$E36</f>
        <v>#DIV/0!</v>
      </c>
      <c r="L36" s="886"/>
      <c r="M36" s="885" t="e">
        <f>+M35*$E36</f>
        <v>#DIV/0!</v>
      </c>
    </row>
    <row r="37" spans="1:13" ht="15" x14ac:dyDescent="0.25">
      <c r="A37" s="895" t="s">
        <v>837</v>
      </c>
      <c r="B37" s="896" t="s">
        <v>833</v>
      </c>
      <c r="C37" s="887"/>
      <c r="D37" s="887"/>
      <c r="E37" s="887"/>
      <c r="F37" s="887"/>
      <c r="G37" s="909">
        <f>+G35+G36</f>
        <v>36800</v>
      </c>
      <c r="H37" s="910"/>
      <c r="I37" s="909">
        <f>+I35+I36</f>
        <v>31510</v>
      </c>
      <c r="J37" s="910"/>
      <c r="K37" s="909" t="e">
        <f>+K35+K36</f>
        <v>#DIV/0!</v>
      </c>
      <c r="L37" s="910"/>
      <c r="M37" s="909" t="e">
        <f>+M35+M36</f>
        <v>#DIV/0!</v>
      </c>
    </row>
    <row r="38" spans="1:13" ht="15" x14ac:dyDescent="0.25">
      <c r="A38" s="897" t="s">
        <v>838</v>
      </c>
      <c r="B38" s="898" t="s">
        <v>839</v>
      </c>
      <c r="C38" s="887"/>
      <c r="D38" s="887"/>
      <c r="E38" s="887"/>
      <c r="F38" s="887"/>
      <c r="G38" s="888">
        <f>+G37/F9</f>
        <v>73.599999999999994</v>
      </c>
      <c r="H38" s="889"/>
      <c r="I38" s="888">
        <f>+I37/H9</f>
        <v>78.775000000000006</v>
      </c>
      <c r="J38" s="889"/>
      <c r="K38" s="888" t="e">
        <f>+K37/J9</f>
        <v>#DIV/0!</v>
      </c>
      <c r="L38" s="889"/>
      <c r="M38" s="888" t="e">
        <f>+M37/L9</f>
        <v>#DIV/0!</v>
      </c>
    </row>
    <row r="40" spans="1:13" x14ac:dyDescent="0.25">
      <c r="A40" s="946" t="s">
        <v>861</v>
      </c>
    </row>
    <row r="41" spans="1:13" x14ac:dyDescent="0.25">
      <c r="A41" s="876" t="s">
        <v>843</v>
      </c>
    </row>
    <row r="42" spans="1:13" x14ac:dyDescent="0.25">
      <c r="A42" s="876" t="s">
        <v>842</v>
      </c>
    </row>
    <row r="43" spans="1:13" x14ac:dyDescent="0.25">
      <c r="A43" s="876" t="s">
        <v>841</v>
      </c>
    </row>
  </sheetData>
  <sheetProtection algorithmName="SHA-512" hashValue="4Qn+m98zeC89CZssAmWxmsDgJ3NpHjRreV13ONJGnXFwiWY48S9sFr25w9sJkk6pCxXGyUQkDRyB1UikURaCDw==" saltValue="skyuIpN8Bmsah7vQSoqxdQ==" spinCount="100000" sheet="1" objects="1" scenarios="1"/>
  <mergeCells count="4">
    <mergeCell ref="F8:G8"/>
    <mergeCell ref="H8:I8"/>
    <mergeCell ref="J8:K8"/>
    <mergeCell ref="L8:M8"/>
  </mergeCells>
  <pageMargins left="0.25" right="0.25" top="0.5" bottom="0.44999999999999996" header="0.25" footer="0.25"/>
  <pageSetup scale="69" orientation="landscape" r:id="rId1"/>
  <headerFooter>
    <oddHeader xml:space="preserve">&amp;L &amp;C &amp;R </oddHeader>
    <oddFooter>&amp;L&amp;7&amp;D  at &amp;T Mike 702.486.8879&amp;C&amp;7&amp;F  &amp;A&amp;R&amp;7Page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N57"/>
  <sheetViews>
    <sheetView zoomScale="70" zoomScaleNormal="70" zoomScaleSheetLayoutView="85" workbookViewId="0">
      <selection activeCell="H45" sqref="H45"/>
    </sheetView>
  </sheetViews>
  <sheetFormatPr defaultColWidth="8.85546875" defaultRowHeight="15" x14ac:dyDescent="0.25"/>
  <cols>
    <col min="1" max="1" width="2.85546875" style="141" customWidth="1"/>
    <col min="2" max="2" width="58.7109375" style="141" customWidth="1"/>
    <col min="3" max="3" width="9" style="141" customWidth="1"/>
    <col min="4" max="4" width="17.28515625" style="141" customWidth="1"/>
    <col min="5" max="5" width="17.140625" style="150" customWidth="1"/>
    <col min="6" max="6" width="1.5703125" style="150" customWidth="1"/>
    <col min="7" max="7" width="12.28515625" style="150" customWidth="1"/>
    <col min="8" max="13" width="13.7109375" style="141" customWidth="1"/>
    <col min="14" max="14" width="27.85546875" style="141" bestFit="1" customWidth="1"/>
    <col min="15" max="15" width="11.5703125" style="141" bestFit="1" customWidth="1"/>
    <col min="16" max="16" width="8.85546875" style="141"/>
    <col min="17" max="17" width="17.28515625" style="141" customWidth="1"/>
    <col min="18" max="16384" width="8.85546875" style="141"/>
  </cols>
  <sheetData>
    <row r="1" spans="1:14" ht="15.75" x14ac:dyDescent="0.25">
      <c r="A1" s="457" t="s">
        <v>901</v>
      </c>
      <c r="B1" s="458"/>
      <c r="L1" s="680"/>
    </row>
    <row r="2" spans="1:14" ht="15.75" x14ac:dyDescent="0.25">
      <c r="A2" s="459" t="str">
        <f>SchoolName</f>
        <v xml:space="preserve">Alaka'i Heritage Academy </v>
      </c>
      <c r="B2" s="460"/>
      <c r="D2" s="223"/>
    </row>
    <row r="3" spans="1:14" x14ac:dyDescent="0.25">
      <c r="A3" s="154" t="s">
        <v>415</v>
      </c>
    </row>
    <row r="4" spans="1:14" x14ac:dyDescent="0.25">
      <c r="A4" s="155" t="s">
        <v>452</v>
      </c>
    </row>
    <row r="5" spans="1:14" x14ac:dyDescent="0.25">
      <c r="A5" s="129" t="str">
        <f ca="1">CELL("filename")</f>
        <v>C:\Users\Kyle.McOmber\Work Folders\Desktop\Alaka'i Appeal Submissions\Second Submission\[Copy of Attachment 16 - Financial Plan Workbook - AHA (002).xlsx]Market</v>
      </c>
    </row>
    <row r="6" spans="1:14" x14ac:dyDescent="0.25">
      <c r="G6" s="135" t="str">
        <f>'Enrol Staff &amp; Exp'!G9</f>
        <v>SY 0/Incubation</v>
      </c>
      <c r="H6" s="135" t="str">
        <f>'Enrol Staff &amp; Exp'!H9</f>
        <v>SY 1</v>
      </c>
      <c r="I6" s="135" t="str">
        <f>'Enrol Staff &amp; Exp'!I9</f>
        <v>SY 2</v>
      </c>
      <c r="J6" s="135" t="str">
        <f>'Enrol Staff &amp; Exp'!J9</f>
        <v>SY 3</v>
      </c>
      <c r="K6" s="135" t="str">
        <f>'Enrol Staff &amp; Exp'!K9</f>
        <v>SY 4</v>
      </c>
      <c r="L6" s="135" t="str">
        <f>'Enrol Staff &amp; Exp'!L9</f>
        <v>SY 5</v>
      </c>
      <c r="M6" s="135" t="str">
        <f>'Enrol Staff &amp; Exp'!M9</f>
        <v>SY 6</v>
      </c>
      <c r="N6" s="159"/>
    </row>
    <row r="7" spans="1:14" x14ac:dyDescent="0.25">
      <c r="G7" s="156">
        <f>'Enrol Staff &amp; Exp'!G10</f>
        <v>2019</v>
      </c>
      <c r="H7" s="156">
        <f>'Enrol Staff &amp; Exp'!H10</f>
        <v>2020</v>
      </c>
      <c r="I7" s="157">
        <f>'Enrol Staff &amp; Exp'!I10</f>
        <v>2021</v>
      </c>
      <c r="J7" s="157">
        <f>'Enrol Staff &amp; Exp'!J10</f>
        <v>2022</v>
      </c>
      <c r="K7" s="157">
        <f>'Enrol Staff &amp; Exp'!K10</f>
        <v>2023</v>
      </c>
      <c r="L7" s="157">
        <f>'Enrol Staff &amp; Exp'!L10</f>
        <v>2024</v>
      </c>
      <c r="M7" s="158">
        <f>'Enrol Staff &amp; Exp'!M10</f>
        <v>2025</v>
      </c>
      <c r="N7" s="159"/>
    </row>
    <row r="8" spans="1:14" x14ac:dyDescent="0.25">
      <c r="G8" s="138">
        <f>'Enrol Staff &amp; Exp'!G11</f>
        <v>2020</v>
      </c>
      <c r="H8" s="138">
        <f>'Enrol Staff &amp; Exp'!H11</f>
        <v>2021</v>
      </c>
      <c r="I8" s="139">
        <f>'Enrol Staff &amp; Exp'!I11</f>
        <v>2022</v>
      </c>
      <c r="J8" s="139">
        <f>'Enrol Staff &amp; Exp'!J11</f>
        <v>2023</v>
      </c>
      <c r="K8" s="139">
        <f>'Enrol Staff &amp; Exp'!K11</f>
        <v>2024</v>
      </c>
      <c r="L8" s="139">
        <f>'Enrol Staff &amp; Exp'!L11</f>
        <v>2025</v>
      </c>
      <c r="M8" s="140">
        <f>'Enrol Staff &amp; Exp'!M11</f>
        <v>2026</v>
      </c>
      <c r="N8" s="159"/>
    </row>
    <row r="9" spans="1:14" x14ac:dyDescent="0.25">
      <c r="C9" s="1285"/>
      <c r="N9" s="159"/>
    </row>
    <row r="10" spans="1:14" x14ac:dyDescent="0.25">
      <c r="B10" s="130" t="s">
        <v>70</v>
      </c>
      <c r="C10" s="130"/>
      <c r="H10" s="135"/>
      <c r="I10" s="135"/>
      <c r="J10" s="135"/>
      <c r="K10" s="135"/>
      <c r="L10" s="135"/>
      <c r="M10" s="135"/>
      <c r="N10" s="159"/>
    </row>
    <row r="11" spans="1:14" x14ac:dyDescent="0.25">
      <c r="B11" s="186" t="s">
        <v>224</v>
      </c>
      <c r="C11" s="623">
        <f>30000/12</f>
        <v>2500</v>
      </c>
      <c r="D11" s="187" t="s">
        <v>221</v>
      </c>
      <c r="E11" s="187"/>
      <c r="F11" s="187"/>
      <c r="G11" s="187"/>
      <c r="H11" s="187"/>
      <c r="I11" s="187"/>
      <c r="J11" s="187"/>
      <c r="K11" s="187"/>
      <c r="L11" s="187"/>
      <c r="M11" s="187"/>
      <c r="N11" s="159"/>
    </row>
    <row r="12" spans="1:14" x14ac:dyDescent="0.25">
      <c r="B12" s="188"/>
      <c r="C12" s="825">
        <v>2000</v>
      </c>
      <c r="D12" s="159" t="s">
        <v>20</v>
      </c>
      <c r="E12" s="159"/>
      <c r="F12" s="159"/>
      <c r="G12" s="159"/>
      <c r="H12" s="159"/>
      <c r="I12" s="159"/>
      <c r="J12" s="159"/>
      <c r="K12" s="159"/>
      <c r="L12" s="159"/>
      <c r="M12" s="159"/>
      <c r="N12" s="159"/>
    </row>
    <row r="13" spans="1:14" x14ac:dyDescent="0.25">
      <c r="B13" s="188"/>
      <c r="C13" s="189"/>
      <c r="D13" s="159"/>
      <c r="E13" s="159"/>
      <c r="F13" s="159"/>
      <c r="G13" s="159"/>
      <c r="H13" s="159"/>
      <c r="I13" s="159"/>
      <c r="J13" s="159"/>
      <c r="K13" s="159"/>
      <c r="L13" s="159"/>
      <c r="M13" s="159"/>
      <c r="N13" s="159"/>
    </row>
    <row r="14" spans="1:14" x14ac:dyDescent="0.25">
      <c r="B14" s="188" t="s">
        <v>14</v>
      </c>
      <c r="C14" s="623">
        <v>1</v>
      </c>
      <c r="D14" s="159" t="s">
        <v>173</v>
      </c>
      <c r="E14" s="159"/>
      <c r="F14" s="159"/>
      <c r="G14" s="159"/>
      <c r="H14" s="159"/>
      <c r="I14" s="159"/>
      <c r="J14" s="159"/>
      <c r="K14" s="159"/>
      <c r="L14" s="159"/>
      <c r="M14" s="159"/>
      <c r="N14" s="159"/>
    </row>
    <row r="15" spans="1:14" x14ac:dyDescent="0.25">
      <c r="B15" s="188" t="s">
        <v>10</v>
      </c>
      <c r="C15" s="825">
        <v>0</v>
      </c>
      <c r="D15" s="146" t="s">
        <v>195</v>
      </c>
      <c r="E15" s="146"/>
      <c r="F15" s="146"/>
      <c r="G15" s="146"/>
      <c r="H15" s="159"/>
      <c r="I15" s="159"/>
      <c r="J15" s="159"/>
      <c r="K15" s="159"/>
      <c r="L15" s="159"/>
      <c r="M15" s="159"/>
      <c r="N15" s="159"/>
    </row>
    <row r="16" spans="1:14" x14ac:dyDescent="0.25">
      <c r="B16" s="188" t="s">
        <v>137</v>
      </c>
      <c r="C16" s="623"/>
      <c r="D16" s="146" t="s">
        <v>136</v>
      </c>
      <c r="E16" s="146"/>
      <c r="F16" s="146"/>
      <c r="G16" s="146"/>
      <c r="H16" s="159"/>
      <c r="I16" s="159"/>
      <c r="J16" s="159"/>
      <c r="K16" s="159"/>
      <c r="L16" s="159"/>
      <c r="M16" s="159"/>
      <c r="N16" s="159"/>
    </row>
    <row r="17" spans="2:14" x14ac:dyDescent="0.25">
      <c r="B17" s="190"/>
      <c r="C17" s="191"/>
      <c r="D17" s="192"/>
      <c r="E17" s="192"/>
      <c r="F17" s="192"/>
      <c r="G17" s="192"/>
      <c r="H17" s="192"/>
      <c r="I17" s="192"/>
      <c r="J17" s="192"/>
      <c r="K17" s="192"/>
      <c r="L17" s="192"/>
      <c r="M17" s="192"/>
      <c r="N17" s="159"/>
    </row>
    <row r="18" spans="2:14" x14ac:dyDescent="0.25">
      <c r="B18" s="141" t="s">
        <v>254</v>
      </c>
      <c r="H18" s="180">
        <f>'Enrol Staff &amp; Exp'!H31</f>
        <v>330</v>
      </c>
      <c r="I18" s="180">
        <f>'Enrol Staff &amp; Exp'!I31</f>
        <v>540</v>
      </c>
      <c r="J18" s="180">
        <f>'Enrol Staff &amp; Exp'!J31</f>
        <v>760</v>
      </c>
      <c r="K18" s="180">
        <f>'Enrol Staff &amp; Exp'!K31</f>
        <v>840</v>
      </c>
      <c r="L18" s="180">
        <f>'Enrol Staff &amp; Exp'!L31</f>
        <v>900</v>
      </c>
      <c r="M18" s="180">
        <f>'Enrol Staff &amp; Exp'!M31</f>
        <v>960</v>
      </c>
      <c r="N18" s="193"/>
    </row>
    <row r="19" spans="2:14" x14ac:dyDescent="0.25">
      <c r="B19" s="130"/>
      <c r="C19" s="130"/>
      <c r="N19" s="159"/>
    </row>
    <row r="20" spans="2:14" x14ac:dyDescent="0.25">
      <c r="B20" s="141" t="s">
        <v>19</v>
      </c>
      <c r="D20" s="194"/>
      <c r="G20" s="1142"/>
      <c r="H20" s="180">
        <f t="shared" ref="H20:M20" si="0">IF(H18=0,0,IF(H18&gt;($C$12*5),6,IF(H18&gt;($C$12*4),5,IF(H18&gt;($C$12*3),4,IF(H18&gt;($C$12*2),3,IF(H18&gt;$C$12,2,IF(H18&gt;0,1)))))))</f>
        <v>1</v>
      </c>
      <c r="I20" s="180">
        <f t="shared" si="0"/>
        <v>1</v>
      </c>
      <c r="J20" s="180">
        <f t="shared" si="0"/>
        <v>1</v>
      </c>
      <c r="K20" s="180">
        <f t="shared" si="0"/>
        <v>1</v>
      </c>
      <c r="L20" s="180">
        <f t="shared" si="0"/>
        <v>1</v>
      </c>
      <c r="M20" s="180">
        <f t="shared" si="0"/>
        <v>1</v>
      </c>
      <c r="N20" s="159"/>
    </row>
    <row r="21" spans="2:14" x14ac:dyDescent="0.25">
      <c r="B21" s="150" t="s">
        <v>35</v>
      </c>
      <c r="D21" s="194"/>
      <c r="G21" s="1142"/>
      <c r="H21" s="180">
        <f t="shared" ref="H21:M21" si="1">H20*($C$11*12)</f>
        <v>30000</v>
      </c>
      <c r="I21" s="180">
        <f t="shared" si="1"/>
        <v>30000</v>
      </c>
      <c r="J21" s="180">
        <f t="shared" si="1"/>
        <v>30000</v>
      </c>
      <c r="K21" s="180">
        <f t="shared" si="1"/>
        <v>30000</v>
      </c>
      <c r="L21" s="180">
        <f t="shared" si="1"/>
        <v>30000</v>
      </c>
      <c r="M21" s="180">
        <f t="shared" si="1"/>
        <v>30000</v>
      </c>
      <c r="N21" s="159"/>
    </row>
    <row r="22" spans="2:14" x14ac:dyDescent="0.25">
      <c r="B22" s="150" t="s">
        <v>21</v>
      </c>
      <c r="D22" s="826">
        <v>4</v>
      </c>
      <c r="E22" s="150" t="s">
        <v>68</v>
      </c>
      <c r="G22" s="1142"/>
      <c r="H22" s="195">
        <f t="shared" ref="H22:M22" si="2">$D$22*H18</f>
        <v>1320</v>
      </c>
      <c r="I22" s="195">
        <f t="shared" si="2"/>
        <v>2160</v>
      </c>
      <c r="J22" s="195">
        <f t="shared" si="2"/>
        <v>3040</v>
      </c>
      <c r="K22" s="195">
        <f t="shared" si="2"/>
        <v>3360</v>
      </c>
      <c r="L22" s="195">
        <f t="shared" si="2"/>
        <v>3600</v>
      </c>
      <c r="M22" s="195">
        <f t="shared" si="2"/>
        <v>3840</v>
      </c>
      <c r="N22" s="159"/>
    </row>
    <row r="23" spans="2:14" x14ac:dyDescent="0.25">
      <c r="B23" s="150" t="s">
        <v>499</v>
      </c>
      <c r="D23" s="826">
        <v>0</v>
      </c>
      <c r="E23" s="150" t="s">
        <v>502</v>
      </c>
      <c r="G23" s="1142"/>
      <c r="H23" s="195">
        <f>$D$23*'Enrol Staff &amp; Exp'!H103</f>
        <v>0</v>
      </c>
      <c r="I23" s="195">
        <f>$D$23*('Enrol Staff &amp; Exp'!I103-'Enrol Staff &amp; Exp'!H103)</f>
        <v>0</v>
      </c>
      <c r="J23" s="195">
        <f>$D$23*('Enrol Staff &amp; Exp'!J103-'Enrol Staff &amp; Exp'!I103)</f>
        <v>0</v>
      </c>
      <c r="K23" s="195">
        <f>$D$23*('Enrol Staff &amp; Exp'!K103-'Enrol Staff &amp; Exp'!J103)</f>
        <v>0</v>
      </c>
      <c r="L23" s="195">
        <f>$D$23*('Enrol Staff &amp; Exp'!L103-'Enrol Staff &amp; Exp'!K103)</f>
        <v>0</v>
      </c>
      <c r="M23" s="195">
        <f>$D$23*('Enrol Staff &amp; Exp'!M103-'Enrol Staff &amp; Exp'!L103)</f>
        <v>0</v>
      </c>
      <c r="N23" s="159"/>
    </row>
    <row r="24" spans="2:14" x14ac:dyDescent="0.25">
      <c r="B24" s="150" t="s">
        <v>500</v>
      </c>
      <c r="D24" s="1283" t="s">
        <v>515</v>
      </c>
      <c r="G24" s="1142"/>
      <c r="H24" s="195"/>
      <c r="I24" s="195"/>
      <c r="J24" s="195"/>
      <c r="K24" s="195">
        <f>H23</f>
        <v>0</v>
      </c>
      <c r="L24" s="195">
        <f>I23</f>
        <v>0</v>
      </c>
      <c r="M24" s="195">
        <f>J23</f>
        <v>0</v>
      </c>
      <c r="N24" s="159"/>
    </row>
    <row r="25" spans="2:14" x14ac:dyDescent="0.25">
      <c r="B25" s="150" t="s">
        <v>501</v>
      </c>
      <c r="D25" s="1284" t="s">
        <v>516</v>
      </c>
      <c r="G25" s="1142"/>
      <c r="H25" s="195">
        <f>H23/3</f>
        <v>0</v>
      </c>
      <c r="I25" s="195">
        <f>H25+(I23/3)</f>
        <v>0</v>
      </c>
      <c r="J25" s="195">
        <f>I25+(J23/3)</f>
        <v>0</v>
      </c>
      <c r="K25" s="195">
        <f>J25+(K23/3)+(K24/3)-(H23/3)</f>
        <v>0</v>
      </c>
      <c r="L25" s="195">
        <f>K25+(L23/3)+(L24/3)-(I23/3)</f>
        <v>0</v>
      </c>
      <c r="M25" s="195">
        <f>L25+(M23/3)+(M24/3)-(J23/3)</f>
        <v>0</v>
      </c>
      <c r="N25" s="159"/>
    </row>
    <row r="26" spans="2:14" s="150" customFormat="1" ht="14.25" customHeight="1" x14ac:dyDescent="0.25">
      <c r="B26" s="150" t="s">
        <v>503</v>
      </c>
      <c r="D26" s="827">
        <v>0</v>
      </c>
      <c r="E26" s="150" t="s">
        <v>195</v>
      </c>
      <c r="G26" s="1142"/>
      <c r="H26" s="196">
        <f>(($D$26*$C$15*$C$14)+$C$16)*'Enrol Staff &amp; Exp'!H15</f>
        <v>0</v>
      </c>
      <c r="I26" s="196">
        <f>(($D$26*$C$15*$C$14)+$C$16)*('Enrol Staff &amp; Exp'!I15-'Enrol Staff &amp; Exp'!H15)</f>
        <v>0</v>
      </c>
      <c r="J26" s="196">
        <f>(($D$26*$C$15*$C$14)+$C$16)*('Enrol Staff &amp; Exp'!J15-'Enrol Staff &amp; Exp'!I15)</f>
        <v>0</v>
      </c>
      <c r="K26" s="196">
        <f>(($D$26*$C$15*$C$14)+$C$16)*('Enrol Staff &amp; Exp'!K15-'Enrol Staff &amp; Exp'!J15)</f>
        <v>0</v>
      </c>
      <c r="L26" s="196">
        <f>(($D$26*$C$15*$C$14)+$C$16)*('Enrol Staff &amp; Exp'!L15-'Enrol Staff &amp; Exp'!K15)</f>
        <v>0</v>
      </c>
      <c r="M26" s="196">
        <f>(($D$26*$C$15*$C$14)+$C$16)*('Enrol Staff &amp; Exp'!M15-'Enrol Staff &amp; Exp'!L15)</f>
        <v>0</v>
      </c>
      <c r="N26" s="168"/>
    </row>
    <row r="27" spans="2:14" s="150" customFormat="1" x14ac:dyDescent="0.25">
      <c r="B27" s="150" t="s">
        <v>504</v>
      </c>
      <c r="D27" s="1283" t="s">
        <v>515</v>
      </c>
      <c r="G27" s="1142"/>
      <c r="H27" s="196"/>
      <c r="I27" s="196"/>
      <c r="J27" s="196"/>
      <c r="K27" s="196">
        <f>+H26</f>
        <v>0</v>
      </c>
      <c r="L27" s="196">
        <f>+I26</f>
        <v>0</v>
      </c>
      <c r="M27" s="196">
        <f>+J26</f>
        <v>0</v>
      </c>
      <c r="N27" s="168"/>
    </row>
    <row r="28" spans="2:14" s="150" customFormat="1" x14ac:dyDescent="0.25">
      <c r="B28" s="150" t="s">
        <v>505</v>
      </c>
      <c r="D28" s="1283" t="s">
        <v>516</v>
      </c>
      <c r="G28" s="1142"/>
      <c r="H28" s="195">
        <f>H26/3</f>
        <v>0</v>
      </c>
      <c r="I28" s="195">
        <f>H28+(I26/3)</f>
        <v>0</v>
      </c>
      <c r="J28" s="195">
        <f>I28+(J26/3)</f>
        <v>0</v>
      </c>
      <c r="K28" s="195">
        <f>J28+(K26/3)+(K27/3)-(H26/3)</f>
        <v>0</v>
      </c>
      <c r="L28" s="195">
        <f>K28+(L26/3)+(L27/3)-(I26/3)</f>
        <v>0</v>
      </c>
      <c r="M28" s="195">
        <f>L28+(M26/3)+(M27/3)-(J26/3)</f>
        <v>0</v>
      </c>
      <c r="N28" s="168"/>
    </row>
    <row r="29" spans="2:14" x14ac:dyDescent="0.25">
      <c r="B29" s="150" t="s">
        <v>506</v>
      </c>
      <c r="C29" s="150"/>
      <c r="D29" s="826">
        <v>0</v>
      </c>
      <c r="E29" s="150" t="s">
        <v>142</v>
      </c>
      <c r="G29" s="1142"/>
      <c r="H29" s="195">
        <f>$D$29*'Enrol Staff &amp; Exp'!H103</f>
        <v>0</v>
      </c>
      <c r="I29" s="195">
        <f>$D29*('Enrol Staff &amp; Exp'!I103-'Enrol Staff &amp; Exp'!H103)</f>
        <v>0</v>
      </c>
      <c r="J29" s="195">
        <f>$D29*('Enrol Staff &amp; Exp'!J103-'Enrol Staff &amp; Exp'!I103)</f>
        <v>0</v>
      </c>
      <c r="K29" s="195">
        <f>$D29*('Enrol Staff &amp; Exp'!K103-'Enrol Staff &amp; Exp'!J103)</f>
        <v>0</v>
      </c>
      <c r="L29" s="195">
        <f>$D29*('Enrol Staff &amp; Exp'!L103-'Enrol Staff &amp; Exp'!K103)</f>
        <v>0</v>
      </c>
      <c r="M29" s="195">
        <f>$D29*('Enrol Staff &amp; Exp'!M103-'Enrol Staff &amp; Exp'!L103)</f>
        <v>0</v>
      </c>
      <c r="N29" s="159"/>
    </row>
    <row r="30" spans="2:14" x14ac:dyDescent="0.25">
      <c r="B30" s="150" t="s">
        <v>507</v>
      </c>
      <c r="C30" s="150"/>
      <c r="D30" s="1283" t="s">
        <v>515</v>
      </c>
      <c r="G30" s="1142"/>
      <c r="H30" s="195"/>
      <c r="I30" s="195"/>
      <c r="J30" s="195"/>
      <c r="K30" s="195">
        <f>H29</f>
        <v>0</v>
      </c>
      <c r="L30" s="195">
        <f>I29</f>
        <v>0</v>
      </c>
      <c r="M30" s="195">
        <f>J29</f>
        <v>0</v>
      </c>
      <c r="N30" s="159"/>
    </row>
    <row r="31" spans="2:14" x14ac:dyDescent="0.25">
      <c r="B31" s="150" t="s">
        <v>508</v>
      </c>
      <c r="C31" s="150"/>
      <c r="D31" s="1283" t="s">
        <v>516</v>
      </c>
      <c r="G31" s="1142"/>
      <c r="H31" s="195">
        <f>H29/3</f>
        <v>0</v>
      </c>
      <c r="I31" s="195">
        <f>H31+(I29/3)</f>
        <v>0</v>
      </c>
      <c r="J31" s="195">
        <f>I31+(J29/3)</f>
        <v>0</v>
      </c>
      <c r="K31" s="195">
        <f>J31+(K29/3)+(K30/3)-(H29/3)</f>
        <v>0</v>
      </c>
      <c r="L31" s="195">
        <f>K31+(L29/3)+(L30/3)-(I29/3)</f>
        <v>0</v>
      </c>
      <c r="M31" s="195">
        <f>L31+(M29/3)+(M30/3)-(J29/3)</f>
        <v>0</v>
      </c>
      <c r="N31" s="159"/>
    </row>
    <row r="32" spans="2:14" x14ac:dyDescent="0.25">
      <c r="B32" s="150" t="s">
        <v>282</v>
      </c>
      <c r="D32" s="826">
        <v>0</v>
      </c>
      <c r="E32" s="150" t="s">
        <v>221</v>
      </c>
      <c r="G32" s="1142"/>
      <c r="H32" s="195">
        <f>($D$32*12)*'Enrol Staff &amp; Exp'!H103</f>
        <v>0</v>
      </c>
      <c r="I32" s="195">
        <f>($D$32*12)*'Enrol Staff &amp; Exp'!I103</f>
        <v>0</v>
      </c>
      <c r="J32" s="195">
        <f>($D$32*12)*'Enrol Staff &amp; Exp'!J103</f>
        <v>0</v>
      </c>
      <c r="K32" s="195">
        <f>($D$32*12)*'Enrol Staff &amp; Exp'!K103</f>
        <v>0</v>
      </c>
      <c r="L32" s="195">
        <f>($D$32*12)*'Enrol Staff &amp; Exp'!L103</f>
        <v>0</v>
      </c>
      <c r="M32" s="195">
        <f>($D$32*12)*'Enrol Staff &amp; Exp'!M103</f>
        <v>0</v>
      </c>
      <c r="N32" s="159"/>
    </row>
    <row r="33" spans="2:14" x14ac:dyDescent="0.25">
      <c r="B33" s="150" t="s">
        <v>204</v>
      </c>
      <c r="C33" s="150"/>
      <c r="D33" s="826">
        <v>0</v>
      </c>
      <c r="E33" s="150" t="s">
        <v>86</v>
      </c>
      <c r="G33" s="1142"/>
      <c r="H33" s="196">
        <f>D33</f>
        <v>0</v>
      </c>
      <c r="I33" s="196"/>
      <c r="J33" s="196"/>
      <c r="K33" s="196"/>
      <c r="L33" s="196"/>
      <c r="M33" s="196"/>
      <c r="N33" s="159"/>
    </row>
    <row r="34" spans="2:14" x14ac:dyDescent="0.25">
      <c r="B34" s="150" t="s">
        <v>509</v>
      </c>
      <c r="D34" s="826">
        <v>0</v>
      </c>
      <c r="E34" s="168" t="s">
        <v>87</v>
      </c>
      <c r="F34" s="168"/>
      <c r="G34" s="1142"/>
      <c r="H34" s="196">
        <f>D34</f>
        <v>0</v>
      </c>
      <c r="I34" s="196"/>
      <c r="J34" s="196"/>
      <c r="K34" s="196"/>
      <c r="L34" s="196"/>
      <c r="M34" s="196"/>
      <c r="N34" s="159"/>
    </row>
    <row r="35" spans="2:14" x14ac:dyDescent="0.25">
      <c r="B35" s="150" t="s">
        <v>510</v>
      </c>
      <c r="D35" s="1283" t="s">
        <v>517</v>
      </c>
      <c r="E35" s="168"/>
      <c r="F35" s="168"/>
      <c r="G35" s="1142"/>
      <c r="H35" s="196"/>
      <c r="I35" s="196"/>
      <c r="J35" s="196"/>
      <c r="K35" s="196"/>
      <c r="L35" s="196"/>
      <c r="M35" s="196">
        <f>+H34</f>
        <v>0</v>
      </c>
      <c r="N35" s="159"/>
    </row>
    <row r="36" spans="2:14" x14ac:dyDescent="0.25">
      <c r="B36" s="150" t="s">
        <v>511</v>
      </c>
      <c r="D36" s="1283" t="s">
        <v>516</v>
      </c>
      <c r="E36" s="168"/>
      <c r="F36" s="168"/>
      <c r="G36" s="1142"/>
      <c r="H36" s="196">
        <f>H34/5</f>
        <v>0</v>
      </c>
      <c r="I36" s="196">
        <f>+H36</f>
        <v>0</v>
      </c>
      <c r="J36" s="196">
        <f>+I36</f>
        <v>0</v>
      </c>
      <c r="K36" s="196">
        <f>+J36</f>
        <v>0</v>
      </c>
      <c r="L36" s="196">
        <f>+K36</f>
        <v>0</v>
      </c>
      <c r="M36" s="196">
        <f>+L36</f>
        <v>0</v>
      </c>
      <c r="N36" s="159"/>
    </row>
    <row r="37" spans="2:14" x14ac:dyDescent="0.25">
      <c r="B37" s="150" t="s">
        <v>512</v>
      </c>
      <c r="D37" s="826">
        <v>0</v>
      </c>
      <c r="E37" s="168" t="s">
        <v>285</v>
      </c>
      <c r="F37" s="168"/>
      <c r="G37" s="1142"/>
      <c r="H37" s="196">
        <f>'Enrol Staff &amp; Exp'!H16*'FFE&amp;T'!D37</f>
        <v>0</v>
      </c>
      <c r="I37" s="196">
        <f>$D$37*('Enrol Staff &amp; Exp'!I16-'Enrol Staff &amp; Exp'!H16)</f>
        <v>0</v>
      </c>
      <c r="J37" s="196">
        <f>$D$37*('Enrol Staff &amp; Exp'!J16-'Enrol Staff &amp; Exp'!I16)</f>
        <v>0</v>
      </c>
      <c r="K37" s="196">
        <f>$D$37*('Enrol Staff &amp; Exp'!K16-'Enrol Staff &amp; Exp'!J16)</f>
        <v>0</v>
      </c>
      <c r="L37" s="196">
        <f>$D$37*('Enrol Staff &amp; Exp'!L16-'Enrol Staff &amp; Exp'!K16)</f>
        <v>0</v>
      </c>
      <c r="M37" s="196">
        <f>$D$37*('Enrol Staff &amp; Exp'!M16-'Enrol Staff &amp; Exp'!L16)</f>
        <v>0</v>
      </c>
      <c r="N37" s="159"/>
    </row>
    <row r="38" spans="2:14" x14ac:dyDescent="0.25">
      <c r="B38" s="150" t="s">
        <v>513</v>
      </c>
      <c r="D38" s="1283" t="s">
        <v>515</v>
      </c>
      <c r="E38" s="168"/>
      <c r="F38" s="168"/>
      <c r="G38" s="1142"/>
      <c r="H38" s="196"/>
      <c r="I38" s="196"/>
      <c r="J38" s="196"/>
      <c r="K38" s="196">
        <f>+H37</f>
        <v>0</v>
      </c>
      <c r="L38" s="196">
        <f>+I37</f>
        <v>0</v>
      </c>
      <c r="M38" s="196">
        <f>+J37</f>
        <v>0</v>
      </c>
      <c r="N38" s="159"/>
    </row>
    <row r="39" spans="2:14" x14ac:dyDescent="0.25">
      <c r="B39" s="150" t="s">
        <v>514</v>
      </c>
      <c r="D39" s="1283" t="s">
        <v>516</v>
      </c>
      <c r="E39" s="168"/>
      <c r="F39" s="168"/>
      <c r="G39" s="1142"/>
      <c r="H39" s="195">
        <f>H37/3</f>
        <v>0</v>
      </c>
      <c r="I39" s="195">
        <f>H39+(I37/3)</f>
        <v>0</v>
      </c>
      <c r="J39" s="195">
        <f>I39+(J37/3)</f>
        <v>0</v>
      </c>
      <c r="K39" s="195">
        <f>J39+(K37/3)+(K38/3)-(H37/3)</f>
        <v>0</v>
      </c>
      <c r="L39" s="195">
        <f>K39+(L37/3)+(L38/3)-(I37/3)</f>
        <v>0</v>
      </c>
      <c r="M39" s="195">
        <f>L39+(M37/3)+(M38/3)-(J37/3)</f>
        <v>0</v>
      </c>
      <c r="N39" s="159"/>
    </row>
    <row r="40" spans="2:14" x14ac:dyDescent="0.25">
      <c r="B40" s="150" t="s">
        <v>638</v>
      </c>
      <c r="D40" s="826">
        <v>0</v>
      </c>
      <c r="E40" s="168" t="s">
        <v>68</v>
      </c>
      <c r="F40" s="168"/>
      <c r="G40" s="1142"/>
      <c r="H40" s="196">
        <f t="shared" ref="H40:M40" si="3">$D$40*H18</f>
        <v>0</v>
      </c>
      <c r="I40" s="196">
        <f t="shared" si="3"/>
        <v>0</v>
      </c>
      <c r="J40" s="196">
        <f t="shared" si="3"/>
        <v>0</v>
      </c>
      <c r="K40" s="196">
        <f t="shared" si="3"/>
        <v>0</v>
      </c>
      <c r="L40" s="196">
        <f t="shared" si="3"/>
        <v>0</v>
      </c>
      <c r="M40" s="196">
        <f t="shared" si="3"/>
        <v>0</v>
      </c>
      <c r="N40" s="159"/>
    </row>
    <row r="41" spans="2:14" x14ac:dyDescent="0.25">
      <c r="B41" s="150" t="s">
        <v>269</v>
      </c>
      <c r="D41" s="826">
        <v>0</v>
      </c>
      <c r="E41" s="150" t="s">
        <v>221</v>
      </c>
      <c r="G41" s="1142"/>
      <c r="H41" s="195">
        <f t="shared" ref="H41:M41" si="4">$D$41*12</f>
        <v>0</v>
      </c>
      <c r="I41" s="195">
        <f t="shared" si="4"/>
        <v>0</v>
      </c>
      <c r="J41" s="195">
        <f t="shared" si="4"/>
        <v>0</v>
      </c>
      <c r="K41" s="195">
        <f t="shared" si="4"/>
        <v>0</v>
      </c>
      <c r="L41" s="195">
        <f t="shared" si="4"/>
        <v>0</v>
      </c>
      <c r="M41" s="195">
        <f t="shared" si="4"/>
        <v>0</v>
      </c>
      <c r="N41" s="159"/>
    </row>
    <row r="42" spans="2:14" x14ac:dyDescent="0.25">
      <c r="B42" s="150" t="s">
        <v>82</v>
      </c>
      <c r="D42" s="826">
        <v>0</v>
      </c>
      <c r="E42" s="150" t="s">
        <v>221</v>
      </c>
      <c r="G42" s="1142"/>
      <c r="H42" s="195">
        <f t="shared" ref="H42:M42" si="5">$D$42*12</f>
        <v>0</v>
      </c>
      <c r="I42" s="195">
        <f t="shared" si="5"/>
        <v>0</v>
      </c>
      <c r="J42" s="195">
        <f t="shared" si="5"/>
        <v>0</v>
      </c>
      <c r="K42" s="195">
        <f t="shared" si="5"/>
        <v>0</v>
      </c>
      <c r="L42" s="195">
        <f t="shared" si="5"/>
        <v>0</v>
      </c>
      <c r="M42" s="195">
        <f t="shared" si="5"/>
        <v>0</v>
      </c>
      <c r="N42" s="159"/>
    </row>
    <row r="43" spans="2:14" x14ac:dyDescent="0.25">
      <c r="B43" s="150" t="s">
        <v>518</v>
      </c>
      <c r="D43" s="826">
        <v>0</v>
      </c>
      <c r="E43" s="150" t="s">
        <v>12</v>
      </c>
      <c r="G43" s="1142"/>
      <c r="H43" s="645">
        <v>61000</v>
      </c>
      <c r="I43" s="645">
        <v>125000</v>
      </c>
      <c r="J43" s="645">
        <v>176000</v>
      </c>
      <c r="K43" s="645">
        <v>219000</v>
      </c>
      <c r="L43" s="645">
        <v>182000</v>
      </c>
      <c r="M43" s="645">
        <v>134000</v>
      </c>
      <c r="N43" s="159"/>
    </row>
    <row r="44" spans="2:14" x14ac:dyDescent="0.25">
      <c r="B44" s="150" t="s">
        <v>519</v>
      </c>
      <c r="D44" s="826">
        <v>0</v>
      </c>
      <c r="E44" s="150" t="s">
        <v>521</v>
      </c>
      <c r="G44" s="1142"/>
      <c r="H44" s="645">
        <v>0</v>
      </c>
      <c r="I44" s="645">
        <v>0</v>
      </c>
      <c r="J44" s="645">
        <v>0</v>
      </c>
      <c r="K44" s="645">
        <v>0</v>
      </c>
      <c r="L44" s="645">
        <v>0</v>
      </c>
      <c r="M44" s="645">
        <v>0</v>
      </c>
      <c r="N44" s="159"/>
    </row>
    <row r="45" spans="2:14" x14ac:dyDescent="0.25">
      <c r="B45" s="150" t="s">
        <v>520</v>
      </c>
      <c r="D45" s="826">
        <v>0</v>
      </c>
      <c r="G45" s="1142"/>
      <c r="H45" s="645">
        <f>H43</f>
        <v>61000</v>
      </c>
      <c r="I45" s="645">
        <f t="shared" ref="I45:M45" si="6">I43</f>
        <v>125000</v>
      </c>
      <c r="J45" s="645">
        <f t="shared" si="6"/>
        <v>176000</v>
      </c>
      <c r="K45" s="645">
        <f t="shared" si="6"/>
        <v>219000</v>
      </c>
      <c r="L45" s="645">
        <f t="shared" si="6"/>
        <v>182000</v>
      </c>
      <c r="M45" s="645">
        <f t="shared" si="6"/>
        <v>134000</v>
      </c>
      <c r="N45" s="159"/>
    </row>
    <row r="46" spans="2:14" x14ac:dyDescent="0.25">
      <c r="B46" s="150" t="s">
        <v>1</v>
      </c>
      <c r="D46" s="826">
        <v>0</v>
      </c>
      <c r="E46" s="150" t="s">
        <v>221</v>
      </c>
      <c r="G46" s="1142"/>
      <c r="H46" s="195">
        <f t="shared" ref="H46:M46" si="7">$D$46*12</f>
        <v>0</v>
      </c>
      <c r="I46" s="195">
        <f t="shared" si="7"/>
        <v>0</v>
      </c>
      <c r="J46" s="195">
        <f t="shared" si="7"/>
        <v>0</v>
      </c>
      <c r="K46" s="195">
        <f t="shared" si="7"/>
        <v>0</v>
      </c>
      <c r="L46" s="195">
        <f t="shared" si="7"/>
        <v>0</v>
      </c>
      <c r="M46" s="195">
        <f t="shared" si="7"/>
        <v>0</v>
      </c>
      <c r="N46" s="159"/>
    </row>
    <row r="47" spans="2:14" x14ac:dyDescent="0.25">
      <c r="B47" s="150" t="s">
        <v>522</v>
      </c>
      <c r="D47" s="826">
        <v>0</v>
      </c>
      <c r="E47" s="150" t="s">
        <v>283</v>
      </c>
      <c r="G47" s="1142"/>
      <c r="H47" s="195">
        <f>$D$47*('Enrol Staff &amp; Exp'!H103-'Enrol Staff &amp; Exp'!G103)</f>
        <v>0</v>
      </c>
      <c r="I47" s="195">
        <f>$D$47*('Enrol Staff &amp; Exp'!I103-'Enrol Staff &amp; Exp'!H103)</f>
        <v>0</v>
      </c>
      <c r="J47" s="195">
        <f>$D$47*('Enrol Staff &amp; Exp'!J103-'Enrol Staff &amp; Exp'!I103)</f>
        <v>0</v>
      </c>
      <c r="K47" s="195">
        <f>$D$47*('Enrol Staff &amp; Exp'!K103-'Enrol Staff &amp; Exp'!J103)</f>
        <v>0</v>
      </c>
      <c r="L47" s="195">
        <f>$D$47*('Enrol Staff &amp; Exp'!L103-'Enrol Staff &amp; Exp'!K103)</f>
        <v>0</v>
      </c>
      <c r="M47" s="195">
        <f>$D$47*('Enrol Staff &amp; Exp'!M103-'Enrol Staff &amp; Exp'!L103)</f>
        <v>0</v>
      </c>
      <c r="N47" s="159"/>
    </row>
    <row r="48" spans="2:14" x14ac:dyDescent="0.25">
      <c r="B48" s="150" t="s">
        <v>523</v>
      </c>
      <c r="D48" s="1283" t="s">
        <v>515</v>
      </c>
      <c r="G48" s="1142"/>
      <c r="H48" s="195"/>
      <c r="I48" s="195"/>
      <c r="J48" s="195"/>
      <c r="K48" s="195">
        <f>+H47</f>
        <v>0</v>
      </c>
      <c r="L48" s="195">
        <f>+I47</f>
        <v>0</v>
      </c>
      <c r="M48" s="195">
        <f>+J47</f>
        <v>0</v>
      </c>
      <c r="N48" s="159"/>
    </row>
    <row r="49" spans="2:14" x14ac:dyDescent="0.25">
      <c r="B49" s="150" t="s">
        <v>524</v>
      </c>
      <c r="D49" s="1283" t="s">
        <v>516</v>
      </c>
      <c r="G49" s="1142"/>
      <c r="H49" s="195">
        <f>H47/3</f>
        <v>0</v>
      </c>
      <c r="I49" s="195">
        <f>H49+(I47/3)</f>
        <v>0</v>
      </c>
      <c r="J49" s="195">
        <f>I49+(J47/3)</f>
        <v>0</v>
      </c>
      <c r="K49" s="195">
        <f>J49+(K47/3)+(K48/3)-(H47/3)</f>
        <v>0</v>
      </c>
      <c r="L49" s="195">
        <f>K49+(L47/3)+(L48/3)-(I47/3)</f>
        <v>0</v>
      </c>
      <c r="M49" s="195">
        <f>L49+(M47/3)+(M48/3)-(J47/3)</f>
        <v>0</v>
      </c>
      <c r="N49" s="159"/>
    </row>
    <row r="50" spans="2:14" x14ac:dyDescent="0.25">
      <c r="B50" s="150" t="s">
        <v>286</v>
      </c>
      <c r="D50" s="826">
        <v>0</v>
      </c>
      <c r="E50" s="150" t="s">
        <v>66</v>
      </c>
      <c r="G50" s="1142"/>
      <c r="H50" s="195">
        <f>$D$50*'Enrol Staff &amp; Exp'!H103</f>
        <v>0</v>
      </c>
      <c r="I50" s="195">
        <f>$D$50*'Enrol Staff &amp; Exp'!I103</f>
        <v>0</v>
      </c>
      <c r="J50" s="195">
        <f>$D$50*'Enrol Staff &amp; Exp'!J103</f>
        <v>0</v>
      </c>
      <c r="K50" s="195">
        <f>$D$50*'Enrol Staff &amp; Exp'!K103</f>
        <v>0</v>
      </c>
      <c r="L50" s="195">
        <f>$D$50*'Enrol Staff &amp; Exp'!L103</f>
        <v>0</v>
      </c>
      <c r="M50" s="195">
        <f>$D$50*'Enrol Staff &amp; Exp'!M103</f>
        <v>0</v>
      </c>
      <c r="N50" s="159"/>
    </row>
    <row r="51" spans="2:14" x14ac:dyDescent="0.25">
      <c r="B51" s="150" t="s">
        <v>525</v>
      </c>
      <c r="C51" s="150"/>
      <c r="D51" s="826">
        <v>0</v>
      </c>
      <c r="E51" s="150" t="s">
        <v>283</v>
      </c>
      <c r="G51" s="1142"/>
      <c r="H51" s="195">
        <f>$D$51*'Enrol Staff &amp; Exp'!H103</f>
        <v>0</v>
      </c>
      <c r="I51" s="195">
        <f>$D$51*('Enrol Staff &amp; Exp'!I103-'Enrol Staff &amp; Exp'!H103)</f>
        <v>0</v>
      </c>
      <c r="J51" s="195">
        <f>$D$51*('Enrol Staff &amp; Exp'!J103-'Enrol Staff &amp; Exp'!I103)</f>
        <v>0</v>
      </c>
      <c r="K51" s="195">
        <f>$D$51*('Enrol Staff &amp; Exp'!K103-'Enrol Staff &amp; Exp'!J103)</f>
        <v>0</v>
      </c>
      <c r="L51" s="195">
        <f>$D$51*('Enrol Staff &amp; Exp'!L103-'Enrol Staff &amp; Exp'!K103)</f>
        <v>0</v>
      </c>
      <c r="M51" s="195">
        <f>$D$51*('Enrol Staff &amp; Exp'!M103-'Enrol Staff &amp; Exp'!L103)</f>
        <v>0</v>
      </c>
      <c r="N51" s="159"/>
    </row>
    <row r="52" spans="2:14" x14ac:dyDescent="0.25">
      <c r="B52" s="168" t="s">
        <v>526</v>
      </c>
      <c r="C52" s="197"/>
      <c r="D52" s="826">
        <v>0</v>
      </c>
      <c r="E52" s="168" t="s">
        <v>79</v>
      </c>
      <c r="F52" s="168"/>
      <c r="G52" s="1142"/>
      <c r="H52" s="198">
        <f>$D$52*'Enrol Staff &amp; Exp'!H31</f>
        <v>0</v>
      </c>
      <c r="I52" s="198">
        <f>$D$52*('Enrol Staff &amp; Exp'!I31-'Enrol Staff &amp; Exp'!H31)</f>
        <v>0</v>
      </c>
      <c r="J52" s="198">
        <f>$D$52*('Enrol Staff &amp; Exp'!J31-'Enrol Staff &amp; Exp'!I31)</f>
        <v>0</v>
      </c>
      <c r="K52" s="198">
        <f>$D$52*('Enrol Staff &amp; Exp'!K31-'Enrol Staff &amp; Exp'!J31)</f>
        <v>0</v>
      </c>
      <c r="L52" s="198">
        <f>$D$52*('Enrol Staff &amp; Exp'!L31-'Enrol Staff &amp; Exp'!K31)</f>
        <v>0</v>
      </c>
      <c r="M52" s="198">
        <f>$D$52*('Enrol Staff &amp; Exp'!M31-'Enrol Staff &amp; Exp'!L31)</f>
        <v>0</v>
      </c>
      <c r="N52" s="159"/>
    </row>
    <row r="53" spans="2:14" ht="15.75" thickBot="1" x14ac:dyDescent="0.3">
      <c r="B53" s="168" t="s">
        <v>611</v>
      </c>
      <c r="C53" s="197"/>
      <c r="D53" s="168"/>
      <c r="E53" s="168"/>
      <c r="F53" s="168"/>
      <c r="G53" s="168"/>
      <c r="H53" s="198">
        <f>(H51+H52)/15</f>
        <v>0</v>
      </c>
      <c r="I53" s="198">
        <f>H53+((I51+I52)/15)</f>
        <v>0</v>
      </c>
      <c r="J53" s="198">
        <f>I53+((J51+J52)/15)</f>
        <v>0</v>
      </c>
      <c r="K53" s="198">
        <f>J53+((K51+K52)/15)</f>
        <v>0</v>
      </c>
      <c r="L53" s="198">
        <f>K53+((L51+L52)/15)</f>
        <v>0</v>
      </c>
      <c r="M53" s="198">
        <f>L53+((M51+M52)/15)</f>
        <v>0</v>
      </c>
      <c r="N53" s="159"/>
    </row>
    <row r="54" spans="2:14" ht="15.75" thickBot="1" x14ac:dyDescent="0.3">
      <c r="B54" s="144" t="s">
        <v>608</v>
      </c>
      <c r="C54" s="147"/>
      <c r="D54" s="778">
        <f>SUM(H54:M54)</f>
        <v>1094320</v>
      </c>
      <c r="E54" s="148"/>
      <c r="F54" s="148"/>
      <c r="G54" s="145">
        <f t="shared" ref="G54:M54" si="8">+G21+G22+G23+G24+G26+G27+G29+G30+G32+G33+G34+G35+G37+G38+G40+G41+G42+G43+G44+G46+G47+G48+G50+G51+G52</f>
        <v>0</v>
      </c>
      <c r="H54" s="145">
        <f t="shared" si="8"/>
        <v>92320</v>
      </c>
      <c r="I54" s="145">
        <f t="shared" si="8"/>
        <v>157160</v>
      </c>
      <c r="J54" s="145">
        <f t="shared" si="8"/>
        <v>209040</v>
      </c>
      <c r="K54" s="145">
        <f t="shared" si="8"/>
        <v>252360</v>
      </c>
      <c r="L54" s="145">
        <f t="shared" si="8"/>
        <v>215600</v>
      </c>
      <c r="M54" s="145">
        <f t="shared" si="8"/>
        <v>167840</v>
      </c>
      <c r="N54" s="159"/>
    </row>
    <row r="55" spans="2:14" ht="15.75" thickBot="1" x14ac:dyDescent="0.3">
      <c r="B55" s="770" t="s">
        <v>607</v>
      </c>
      <c r="C55" s="774"/>
      <c r="D55" s="777">
        <f>SUM(H55:M55)</f>
        <v>1094320</v>
      </c>
      <c r="E55" s="774"/>
      <c r="F55" s="774"/>
      <c r="G55" s="772">
        <f t="shared" ref="G55:M55" si="9">+G21+G22+G25+G28+G31+G32+G33+G36+G39+G40+G41+G42+G45+G46+G49+G50+G53</f>
        <v>0</v>
      </c>
      <c r="H55" s="772">
        <f t="shared" si="9"/>
        <v>92320</v>
      </c>
      <c r="I55" s="772">
        <f t="shared" si="9"/>
        <v>157160</v>
      </c>
      <c r="J55" s="772">
        <f t="shared" si="9"/>
        <v>209040</v>
      </c>
      <c r="K55" s="772">
        <f t="shared" si="9"/>
        <v>252360</v>
      </c>
      <c r="L55" s="772">
        <f t="shared" si="9"/>
        <v>215600</v>
      </c>
      <c r="M55" s="772">
        <f t="shared" si="9"/>
        <v>167840</v>
      </c>
      <c r="N55" s="159"/>
    </row>
    <row r="56" spans="2:14" x14ac:dyDescent="0.25">
      <c r="B56" s="309" t="s">
        <v>470</v>
      </c>
      <c r="C56" s="309"/>
      <c r="D56" s="309"/>
      <c r="E56" s="775"/>
      <c r="F56" s="775"/>
      <c r="G56" s="776">
        <f t="shared" ref="G56:M56" si="10">+G55-G54</f>
        <v>0</v>
      </c>
      <c r="H56" s="776">
        <f t="shared" si="10"/>
        <v>0</v>
      </c>
      <c r="I56" s="776">
        <f t="shared" si="10"/>
        <v>0</v>
      </c>
      <c r="J56" s="776">
        <f t="shared" si="10"/>
        <v>0</v>
      </c>
      <c r="K56" s="776">
        <f t="shared" si="10"/>
        <v>0</v>
      </c>
      <c r="L56" s="776">
        <f t="shared" si="10"/>
        <v>0</v>
      </c>
      <c r="M56" s="776">
        <f t="shared" si="10"/>
        <v>0</v>
      </c>
    </row>
    <row r="57" spans="2:14" x14ac:dyDescent="0.25">
      <c r="B57" s="309" t="s">
        <v>612</v>
      </c>
    </row>
  </sheetData>
  <sheetProtection algorithmName="SHA-512" hashValue="9zlBOk8TFp2ow0ETXSCZXYnG07GaTZmRNr6/aOWMueVIGMXxbW5sSL2bE2s6rfXwBAJcd5GHQEA2/Kc+YSC/3Q==" saltValue="qCrtenf5VnyHBD0Q1kRH3w==" spinCount="100000" sheet="1" selectLockedCells="1"/>
  <phoneticPr fontId="7" type="noConversion"/>
  <pageMargins left="0.25" right="0.25" top="0.5" bottom="0.44999999999999996" header="0.25" footer="0.25"/>
  <pageSetup scale="65" fitToHeight="3" orientation="landscape" r:id="rId1"/>
  <headerFooter>
    <oddHeader xml:space="preserve">&amp;L &amp;C &amp;R </oddHeader>
    <oddFooter>&amp;L&amp;7&amp;D  at &amp;T Mike 702.486.8879&amp;C&amp;7&amp;F  &amp;A&amp;R&amp;7Page &amp;P of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N45"/>
  <sheetViews>
    <sheetView showGridLines="0" view="pageBreakPreview" zoomScale="70" zoomScaleNormal="70" zoomScaleSheetLayoutView="70" workbookViewId="0">
      <selection activeCell="B36" sqref="B36"/>
    </sheetView>
  </sheetViews>
  <sheetFormatPr defaultColWidth="8.85546875" defaultRowHeight="15" x14ac:dyDescent="0.25"/>
  <cols>
    <col min="1" max="1" width="6.7109375" style="217" bestFit="1" customWidth="1"/>
    <col min="2" max="2" width="50.7109375" style="217" customWidth="1"/>
    <col min="3" max="3" width="12.5703125" style="217" customWidth="1"/>
    <col min="4" max="5" width="9.42578125" style="221" customWidth="1"/>
    <col min="6" max="6" width="10.42578125" style="221" customWidth="1"/>
    <col min="7" max="7" width="11" style="221" customWidth="1"/>
    <col min="8" max="8" width="13.7109375" style="217" customWidth="1"/>
    <col min="9" max="9" width="14" style="217" customWidth="1"/>
    <col min="10" max="10" width="15.28515625" style="217" customWidth="1"/>
    <col min="11" max="14" width="16.28515625" style="217" customWidth="1"/>
    <col min="15" max="15" width="17.28515625" style="217" customWidth="1"/>
    <col min="16" max="17" width="10.5703125" style="217" bestFit="1" customWidth="1"/>
    <col min="18" max="18" width="20.140625" style="217" customWidth="1"/>
    <col min="19" max="16384" width="8.85546875" style="217"/>
  </cols>
  <sheetData>
    <row r="1" spans="1:14" ht="18" x14ac:dyDescent="0.25">
      <c r="A1" s="514" t="s">
        <v>681</v>
      </c>
      <c r="B1" s="215"/>
      <c r="E1" s="277" t="s">
        <v>403</v>
      </c>
      <c r="F1" s="1124">
        <f>'Enrol Staff &amp; Exp'!H6</f>
        <v>2020</v>
      </c>
    </row>
    <row r="2" spans="1:14" ht="15.75" x14ac:dyDescent="0.25">
      <c r="A2" s="1440" t="str">
        <f>SchoolName</f>
        <v xml:space="preserve">Alaka'i Heritage Academy </v>
      </c>
      <c r="B2" s="1440"/>
      <c r="E2" s="464" t="s">
        <v>577</v>
      </c>
      <c r="F2" s="201">
        <f>+F1+1</f>
        <v>2021</v>
      </c>
    </row>
    <row r="3" spans="1:14" x14ac:dyDescent="0.25">
      <c r="A3" s="220" t="s">
        <v>415</v>
      </c>
    </row>
    <row r="4" spans="1:14" x14ac:dyDescent="0.25">
      <c r="A4" s="222" t="s">
        <v>452</v>
      </c>
    </row>
    <row r="5" spans="1:14" x14ac:dyDescent="0.25">
      <c r="A5" s="200" t="str">
        <f ca="1">CELL("filename")</f>
        <v>C:\Users\Kyle.McOmber\Work Folders\Desktop\Alaka'i Appeal Submissions\Second Submission\[Copy of Attachment 16 - Financial Plan Workbook - AHA (002).xlsx]Market</v>
      </c>
    </row>
    <row r="7" spans="1:14" x14ac:dyDescent="0.25">
      <c r="A7" s="276"/>
      <c r="B7" s="223"/>
    </row>
    <row r="8" spans="1:14" x14ac:dyDescent="0.25">
      <c r="A8" s="276"/>
      <c r="B8" s="223"/>
    </row>
    <row r="9" spans="1:14" x14ac:dyDescent="0.25">
      <c r="A9" s="276"/>
      <c r="B9" s="223"/>
    </row>
    <row r="10" spans="1:14" x14ac:dyDescent="0.25">
      <c r="A10" s="276"/>
      <c r="H10" s="516"/>
      <c r="I10" s="516" t="s">
        <v>433</v>
      </c>
      <c r="J10" s="517"/>
      <c r="K10" s="517"/>
      <c r="L10" s="517"/>
      <c r="M10" s="517"/>
      <c r="N10" s="518"/>
    </row>
    <row r="11" spans="1:14" x14ac:dyDescent="0.25">
      <c r="A11" s="276"/>
      <c r="H11" s="519" t="s">
        <v>434</v>
      </c>
      <c r="I11" s="519" t="s">
        <v>404</v>
      </c>
      <c r="J11" s="273" t="s">
        <v>405</v>
      </c>
      <c r="K11" s="273" t="s">
        <v>406</v>
      </c>
      <c r="L11" s="273" t="s">
        <v>407</v>
      </c>
      <c r="M11" s="273" t="s">
        <v>408</v>
      </c>
      <c r="N11" s="274" t="s">
        <v>409</v>
      </c>
    </row>
    <row r="12" spans="1:14" ht="15.75" x14ac:dyDescent="0.25">
      <c r="A12" s="280">
        <f>ROW()</f>
        <v>12</v>
      </c>
      <c r="F12" s="281"/>
      <c r="G12" s="281"/>
      <c r="H12" s="1099">
        <f>+I12-1</f>
        <v>2019</v>
      </c>
      <c r="I12" s="1099">
        <f>+F1</f>
        <v>2020</v>
      </c>
      <c r="J12" s="1100">
        <f>+I13</f>
        <v>2021</v>
      </c>
      <c r="K12" s="1100">
        <f>+J13</f>
        <v>2022</v>
      </c>
      <c r="L12" s="1100">
        <f>+K13</f>
        <v>2023</v>
      </c>
      <c r="M12" s="1100">
        <f>+L13</f>
        <v>2024</v>
      </c>
      <c r="N12" s="1101">
        <f>+M13</f>
        <v>2025</v>
      </c>
    </row>
    <row r="13" spans="1:14" s="221" customFormat="1" ht="15.75" x14ac:dyDescent="0.25">
      <c r="A13" s="280">
        <f>ROW()</f>
        <v>13</v>
      </c>
      <c r="D13" s="282"/>
      <c r="E13" s="282"/>
      <c r="F13" s="283"/>
      <c r="G13" s="283"/>
      <c r="H13" s="1102">
        <f>+I13-1</f>
        <v>2020</v>
      </c>
      <c r="I13" s="1102">
        <f t="shared" ref="I13:N13" si="0">+I12+1</f>
        <v>2021</v>
      </c>
      <c r="J13" s="1103">
        <f t="shared" si="0"/>
        <v>2022</v>
      </c>
      <c r="K13" s="1103">
        <f t="shared" si="0"/>
        <v>2023</v>
      </c>
      <c r="L13" s="1103">
        <f t="shared" si="0"/>
        <v>2024</v>
      </c>
      <c r="M13" s="1103">
        <f t="shared" si="0"/>
        <v>2025</v>
      </c>
      <c r="N13" s="1104">
        <f t="shared" si="0"/>
        <v>2026</v>
      </c>
    </row>
    <row r="14" spans="1:14" s="221" customFormat="1" ht="18.75" x14ac:dyDescent="0.3">
      <c r="A14" s="280">
        <f>ROW()</f>
        <v>14</v>
      </c>
      <c r="B14" s="520" t="s">
        <v>411</v>
      </c>
      <c r="C14" s="284"/>
      <c r="D14" s="282"/>
      <c r="E14" s="282"/>
      <c r="F14" s="283"/>
      <c r="G14" s="283"/>
      <c r="H14" s="1030"/>
      <c r="I14" s="1034"/>
      <c r="J14" s="1034"/>
      <c r="K14" s="1034"/>
      <c r="L14" s="1034"/>
      <c r="M14" s="1034"/>
      <c r="N14" s="1034"/>
    </row>
    <row r="15" spans="1:14" x14ac:dyDescent="0.25">
      <c r="A15" s="280">
        <f>ROW()</f>
        <v>15</v>
      </c>
      <c r="B15" s="285" t="s">
        <v>198</v>
      </c>
      <c r="C15" s="286"/>
      <c r="D15" s="285"/>
      <c r="E15" s="285"/>
      <c r="F15" s="168"/>
      <c r="G15" s="168"/>
      <c r="H15" s="1105">
        <v>0</v>
      </c>
      <c r="I15" s="1106">
        <f t="shared" ref="I15:N15" si="1">COUNTIF(I18:I30,"&gt;0")</f>
        <v>7</v>
      </c>
      <c r="J15" s="1107">
        <f t="shared" si="1"/>
        <v>9</v>
      </c>
      <c r="K15" s="1107">
        <f t="shared" si="1"/>
        <v>10</v>
      </c>
      <c r="L15" s="1107">
        <f t="shared" si="1"/>
        <v>9</v>
      </c>
      <c r="M15" s="1107">
        <f t="shared" si="1"/>
        <v>9</v>
      </c>
      <c r="N15" s="1108">
        <f t="shared" si="1"/>
        <v>9</v>
      </c>
    </row>
    <row r="16" spans="1:14" x14ac:dyDescent="0.25">
      <c r="A16" s="280">
        <f>ROW()</f>
        <v>16</v>
      </c>
      <c r="B16" s="287" t="s">
        <v>284</v>
      </c>
      <c r="C16" s="288"/>
      <c r="D16" s="287"/>
      <c r="E16" s="287"/>
      <c r="F16" s="461"/>
      <c r="G16" s="461"/>
      <c r="H16" s="1109">
        <v>0</v>
      </c>
      <c r="I16" s="1110">
        <f>+'Enrol Staff &amp; Exp'!H16</f>
        <v>0</v>
      </c>
      <c r="J16" s="1111">
        <f>+'Enrol Staff &amp; Exp'!I16</f>
        <v>0</v>
      </c>
      <c r="K16" s="1111">
        <f>+'Enrol Staff &amp; Exp'!J16</f>
        <v>0</v>
      </c>
      <c r="L16" s="1111">
        <f>+'Enrol Staff &amp; Exp'!K16</f>
        <v>0</v>
      </c>
      <c r="M16" s="1111">
        <f>+'Enrol Staff &amp; Exp'!L16</f>
        <v>0</v>
      </c>
      <c r="N16" s="1112">
        <f>+'Enrol Staff &amp; Exp'!M16</f>
        <v>0</v>
      </c>
    </row>
    <row r="17" spans="1:14" x14ac:dyDescent="0.25">
      <c r="A17" s="280">
        <f>ROW()</f>
        <v>17</v>
      </c>
      <c r="B17" s="285"/>
      <c r="C17" s="291"/>
      <c r="D17" s="290"/>
      <c r="E17" s="290"/>
      <c r="F17" s="1048"/>
      <c r="G17" s="1113"/>
      <c r="H17" s="1048"/>
      <c r="I17" s="1048"/>
      <c r="J17" s="1048"/>
      <c r="K17" s="1048"/>
      <c r="L17" s="1048"/>
      <c r="M17" s="1048"/>
      <c r="N17" s="1048"/>
    </row>
    <row r="18" spans="1:14" x14ac:dyDescent="0.25">
      <c r="A18" s="280">
        <f>ROW()</f>
        <v>18</v>
      </c>
      <c r="B18" s="292" t="s">
        <v>162</v>
      </c>
      <c r="C18" s="286"/>
      <c r="D18" s="285"/>
      <c r="E18" s="285"/>
      <c r="F18" s="168"/>
      <c r="G18" s="168"/>
      <c r="H18" s="1114"/>
      <c r="I18" s="1115">
        <f>+Market!E15</f>
        <v>100</v>
      </c>
      <c r="J18" s="1116">
        <f>+Market!F15</f>
        <v>100</v>
      </c>
      <c r="K18" s="1116">
        <f>+Market!G15</f>
        <v>100</v>
      </c>
      <c r="L18" s="1116">
        <f>+Market!H15</f>
        <v>100</v>
      </c>
      <c r="M18" s="1116">
        <f>+Market!I15</f>
        <v>100</v>
      </c>
      <c r="N18" s="1116">
        <f>+Market!J15</f>
        <v>100</v>
      </c>
    </row>
    <row r="19" spans="1:14" x14ac:dyDescent="0.25">
      <c r="A19" s="280">
        <f>ROW()</f>
        <v>19</v>
      </c>
      <c r="B19" s="293" t="s">
        <v>174</v>
      </c>
      <c r="C19" s="294"/>
      <c r="D19" s="293"/>
      <c r="E19" s="293"/>
      <c r="F19" s="1117"/>
      <c r="G19" s="168"/>
      <c r="H19" s="1118"/>
      <c r="I19" s="1119">
        <f>+Market!E16</f>
        <v>50</v>
      </c>
      <c r="J19" s="1120">
        <f>+Market!F16</f>
        <v>100</v>
      </c>
      <c r="K19" s="1120">
        <f>+Market!G16</f>
        <v>100</v>
      </c>
      <c r="L19" s="1120">
        <f>+Market!H16</f>
        <v>100</v>
      </c>
      <c r="M19" s="1120">
        <f>+Market!I16</f>
        <v>100</v>
      </c>
      <c r="N19" s="1120">
        <f>+Market!J16</f>
        <v>100</v>
      </c>
    </row>
    <row r="20" spans="1:14" x14ac:dyDescent="0.25">
      <c r="A20" s="280">
        <f>ROW()</f>
        <v>20</v>
      </c>
      <c r="B20" s="293" t="s">
        <v>175</v>
      </c>
      <c r="C20" s="294"/>
      <c r="D20" s="293"/>
      <c r="E20" s="293"/>
      <c r="F20" s="1117"/>
      <c r="G20" s="168"/>
      <c r="H20" s="1118"/>
      <c r="I20" s="1119">
        <f>+Market!E17</f>
        <v>50</v>
      </c>
      <c r="J20" s="1120">
        <f>+Market!F17</f>
        <v>100</v>
      </c>
      <c r="K20" s="1120">
        <f>+Market!G17</f>
        <v>100</v>
      </c>
      <c r="L20" s="1120">
        <f>+Market!H17</f>
        <v>100</v>
      </c>
      <c r="M20" s="1120">
        <f>+Market!I17</f>
        <v>100</v>
      </c>
      <c r="N20" s="1120">
        <f>+Market!J17</f>
        <v>100</v>
      </c>
    </row>
    <row r="21" spans="1:14" x14ac:dyDescent="0.25">
      <c r="A21" s="280">
        <f>ROW()</f>
        <v>21</v>
      </c>
      <c r="B21" s="293" t="s">
        <v>176</v>
      </c>
      <c r="C21" s="294"/>
      <c r="D21" s="293"/>
      <c r="E21" s="293"/>
      <c r="F21" s="1117"/>
      <c r="G21" s="168"/>
      <c r="H21" s="1118"/>
      <c r="I21" s="1119">
        <f>+Market!E18</f>
        <v>50</v>
      </c>
      <c r="J21" s="1120">
        <f>+Market!F18</f>
        <v>50</v>
      </c>
      <c r="K21" s="1120">
        <f>+Market!G18</f>
        <v>100</v>
      </c>
      <c r="L21" s="1120">
        <f>+Market!H18</f>
        <v>100</v>
      </c>
      <c r="M21" s="1120">
        <f>+Market!I18</f>
        <v>100</v>
      </c>
      <c r="N21" s="1120">
        <f>+Market!J18</f>
        <v>100</v>
      </c>
    </row>
    <row r="22" spans="1:14" x14ac:dyDescent="0.25">
      <c r="A22" s="280">
        <f>ROW()</f>
        <v>22</v>
      </c>
      <c r="B22" s="293" t="s">
        <v>177</v>
      </c>
      <c r="C22" s="294"/>
      <c r="D22" s="293"/>
      <c r="E22" s="293"/>
      <c r="F22" s="1117"/>
      <c r="G22" s="168"/>
      <c r="H22" s="1118"/>
      <c r="I22" s="1119">
        <f>+Market!E19</f>
        <v>25</v>
      </c>
      <c r="J22" s="1120">
        <f>+Market!F19</f>
        <v>50</v>
      </c>
      <c r="K22" s="1120">
        <f>+Market!G19</f>
        <v>100</v>
      </c>
      <c r="L22" s="1120">
        <f>+Market!H19</f>
        <v>100</v>
      </c>
      <c r="M22" s="1120">
        <f>+Market!I19</f>
        <v>100</v>
      </c>
      <c r="N22" s="1120">
        <f>+Market!J19</f>
        <v>100</v>
      </c>
    </row>
    <row r="23" spans="1:14" x14ac:dyDescent="0.25">
      <c r="A23" s="280">
        <f>ROW()</f>
        <v>23</v>
      </c>
      <c r="B23" s="293" t="s">
        <v>178</v>
      </c>
      <c r="C23" s="294"/>
      <c r="D23" s="293"/>
      <c r="E23" s="293"/>
      <c r="F23" s="1117"/>
      <c r="G23" s="168"/>
      <c r="H23" s="1118"/>
      <c r="I23" s="1119">
        <f>+Market!E20</f>
        <v>25</v>
      </c>
      <c r="J23" s="1120">
        <f>+Market!F20</f>
        <v>25</v>
      </c>
      <c r="K23" s="1120">
        <f>+Market!G20</f>
        <v>50</v>
      </c>
      <c r="L23" s="1120">
        <f>+Market!H20</f>
        <v>100</v>
      </c>
      <c r="M23" s="1120">
        <f>+Market!I20</f>
        <v>100</v>
      </c>
      <c r="N23" s="1120">
        <f>+Market!J20</f>
        <v>100</v>
      </c>
    </row>
    <row r="24" spans="1:14" x14ac:dyDescent="0.25">
      <c r="A24" s="280">
        <f>ROW()</f>
        <v>24</v>
      </c>
      <c r="B24" s="293" t="s">
        <v>179</v>
      </c>
      <c r="C24" s="294"/>
      <c r="D24" s="293"/>
      <c r="E24" s="293"/>
      <c r="F24" s="1117"/>
      <c r="G24" s="168"/>
      <c r="H24" s="1118"/>
      <c r="I24" s="1119">
        <f>+Market!E21</f>
        <v>30</v>
      </c>
      <c r="J24" s="1120">
        <f>+Market!F21</f>
        <v>25</v>
      </c>
      <c r="K24" s="1120">
        <f>+Market!G21</f>
        <v>60</v>
      </c>
      <c r="L24" s="1120">
        <f>+Market!H21</f>
        <v>120</v>
      </c>
      <c r="M24" s="1120">
        <f>+Market!I21</f>
        <v>120</v>
      </c>
      <c r="N24" s="1120">
        <f>+Market!J21</f>
        <v>120</v>
      </c>
    </row>
    <row r="25" spans="1:14" x14ac:dyDescent="0.25">
      <c r="A25" s="280">
        <f>ROW()</f>
        <v>25</v>
      </c>
      <c r="B25" s="293" t="s">
        <v>180</v>
      </c>
      <c r="C25" s="294"/>
      <c r="D25" s="293"/>
      <c r="E25" s="293"/>
      <c r="F25" s="1117"/>
      <c r="G25" s="168"/>
      <c r="H25" s="1118"/>
      <c r="I25" s="1119">
        <f>+Market!E22</f>
        <v>0</v>
      </c>
      <c r="J25" s="1120">
        <f>+Market!F22</f>
        <v>60</v>
      </c>
      <c r="K25" s="1120">
        <f>+Market!G22</f>
        <v>60</v>
      </c>
      <c r="L25" s="1120">
        <f>+Market!H22</f>
        <v>60</v>
      </c>
      <c r="M25" s="1120">
        <f>+Market!I22</f>
        <v>120</v>
      </c>
      <c r="N25" s="1120">
        <f>+Market!J22</f>
        <v>120</v>
      </c>
    </row>
    <row r="26" spans="1:14" x14ac:dyDescent="0.25">
      <c r="A26" s="280">
        <f>ROW()</f>
        <v>26</v>
      </c>
      <c r="B26" s="293" t="s">
        <v>181</v>
      </c>
      <c r="C26" s="294"/>
      <c r="D26" s="293"/>
      <c r="E26" s="293"/>
      <c r="F26" s="1117"/>
      <c r="G26" s="168"/>
      <c r="H26" s="1118"/>
      <c r="I26" s="1119">
        <f>+Market!E23</f>
        <v>0</v>
      </c>
      <c r="J26" s="1120">
        <f>+Market!F23</f>
        <v>30</v>
      </c>
      <c r="K26" s="1120">
        <f>+Market!G23</f>
        <v>60</v>
      </c>
      <c r="L26" s="1120">
        <f>+Market!H23</f>
        <v>60</v>
      </c>
      <c r="M26" s="1120">
        <f>+Market!I23</f>
        <v>60</v>
      </c>
      <c r="N26" s="1120">
        <f>+Market!J23</f>
        <v>120</v>
      </c>
    </row>
    <row r="27" spans="1:14" x14ac:dyDescent="0.25">
      <c r="A27" s="280">
        <f>ROW()</f>
        <v>27</v>
      </c>
      <c r="B27" s="293" t="s">
        <v>182</v>
      </c>
      <c r="C27" s="294"/>
      <c r="D27" s="293"/>
      <c r="E27" s="293"/>
      <c r="F27" s="1117"/>
      <c r="G27" s="168"/>
      <c r="H27" s="1118"/>
      <c r="I27" s="1119">
        <f>+Market!E24</f>
        <v>0</v>
      </c>
      <c r="J27" s="1120">
        <f>+Market!F24</f>
        <v>0</v>
      </c>
      <c r="K27" s="1120">
        <f>+Market!G24</f>
        <v>30</v>
      </c>
      <c r="L27" s="1120">
        <f>+Market!H24</f>
        <v>0</v>
      </c>
      <c r="M27" s="1120">
        <f>+Market!I24</f>
        <v>0</v>
      </c>
      <c r="N27" s="1120">
        <f>+Market!J24</f>
        <v>0</v>
      </c>
    </row>
    <row r="28" spans="1:14" x14ac:dyDescent="0.25">
      <c r="A28" s="280">
        <f>ROW()</f>
        <v>28</v>
      </c>
      <c r="B28" s="293" t="s">
        <v>183</v>
      </c>
      <c r="C28" s="294"/>
      <c r="D28" s="293"/>
      <c r="E28" s="293"/>
      <c r="F28" s="1117"/>
      <c r="G28" s="168"/>
      <c r="H28" s="1118"/>
      <c r="I28" s="1119">
        <f>+Market!E25</f>
        <v>0</v>
      </c>
      <c r="J28" s="1120">
        <f>+Market!F25</f>
        <v>0</v>
      </c>
      <c r="K28" s="1120">
        <f>+Market!G25</f>
        <v>0</v>
      </c>
      <c r="L28" s="1120">
        <f>+Market!H25</f>
        <v>0</v>
      </c>
      <c r="M28" s="1120">
        <f>+Market!I25</f>
        <v>0</v>
      </c>
      <c r="N28" s="1120">
        <f>+Market!J25</f>
        <v>0</v>
      </c>
    </row>
    <row r="29" spans="1:14" x14ac:dyDescent="0.25">
      <c r="A29" s="280">
        <f>ROW()</f>
        <v>29</v>
      </c>
      <c r="B29" s="293" t="s">
        <v>184</v>
      </c>
      <c r="C29" s="294"/>
      <c r="D29" s="293"/>
      <c r="E29" s="293"/>
      <c r="F29" s="1117"/>
      <c r="G29" s="168"/>
      <c r="H29" s="1118"/>
      <c r="I29" s="1119">
        <f>+Market!E26</f>
        <v>0</v>
      </c>
      <c r="J29" s="1120">
        <f>+Market!F26</f>
        <v>0</v>
      </c>
      <c r="K29" s="1120">
        <f>+Market!G26</f>
        <v>0</v>
      </c>
      <c r="L29" s="1120">
        <f>+Market!H26</f>
        <v>0</v>
      </c>
      <c r="M29" s="1120">
        <f>+Market!I26</f>
        <v>0</v>
      </c>
      <c r="N29" s="1120">
        <f>+Market!J26</f>
        <v>0</v>
      </c>
    </row>
    <row r="30" spans="1:14" x14ac:dyDescent="0.25">
      <c r="A30" s="280">
        <f>ROW()</f>
        <v>30</v>
      </c>
      <c r="B30" s="293" t="s">
        <v>185</v>
      </c>
      <c r="C30" s="294"/>
      <c r="D30" s="293"/>
      <c r="E30" s="293"/>
      <c r="F30" s="1117"/>
      <c r="G30" s="461"/>
      <c r="H30" s="1121"/>
      <c r="I30" s="1122">
        <f>+Market!E27</f>
        <v>0</v>
      </c>
      <c r="J30" s="1123">
        <f>+Market!F27</f>
        <v>0</v>
      </c>
      <c r="K30" s="1123">
        <f>+Market!G27</f>
        <v>0</v>
      </c>
      <c r="L30" s="1123">
        <f>+Market!H27</f>
        <v>0</v>
      </c>
      <c r="M30" s="1123">
        <f>+Market!I27</f>
        <v>0</v>
      </c>
      <c r="N30" s="1123">
        <f>+Market!J27</f>
        <v>0</v>
      </c>
    </row>
    <row r="31" spans="1:14" x14ac:dyDescent="0.25">
      <c r="A31" s="280">
        <f>ROW()</f>
        <v>31</v>
      </c>
      <c r="B31" s="296" t="s">
        <v>186</v>
      </c>
      <c r="C31" s="297"/>
      <c r="D31" s="297"/>
      <c r="E31" s="297"/>
      <c r="F31" s="297"/>
      <c r="G31" s="301"/>
      <c r="H31" s="421"/>
      <c r="I31" s="783">
        <f t="shared" ref="I31:N31" si="2">SUM(I18:I30)</f>
        <v>330</v>
      </c>
      <c r="J31" s="783">
        <f t="shared" si="2"/>
        <v>540</v>
      </c>
      <c r="K31" s="783">
        <f t="shared" si="2"/>
        <v>760</v>
      </c>
      <c r="L31" s="783">
        <f t="shared" si="2"/>
        <v>840</v>
      </c>
      <c r="M31" s="783">
        <f t="shared" si="2"/>
        <v>900</v>
      </c>
      <c r="N31" s="783">
        <f t="shared" si="2"/>
        <v>960</v>
      </c>
    </row>
    <row r="32" spans="1:14" x14ac:dyDescent="0.25">
      <c r="A32" s="280"/>
      <c r="B32" s="285" t="s">
        <v>575</v>
      </c>
      <c r="C32" s="285"/>
      <c r="D32" s="285"/>
      <c r="E32" s="285"/>
      <c r="F32" s="282"/>
      <c r="G32" s="282"/>
      <c r="H32" s="784"/>
      <c r="I32" s="515" t="e">
        <f t="shared" ref="I32:N32" si="3">+I31/I16</f>
        <v>#DIV/0!</v>
      </c>
      <c r="J32" s="515" t="e">
        <f t="shared" si="3"/>
        <v>#DIV/0!</v>
      </c>
      <c r="K32" s="515" t="e">
        <f t="shared" si="3"/>
        <v>#DIV/0!</v>
      </c>
      <c r="L32" s="515" t="e">
        <f t="shared" si="3"/>
        <v>#DIV/0!</v>
      </c>
      <c r="M32" s="515" t="e">
        <f t="shared" si="3"/>
        <v>#DIV/0!</v>
      </c>
      <c r="N32" s="515" t="e">
        <f t="shared" si="3"/>
        <v>#DIV/0!</v>
      </c>
    </row>
    <row r="33" spans="2:14" x14ac:dyDescent="0.25">
      <c r="D33" s="217"/>
      <c r="H33" s="221"/>
      <c r="I33" s="221"/>
      <c r="J33" s="221"/>
      <c r="K33" s="221"/>
      <c r="L33" s="221"/>
      <c r="M33" s="221"/>
      <c r="N33" s="221"/>
    </row>
    <row r="34" spans="2:14" ht="18.75" x14ac:dyDescent="0.3">
      <c r="B34" s="1439" t="s">
        <v>576</v>
      </c>
      <c r="C34" s="1439"/>
      <c r="D34" s="1439"/>
      <c r="H34" s="278" t="str">
        <f>+H11</f>
        <v>SY 0</v>
      </c>
      <c r="I34" s="278" t="str">
        <f t="shared" ref="I34:N34" si="4">+I11</f>
        <v>SY 1</v>
      </c>
      <c r="J34" s="278" t="str">
        <f t="shared" si="4"/>
        <v>SY 2</v>
      </c>
      <c r="K34" s="278" t="str">
        <f t="shared" si="4"/>
        <v>SY 3</v>
      </c>
      <c r="L34" s="278" t="str">
        <f t="shared" si="4"/>
        <v>SY 4</v>
      </c>
      <c r="M34" s="278" t="str">
        <f t="shared" si="4"/>
        <v>SY 5</v>
      </c>
      <c r="N34" s="278" t="str">
        <f t="shared" si="4"/>
        <v>SY 6</v>
      </c>
    </row>
    <row r="35" spans="2:14" x14ac:dyDescent="0.25">
      <c r="B35" s="596" t="s">
        <v>533</v>
      </c>
      <c r="C35" s="596" t="s">
        <v>574</v>
      </c>
      <c r="D35" s="596"/>
      <c r="E35" s="596"/>
      <c r="F35" s="596"/>
      <c r="G35" s="304" t="s">
        <v>497</v>
      </c>
      <c r="H35" s="997">
        <f>H13</f>
        <v>2020</v>
      </c>
      <c r="I35" s="997">
        <f t="shared" ref="I35:N35" si="5">I13</f>
        <v>2021</v>
      </c>
      <c r="J35" s="997">
        <f t="shared" si="5"/>
        <v>2022</v>
      </c>
      <c r="K35" s="997">
        <f t="shared" si="5"/>
        <v>2023</v>
      </c>
      <c r="L35" s="997">
        <f t="shared" si="5"/>
        <v>2024</v>
      </c>
      <c r="M35" s="997">
        <f t="shared" si="5"/>
        <v>2025</v>
      </c>
      <c r="N35" s="997">
        <f t="shared" si="5"/>
        <v>2026</v>
      </c>
    </row>
    <row r="36" spans="2:14" x14ac:dyDescent="0.25">
      <c r="B36" s="1125" t="s">
        <v>981</v>
      </c>
      <c r="C36" s="1126" t="s">
        <v>982</v>
      </c>
      <c r="D36" s="1126"/>
      <c r="E36" s="1126"/>
      <c r="F36" s="1127"/>
      <c r="G36" s="994">
        <f>SUM(H36:N36)</f>
        <v>26250</v>
      </c>
      <c r="H36" s="1133">
        <v>26250</v>
      </c>
      <c r="I36" s="1134">
        <v>0</v>
      </c>
      <c r="J36" s="1134">
        <v>0</v>
      </c>
      <c r="K36" s="1134">
        <v>0</v>
      </c>
      <c r="L36" s="1134">
        <v>0</v>
      </c>
      <c r="M36" s="1134">
        <v>0</v>
      </c>
      <c r="N36" s="1135">
        <v>0</v>
      </c>
    </row>
    <row r="37" spans="2:14" x14ac:dyDescent="0.25">
      <c r="B37" s="1128"/>
      <c r="C37" s="1070"/>
      <c r="D37" s="1070"/>
      <c r="E37" s="1070"/>
      <c r="F37" s="1129"/>
      <c r="G37" s="995">
        <f t="shared" ref="G37:G43" si="6">SUM(H37:N37)</f>
        <v>0</v>
      </c>
      <c r="H37" s="1136">
        <v>0</v>
      </c>
      <c r="I37" s="1137">
        <v>0</v>
      </c>
      <c r="J37" s="1137">
        <v>0</v>
      </c>
      <c r="K37" s="1137">
        <v>0</v>
      </c>
      <c r="L37" s="1137">
        <v>0</v>
      </c>
      <c r="M37" s="1137">
        <v>0</v>
      </c>
      <c r="N37" s="1138">
        <v>0</v>
      </c>
    </row>
    <row r="38" spans="2:14" x14ac:dyDescent="0.25">
      <c r="B38" s="1128"/>
      <c r="C38" s="1070"/>
      <c r="D38" s="1070"/>
      <c r="E38" s="1070"/>
      <c r="F38" s="1129"/>
      <c r="G38" s="995">
        <f t="shared" si="6"/>
        <v>0</v>
      </c>
      <c r="H38" s="1136">
        <v>0</v>
      </c>
      <c r="I38" s="1137">
        <v>0</v>
      </c>
      <c r="J38" s="1137">
        <v>0</v>
      </c>
      <c r="K38" s="1137">
        <v>0</v>
      </c>
      <c r="L38" s="1137">
        <v>0</v>
      </c>
      <c r="M38" s="1137">
        <v>0</v>
      </c>
      <c r="N38" s="1138">
        <v>0</v>
      </c>
    </row>
    <row r="39" spans="2:14" x14ac:dyDescent="0.25">
      <c r="B39" s="1128"/>
      <c r="C39" s="1070"/>
      <c r="D39" s="1070"/>
      <c r="E39" s="1070"/>
      <c r="F39" s="1129"/>
      <c r="G39" s="995">
        <f t="shared" si="6"/>
        <v>0</v>
      </c>
      <c r="H39" s="1136">
        <v>0</v>
      </c>
      <c r="I39" s="1137">
        <v>0</v>
      </c>
      <c r="J39" s="1137">
        <v>0</v>
      </c>
      <c r="K39" s="1137">
        <v>0</v>
      </c>
      <c r="L39" s="1137">
        <v>0</v>
      </c>
      <c r="M39" s="1137">
        <v>0</v>
      </c>
      <c r="N39" s="1138">
        <v>0</v>
      </c>
    </row>
    <row r="40" spans="2:14" x14ac:dyDescent="0.25">
      <c r="B40" s="1128"/>
      <c r="C40" s="1070"/>
      <c r="D40" s="1070"/>
      <c r="E40" s="1070"/>
      <c r="F40" s="1129"/>
      <c r="G40" s="995">
        <f t="shared" si="6"/>
        <v>0</v>
      </c>
      <c r="H40" s="1136">
        <v>0</v>
      </c>
      <c r="I40" s="1137">
        <v>0</v>
      </c>
      <c r="J40" s="1137">
        <v>0</v>
      </c>
      <c r="K40" s="1137">
        <v>0</v>
      </c>
      <c r="L40" s="1137">
        <v>0</v>
      </c>
      <c r="M40" s="1137">
        <v>0</v>
      </c>
      <c r="N40" s="1138">
        <v>0</v>
      </c>
    </row>
    <row r="41" spans="2:14" x14ac:dyDescent="0.25">
      <c r="B41" s="1128"/>
      <c r="C41" s="1070"/>
      <c r="D41" s="1070"/>
      <c r="E41" s="1070"/>
      <c r="F41" s="1129"/>
      <c r="G41" s="995">
        <f t="shared" si="6"/>
        <v>0</v>
      </c>
      <c r="H41" s="1136"/>
      <c r="I41" s="1137"/>
      <c r="J41" s="1137"/>
      <c r="K41" s="1137"/>
      <c r="L41" s="1137"/>
      <c r="M41" s="1137"/>
      <c r="N41" s="1138"/>
    </row>
    <row r="42" spans="2:14" x14ac:dyDescent="0.25">
      <c r="B42" s="1128"/>
      <c r="C42" s="1070"/>
      <c r="D42" s="1070"/>
      <c r="E42" s="1070"/>
      <c r="F42" s="1129"/>
      <c r="G42" s="995">
        <f t="shared" si="6"/>
        <v>0</v>
      </c>
      <c r="H42" s="1136"/>
      <c r="I42" s="1137"/>
      <c r="J42" s="1137"/>
      <c r="K42" s="1137"/>
      <c r="L42" s="1137"/>
      <c r="M42" s="1137"/>
      <c r="N42" s="1138"/>
    </row>
    <row r="43" spans="2:14" x14ac:dyDescent="0.25">
      <c r="B43" s="1130"/>
      <c r="C43" s="1131"/>
      <c r="D43" s="1131"/>
      <c r="E43" s="1131"/>
      <c r="F43" s="1132"/>
      <c r="G43" s="996">
        <f t="shared" si="6"/>
        <v>0</v>
      </c>
      <c r="H43" s="1139"/>
      <c r="I43" s="1140"/>
      <c r="J43" s="1140"/>
      <c r="K43" s="1140"/>
      <c r="L43" s="1140"/>
      <c r="M43" s="1140"/>
      <c r="N43" s="1141"/>
    </row>
    <row r="44" spans="2:14" x14ac:dyDescent="0.25">
      <c r="B44" s="724" t="s">
        <v>534</v>
      </c>
      <c r="C44" s="846"/>
      <c r="D44" s="846"/>
      <c r="E44" s="724"/>
      <c r="F44" s="724"/>
      <c r="G44" s="963">
        <f>SUM(H44:N44)</f>
        <v>26250</v>
      </c>
      <c r="H44" s="780">
        <f t="shared" ref="H44:N44" si="7">SUM(H36:H43)</f>
        <v>26250</v>
      </c>
      <c r="I44" s="780">
        <f t="shared" si="7"/>
        <v>0</v>
      </c>
      <c r="J44" s="781">
        <f t="shared" si="7"/>
        <v>0</v>
      </c>
      <c r="K44" s="781">
        <f t="shared" si="7"/>
        <v>0</v>
      </c>
      <c r="L44" s="781">
        <f t="shared" si="7"/>
        <v>0</v>
      </c>
      <c r="M44" s="781">
        <f t="shared" si="7"/>
        <v>0</v>
      </c>
      <c r="N44" s="781">
        <f t="shared" si="7"/>
        <v>0</v>
      </c>
    </row>
    <row r="45" spans="2:14" x14ac:dyDescent="0.25">
      <c r="G45" s="915">
        <f>G44/$G$44</f>
        <v>1</v>
      </c>
      <c r="H45" s="915">
        <f>H44/$G$44</f>
        <v>1</v>
      </c>
      <c r="I45" s="915">
        <f t="shared" ref="I45:N45" si="8">I44/$G$44</f>
        <v>0</v>
      </c>
      <c r="J45" s="915">
        <f t="shared" si="8"/>
        <v>0</v>
      </c>
      <c r="K45" s="915">
        <f t="shared" si="8"/>
        <v>0</v>
      </c>
      <c r="L45" s="915">
        <f t="shared" si="8"/>
        <v>0</v>
      </c>
      <c r="M45" s="915">
        <f t="shared" si="8"/>
        <v>0</v>
      </c>
      <c r="N45" s="915">
        <f t="shared" si="8"/>
        <v>0</v>
      </c>
    </row>
  </sheetData>
  <sheetProtection algorithmName="SHA-512" hashValue="HZtE4b6ML5muhXsxY/9gmztgNtl9/3a2Lbqya/mT5GwCnASC3Mt6qXSUeWfnfp0kErxMBit/XNDRW2AyJmvSOA==" saltValue="FvdmoWyjT/Uv+wMrcz3G/A==" spinCount="100000" sheet="1" selectLockedCells="1"/>
  <protectedRanges>
    <protectedRange sqref="H15:N16 H18:N30 F17:N17" name="Student Input"/>
  </protectedRanges>
  <mergeCells count="2">
    <mergeCell ref="B34:D34"/>
    <mergeCell ref="A2:B2"/>
  </mergeCells>
  <conditionalFormatting sqref="I15:N16">
    <cfRule type="cellIs" dxfId="16" priority="5" stopIfTrue="1" operator="equal">
      <formula>0</formula>
    </cfRule>
  </conditionalFormatting>
  <conditionalFormatting sqref="B18:G30">
    <cfRule type="expression" dxfId="15" priority="7" stopIfTrue="1">
      <formula>MOD(ROW(),2)=0</formula>
    </cfRule>
  </conditionalFormatting>
  <conditionalFormatting sqref="H18:N30">
    <cfRule type="cellIs" dxfId="14" priority="8" stopIfTrue="1" operator="equal">
      <formula>0</formula>
    </cfRule>
  </conditionalFormatting>
  <conditionalFormatting sqref="H15:H16">
    <cfRule type="cellIs" dxfId="13" priority="9" stopIfTrue="1" operator="equal">
      <formula>0</formula>
    </cfRule>
  </conditionalFormatting>
  <conditionalFormatting sqref="A2:B2">
    <cfRule type="cellIs" dxfId="12" priority="10" stopIfTrue="1" operator="equal">
      <formula>0</formula>
    </cfRule>
  </conditionalFormatting>
  <pageMargins left="0.25" right="0.25" top="0.5" bottom="0.45" header="0.25" footer="0.25"/>
  <pageSetup scale="55" fitToHeight="6" orientation="landscape" r:id="rId1"/>
  <headerFooter>
    <oddHeader xml:space="preserve">&amp;L &amp;C &amp;R </oddHeader>
    <oddFooter>&amp;L&amp;7&amp;D  at &amp;T Mike 702.854.0691&amp;C&amp;7&amp;F  &amp;A&amp;R&amp;7Page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375F992EC020544925D6D37EDA7F695" ma:contentTypeVersion="12" ma:contentTypeDescription="Create a new document." ma:contentTypeScope="" ma:versionID="fdb3b87ba7acc469b11603ee4a84e9ea">
  <xsd:schema xmlns:xsd="http://www.w3.org/2001/XMLSchema" xmlns:xs="http://www.w3.org/2001/XMLSchema" xmlns:p="http://schemas.microsoft.com/office/2006/metadata/properties" xmlns:ns1="http://schemas.microsoft.com/sharepoint/v3" xmlns:ns3="a7a39668-5523-4e02-ae7c-6b8e0b9a0641" xmlns:ns4="e4566b1c-7783-4256-a76a-3b22d10ddbc0" targetNamespace="http://schemas.microsoft.com/office/2006/metadata/properties" ma:root="true" ma:fieldsID="8d9455349fc14cef87da683bcb9466a1" ns1:_="" ns3:_="" ns4:_="">
    <xsd:import namespace="http://schemas.microsoft.com/sharepoint/v3"/>
    <xsd:import namespace="a7a39668-5523-4e02-ae7c-6b8e0b9a0641"/>
    <xsd:import namespace="e4566b1c-7783-4256-a76a-3b22d10ddb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a39668-5523-4e02-ae7c-6b8e0b9a06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66b1c-7783-4256-a76a-3b22d10ddb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55D3422B-E249-4494-9C4D-065E7900828C}">
  <ds:schemaRefs>
    <ds:schemaRef ds:uri="http://schemas.microsoft.com/sharepoint/v3/contenttype/forms"/>
  </ds:schemaRefs>
</ds:datastoreItem>
</file>

<file path=customXml/itemProps2.xml><?xml version="1.0" encoding="utf-8"?>
<ds:datastoreItem xmlns:ds="http://schemas.openxmlformats.org/officeDocument/2006/customXml" ds:itemID="{F6402AA5-B4A8-49AB-9848-AE98E5A921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a39668-5523-4e02-ae7c-6b8e0b9a0641"/>
    <ds:schemaRef ds:uri="e4566b1c-7783-4256-a76a-3b22d10ddb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D409FB-C47F-4DBF-9CFF-B7D64C5F0F2A}">
  <ds:schemaRefs>
    <ds:schemaRef ds:uri="http://purl.org/dc/dcmitype/"/>
    <ds:schemaRef ds:uri="http://schemas.microsoft.com/sharepoint/v3"/>
    <ds:schemaRef ds:uri="http://schemas.microsoft.com/office/2006/documentManagement/types"/>
    <ds:schemaRef ds:uri="http://purl.org/dc/elements/1.1/"/>
    <ds:schemaRef ds:uri="http://schemas.microsoft.com/office/2006/metadata/properties"/>
    <ds:schemaRef ds:uri="a7a39668-5523-4e02-ae7c-6b8e0b9a0641"/>
    <ds:schemaRef ds:uri="e4566b1c-7783-4256-a76a-3b22d10ddbc0"/>
    <ds:schemaRef ds:uri="http://purl.org/dc/term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38</vt:i4>
      </vt:variant>
    </vt:vector>
  </HeadingPairs>
  <TitlesOfParts>
    <vt:vector size="54" baseType="lpstr">
      <vt:lpstr>Instructions</vt:lpstr>
      <vt:lpstr>Cover</vt:lpstr>
      <vt:lpstr>Summary</vt:lpstr>
      <vt:lpstr>Market</vt:lpstr>
      <vt:lpstr>Enrol Staff &amp; Exp</vt:lpstr>
      <vt:lpstr>Facilities</vt:lpstr>
      <vt:lpstr>Facilities wkst</vt:lpstr>
      <vt:lpstr>FFE&amp;T</vt:lpstr>
      <vt:lpstr>Marketing</vt:lpstr>
      <vt:lpstr>Ins</vt:lpstr>
      <vt:lpstr>Incubation</vt:lpstr>
      <vt:lpstr>EMO-CMO</vt:lpstr>
      <vt:lpstr>CF Y1 Mo</vt:lpstr>
      <vt:lpstr>DSA Rates</vt:lpstr>
      <vt:lpstr>Note FFE</vt:lpstr>
      <vt:lpstr>Sheet2</vt:lpstr>
      <vt:lpstr>Counties</vt:lpstr>
      <vt:lpstr>County</vt:lpstr>
      <vt:lpstr>DSA</vt:lpstr>
      <vt:lpstr>HypLink10</vt:lpstr>
      <vt:lpstr>HypLink11</vt:lpstr>
      <vt:lpstr>HypLink12</vt:lpstr>
      <vt:lpstr>HypLink13</vt:lpstr>
      <vt:lpstr>HypLink15</vt:lpstr>
      <vt:lpstr>HypLink3</vt:lpstr>
      <vt:lpstr>HypLink4</vt:lpstr>
      <vt:lpstr>HypLink5</vt:lpstr>
      <vt:lpstr>HypLink6</vt:lpstr>
      <vt:lpstr>HypLink7</vt:lpstr>
      <vt:lpstr>HypLink8</vt:lpstr>
      <vt:lpstr>HypLink9</vt:lpstr>
      <vt:lpstr>'CF Y1 Mo'!Print_Area</vt:lpstr>
      <vt:lpstr>Cover!Print_Area</vt:lpstr>
      <vt:lpstr>'DSA Rates'!Print_Area</vt:lpstr>
      <vt:lpstr>'EMO-CMO'!Print_Area</vt:lpstr>
      <vt:lpstr>'Enrol Staff &amp; Exp'!Print_Area</vt:lpstr>
      <vt:lpstr>Facilities!Print_Area</vt:lpstr>
      <vt:lpstr>'FFE&amp;T'!Print_Area</vt:lpstr>
      <vt:lpstr>Incubation!Print_Area</vt:lpstr>
      <vt:lpstr>Ins!Print_Area</vt:lpstr>
      <vt:lpstr>Instructions!Print_Area</vt:lpstr>
      <vt:lpstr>Market!Print_Area</vt:lpstr>
      <vt:lpstr>Marketing!Print_Area</vt:lpstr>
      <vt:lpstr>'Note FFE'!Print_Area</vt:lpstr>
      <vt:lpstr>Sheet2!Print_Area</vt:lpstr>
      <vt:lpstr>Summary!Print_Area</vt:lpstr>
      <vt:lpstr>'CF Y1 Mo'!Print_Titles</vt:lpstr>
      <vt:lpstr>'EMO-CMO'!Print_Titles</vt:lpstr>
      <vt:lpstr>'Enrol Staff &amp; Exp'!Print_Titles</vt:lpstr>
      <vt:lpstr>'Facilities wkst'!Print_Titles</vt:lpstr>
      <vt:lpstr>Market!Print_Titles</vt:lpstr>
      <vt:lpstr>Marketing!Print_Titles</vt:lpstr>
      <vt:lpstr>Summary!Print_Titles</vt:lpstr>
      <vt:lpstr>SchoolName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Kyle McOmber</cp:lastModifiedBy>
  <cp:lastPrinted>2019-11-18T19:55:31Z</cp:lastPrinted>
  <dcterms:created xsi:type="dcterms:W3CDTF">2009-03-05T15:43:16Z</dcterms:created>
  <dcterms:modified xsi:type="dcterms:W3CDTF">2020-01-30T22:19:49Z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0x0101001375F992EC020544925D6D37EDA7F695</vt:lpwstr>
  </property>
</Properties>
</file>