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v-my.sharepoint.com/personal/kbroughton_spcsa_nv_gov/Documents/Desktop/"/>
    </mc:Choice>
  </mc:AlternateContent>
  <xr:revisionPtr revIDLastSave="18" documentId="8_{5CDE166A-E98C-4E6A-B6FB-5CC0C9D40808}" xr6:coauthVersionLast="47" xr6:coauthVersionMax="47" xr10:uidLastSave="{7C02E543-10A2-4118-9B3F-C3D72063E9B6}"/>
  <bookViews>
    <workbookView xWindow="-120" yWindow="-120" windowWidth="29040" windowHeight="15840" activeTab="1" xr2:uid="{00000000-000D-0000-FFFF-FFFF00000000}"/>
  </bookViews>
  <sheets>
    <sheet name="CERTIFICATION" sheetId="1" r:id="rId1"/>
    <sheet name="Sample Amortization Schedule" sheetId="3" r:id="rId2"/>
    <sheet name="NRS-NAC 388A" sheetId="5" r:id="rId3"/>
    <sheet name="REF" sheetId="4" state="hidden" r:id="rId4"/>
  </sheets>
  <definedNames>
    <definedName name="NAC388ASec665" localSheetId="2">'NRS-NAC 388A'!$A$25</definedName>
    <definedName name="NAC388ASec670" localSheetId="2">'NRS-NAC 388A'!$A$50</definedName>
    <definedName name="NAC388ASec675" localSheetId="2">'NRS-NAC 388A'!$A$58</definedName>
    <definedName name="NRS388ASec432" localSheetId="2">'NRS-NAC 388A'!$A$3</definedName>
    <definedName name="_xlnm.Print_Area" localSheetId="0">CERTIFICATION!$B$1:$E$30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3" l="1"/>
  <c r="E13" i="1"/>
  <c r="E16" i="1" s="1"/>
  <c r="B21" i="3"/>
  <c r="B20" i="3"/>
  <c r="B19" i="3"/>
  <c r="B18" i="3"/>
  <c r="B17" i="3"/>
  <c r="B16" i="3"/>
  <c r="B15" i="3"/>
  <c r="B14" i="3"/>
  <c r="B13" i="3"/>
  <c r="B12" i="3"/>
  <c r="B11" i="3"/>
  <c r="B10" i="3"/>
  <c r="C6" i="3"/>
  <c r="C5" i="3"/>
  <c r="C2" i="3"/>
  <c r="I5" i="3" l="1"/>
  <c r="D10" i="3" s="1"/>
  <c r="I6" i="3"/>
  <c r="C10"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F6" i="3"/>
  <c r="I7" i="3" l="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G11" i="3"/>
  <c r="G12" i="3"/>
  <c r="G13" i="3"/>
  <c r="G14" i="3"/>
  <c r="G15" i="3"/>
  <c r="G16" i="3"/>
  <c r="G17" i="3"/>
  <c r="G18" i="3"/>
  <c r="G19" i="3"/>
  <c r="G20" i="3"/>
  <c r="G21" i="3"/>
  <c r="G10" i="3"/>
  <c r="E10" i="3"/>
  <c r="I10" i="3" s="1"/>
  <c r="F7" i="3"/>
  <c r="F10" i="3" l="1"/>
  <c r="H10" i="3" s="1"/>
  <c r="C11" i="3" s="1"/>
  <c r="E11" i="3" s="1"/>
  <c r="F11" i="3"/>
  <c r="H11" i="3" l="1"/>
  <c r="C12" i="3" s="1"/>
  <c r="E12" i="3" s="1"/>
  <c r="I11" i="3"/>
  <c r="F12" i="3" l="1"/>
  <c r="H12" i="3" s="1"/>
  <c r="C13" i="3" s="1"/>
  <c r="E13" i="3" s="1"/>
  <c r="I12" i="3"/>
  <c r="F13" i="3" l="1"/>
  <c r="H13" i="3" s="1"/>
  <c r="C14" i="3" s="1"/>
  <c r="E14" i="3" s="1"/>
  <c r="I13" i="3"/>
  <c r="F14" i="3" l="1"/>
  <c r="H14" i="3" s="1"/>
  <c r="C15" i="3" l="1"/>
  <c r="E15" i="3" s="1"/>
  <c r="I14" i="3"/>
  <c r="F15" i="3" l="1"/>
  <c r="H15" i="3" s="1"/>
  <c r="C16" i="3" l="1"/>
  <c r="E16" i="3" s="1"/>
  <c r="I15" i="3"/>
  <c r="F16" i="3" l="1"/>
  <c r="H16" i="3" s="1"/>
  <c r="C17" i="3" l="1"/>
  <c r="E17" i="3" s="1"/>
  <c r="I16" i="3"/>
  <c r="F17" i="3" l="1"/>
  <c r="H17" i="3" s="1"/>
  <c r="C18" i="3" l="1"/>
  <c r="E18" i="3" s="1"/>
  <c r="I17" i="3"/>
  <c r="F18" i="3" l="1"/>
  <c r="H18" i="3" s="1"/>
  <c r="C19" i="3" l="1"/>
  <c r="E19" i="3" s="1"/>
  <c r="I18" i="3"/>
  <c r="F19" i="3" l="1"/>
  <c r="H19" i="3" s="1"/>
  <c r="C20" i="3" l="1"/>
  <c r="E20" i="3" s="1"/>
  <c r="I19" i="3"/>
  <c r="F20" i="3" l="1"/>
  <c r="H20" i="3" s="1"/>
  <c r="C21" i="3" l="1"/>
  <c r="E21" i="3" s="1"/>
  <c r="I20" i="3"/>
  <c r="F21" i="3" l="1"/>
  <c r="H21" i="3" s="1"/>
  <c r="C22" i="3" s="1"/>
  <c r="E22" i="3" l="1"/>
  <c r="I22" i="3" s="1"/>
  <c r="I21" i="3"/>
  <c r="G22" i="3" l="1"/>
  <c r="F22" i="3" l="1"/>
  <c r="H22" i="3" s="1"/>
  <c r="C23" i="3" s="1"/>
  <c r="E23" i="3" l="1"/>
  <c r="I23" i="3" s="1"/>
  <c r="G23" i="3"/>
  <c r="F23" i="3" l="1"/>
  <c r="H23" i="3" s="1"/>
  <c r="C24" i="3" s="1"/>
  <c r="E24" i="3" l="1"/>
  <c r="I24" i="3" s="1"/>
  <c r="G24" i="3"/>
  <c r="F24" i="3" l="1"/>
  <c r="H24" i="3" s="1"/>
  <c r="C25" i="3" s="1"/>
  <c r="E25" i="3" l="1"/>
  <c r="I25" i="3" s="1"/>
  <c r="G25" i="3"/>
  <c r="F25" i="3" l="1"/>
  <c r="H25" i="3" s="1"/>
  <c r="C26" i="3" s="1"/>
  <c r="E26" i="3" l="1"/>
  <c r="I26" i="3" s="1"/>
  <c r="G26" i="3"/>
  <c r="F26" i="3" l="1"/>
  <c r="H26" i="3" s="1"/>
  <c r="C27" i="3" s="1"/>
  <c r="E27" i="3" l="1"/>
  <c r="I27" i="3" s="1"/>
  <c r="G27" i="3"/>
  <c r="F27" i="3" l="1"/>
  <c r="H27" i="3" s="1"/>
  <c r="C28" i="3" s="1"/>
  <c r="E28" i="3" l="1"/>
  <c r="I28" i="3" s="1"/>
  <c r="G28" i="3"/>
  <c r="F28" i="3" l="1"/>
  <c r="H28" i="3" s="1"/>
  <c r="C29" i="3" s="1"/>
  <c r="E29" i="3" l="1"/>
  <c r="I29" i="3" s="1"/>
  <c r="G29" i="3"/>
  <c r="F29" i="3" l="1"/>
  <c r="H29" i="3" s="1"/>
  <c r="C30" i="3" s="1"/>
  <c r="E30" i="3" l="1"/>
  <c r="I30" i="3" s="1"/>
  <c r="G30" i="3"/>
  <c r="F30" i="3" l="1"/>
  <c r="H30" i="3" s="1"/>
  <c r="C31" i="3" s="1"/>
  <c r="E31" i="3" l="1"/>
  <c r="I31" i="3" s="1"/>
  <c r="G31" i="3"/>
  <c r="F31" i="3" l="1"/>
  <c r="H31" i="3" s="1"/>
  <c r="C32" i="3" s="1"/>
  <c r="E32" i="3" l="1"/>
  <c r="I32" i="3" s="1"/>
  <c r="G32" i="3"/>
  <c r="F32" i="3" l="1"/>
  <c r="H32" i="3" s="1"/>
  <c r="C33" i="3" s="1"/>
  <c r="E33" i="3" l="1"/>
  <c r="I33" i="3" s="1"/>
  <c r="G33" i="3"/>
  <c r="F33" i="3" l="1"/>
  <c r="H33" i="3" s="1"/>
  <c r="C34" i="3" s="1"/>
  <c r="E34" i="3" l="1"/>
  <c r="I34" i="3" s="1"/>
  <c r="G34" i="3"/>
  <c r="F34" i="3" l="1"/>
  <c r="H34" i="3" s="1"/>
  <c r="C35" i="3" s="1"/>
  <c r="E35" i="3" l="1"/>
  <c r="I35" i="3" s="1"/>
  <c r="G35" i="3"/>
  <c r="F35" i="3" l="1"/>
  <c r="H35" i="3" s="1"/>
  <c r="C36" i="3" s="1"/>
  <c r="E36" i="3" l="1"/>
  <c r="I36" i="3" s="1"/>
  <c r="G36" i="3"/>
  <c r="F36" i="3" l="1"/>
  <c r="H36" i="3" s="1"/>
  <c r="C37" i="3" s="1"/>
  <c r="E37" i="3" l="1"/>
  <c r="I37" i="3" s="1"/>
  <c r="G37" i="3"/>
  <c r="F37" i="3" l="1"/>
  <c r="H37" i="3" s="1"/>
  <c r="C38" i="3" s="1"/>
  <c r="E38" i="3" l="1"/>
  <c r="I38" i="3" s="1"/>
  <c r="G38" i="3"/>
  <c r="F38" i="3" l="1"/>
  <c r="H38" i="3" s="1"/>
  <c r="C39" i="3" s="1"/>
  <c r="E39" i="3" l="1"/>
  <c r="I39" i="3" s="1"/>
  <c r="G39" i="3"/>
  <c r="F39" i="3" l="1"/>
  <c r="H39" i="3" s="1"/>
  <c r="C40" i="3" s="1"/>
  <c r="E40" i="3" l="1"/>
  <c r="I40" i="3" s="1"/>
  <c r="G40" i="3"/>
  <c r="F40" i="3" l="1"/>
  <c r="H40" i="3" s="1"/>
  <c r="C41" i="3" s="1"/>
  <c r="E41" i="3" l="1"/>
  <c r="I41" i="3" s="1"/>
  <c r="G41" i="3"/>
  <c r="F41" i="3" l="1"/>
  <c r="H41" i="3" s="1"/>
  <c r="C42" i="3" s="1"/>
  <c r="E42" i="3" l="1"/>
  <c r="I42" i="3" s="1"/>
  <c r="G42" i="3"/>
  <c r="F42" i="3" l="1"/>
  <c r="H42" i="3" s="1"/>
  <c r="C43" i="3" s="1"/>
  <c r="E43" i="3" l="1"/>
  <c r="I43" i="3" s="1"/>
  <c r="G43" i="3"/>
  <c r="F43" i="3" l="1"/>
  <c r="H43" i="3" s="1"/>
  <c r="C44" i="3" s="1"/>
  <c r="E44" i="3" l="1"/>
  <c r="I44" i="3" s="1"/>
  <c r="G44" i="3"/>
  <c r="F44" i="3" l="1"/>
  <c r="H44" i="3" s="1"/>
  <c r="C45" i="3" s="1"/>
  <c r="E45" i="3" l="1"/>
  <c r="I45" i="3" s="1"/>
  <c r="G45" i="3"/>
  <c r="F45" i="3" l="1"/>
  <c r="H45" i="3" s="1"/>
  <c r="C46" i="3" s="1"/>
  <c r="E46" i="3" l="1"/>
  <c r="I46" i="3" s="1"/>
  <c r="G46" i="3"/>
  <c r="F46" i="3" l="1"/>
  <c r="H46" i="3" s="1"/>
  <c r="C47" i="3" s="1"/>
  <c r="E47" i="3" l="1"/>
  <c r="I47" i="3" s="1"/>
  <c r="G47" i="3"/>
  <c r="F47" i="3" l="1"/>
  <c r="H47" i="3" s="1"/>
  <c r="C48" i="3" s="1"/>
  <c r="E48" i="3" l="1"/>
  <c r="I48" i="3" s="1"/>
  <c r="G48" i="3"/>
  <c r="F48" i="3" l="1"/>
  <c r="H48" i="3" s="1"/>
  <c r="C49" i="3" s="1"/>
  <c r="E49" i="3" l="1"/>
  <c r="I49" i="3" s="1"/>
  <c r="G49" i="3"/>
  <c r="F49" i="3" l="1"/>
  <c r="H49" i="3" s="1"/>
  <c r="C50" i="3" s="1"/>
  <c r="E50" i="3" l="1"/>
  <c r="I50" i="3" s="1"/>
  <c r="G50" i="3"/>
  <c r="F50" i="3" l="1"/>
  <c r="H50" i="3" s="1"/>
  <c r="C51" i="3" s="1"/>
  <c r="E51" i="3" l="1"/>
  <c r="I51" i="3" s="1"/>
  <c r="G51" i="3"/>
  <c r="F51" i="3" l="1"/>
  <c r="H51" i="3" s="1"/>
  <c r="C52" i="3" s="1"/>
  <c r="G52" i="3" l="1"/>
  <c r="E52" i="3"/>
  <c r="I52" i="3" s="1"/>
  <c r="F52" i="3" l="1"/>
  <c r="H52" i="3" s="1"/>
  <c r="C53" i="3" s="1"/>
  <c r="G53" i="3" l="1"/>
  <c r="E53" i="3"/>
  <c r="I53" i="3" s="1"/>
  <c r="F53" i="3" l="1"/>
  <c r="H53" i="3" s="1"/>
  <c r="C54" i="3" s="1"/>
  <c r="G54" i="3" l="1"/>
  <c r="E54" i="3"/>
  <c r="I54" i="3" s="1"/>
  <c r="F54" i="3" l="1"/>
  <c r="H54" i="3" s="1"/>
  <c r="C55" i="3" s="1"/>
  <c r="E55" i="3" l="1"/>
  <c r="I55" i="3" s="1"/>
  <c r="G55" i="3"/>
  <c r="F55" i="3" l="1"/>
  <c r="H55" i="3" s="1"/>
  <c r="C56" i="3" s="1"/>
  <c r="G56" i="3" l="1"/>
  <c r="E56" i="3"/>
  <c r="I56" i="3" s="1"/>
  <c r="F56" i="3" l="1"/>
  <c r="H56" i="3" s="1"/>
  <c r="C57" i="3" s="1"/>
  <c r="G57" i="3" l="1"/>
  <c r="E57" i="3"/>
  <c r="I57" i="3" l="1"/>
  <c r="F57" i="3"/>
  <c r="H57" i="3" s="1"/>
</calcChain>
</file>

<file path=xl/sharedStrings.xml><?xml version="1.0" encoding="utf-8"?>
<sst xmlns="http://schemas.openxmlformats.org/spreadsheetml/2006/main" count="151" uniqueCount="147">
  <si>
    <t>INSTRUCTIONS</t>
  </si>
  <si>
    <t>Enter relevant data in all yellow cells</t>
  </si>
  <si>
    <t>If any cell turns red, correct its data as indicated</t>
  </si>
  <si>
    <t>Use Tab key to navigate easily to next data entry cell</t>
  </si>
  <si>
    <t>K-5</t>
  </si>
  <si>
    <t>6-8</t>
  </si>
  <si>
    <t>9-12</t>
  </si>
  <si>
    <t xml:space="preserve">The undersigned hereby request(s) a loan from the Charter School Revolving Loan Fund in accordance with Nevada Revised Statute 388A.432-438 and NAC 388A.650-680. I certify that the above information and supporting documents are true and correct to the best of my knowledge and that any loan funds received as a result of this application will be used in accordance with Nevada Revised Statute 388A.435 and all other applicable state and federal laws. By signing this document the entity that is requesting the loan is assuring the repayment of the loan in full, even in the event of closure of the charter school. </t>
  </si>
  <si>
    <t>Date</t>
  </si>
  <si>
    <r>
      <rPr>
        <b/>
        <u/>
        <sz val="20"/>
        <color rgb="FFFF0000"/>
        <rFont val="Calibri"/>
        <family val="2"/>
      </rPr>
      <t>SAMPLE</t>
    </r>
    <r>
      <rPr>
        <b/>
        <sz val="20"/>
        <color rgb="FF0070C0"/>
        <rFont val="Calibri"/>
        <family val="2"/>
      </rPr>
      <t xml:space="preserve"> LOAN REPAYMENT SCHEDULE</t>
    </r>
  </si>
  <si>
    <t>Target Loan Funding Date</t>
  </si>
  <si>
    <t>INTENDED BORROWER</t>
  </si>
  <si>
    <r>
      <rPr>
        <i/>
        <sz val="11"/>
        <color theme="1"/>
        <rFont val="Calibri"/>
        <family val="2"/>
      </rPr>
      <t xml:space="preserve">This tool provides an </t>
    </r>
    <r>
      <rPr>
        <b/>
        <i/>
        <sz val="11"/>
        <color rgb="FFFF0000"/>
        <rFont val="Calibri"/>
        <family val="2"/>
      </rPr>
      <t>ESTIMATION ONLY</t>
    </r>
    <r>
      <rPr>
        <i/>
        <sz val="11"/>
        <color theme="1"/>
        <rFont val="Calibri"/>
        <family val="2"/>
      </rPr>
      <t xml:space="preserve"> of potential repayment terms based on information provided. 
All terms subject to final review, approval, rate-setting, enrollment verification, and any other required validation prior to funding.</t>
    </r>
  </si>
  <si>
    <r>
      <rPr>
        <sz val="11"/>
        <color theme="1"/>
        <rFont val="Calibri"/>
        <family val="2"/>
      </rPr>
      <t>Requested Loan Amount (</t>
    </r>
    <r>
      <rPr>
        <sz val="11"/>
        <color theme="1"/>
        <rFont val="Aptos Narrow"/>
        <family val="2"/>
      </rPr>
      <t>≤</t>
    </r>
    <r>
      <rPr>
        <sz val="11"/>
        <color theme="1"/>
        <rFont val="Calibri"/>
        <family val="2"/>
      </rPr>
      <t>$200,000)</t>
    </r>
  </si>
  <si>
    <t>New School?</t>
  </si>
  <si>
    <t>Existing</t>
  </si>
  <si>
    <t>Amortization Term (1-3 Years)</t>
  </si>
  <si>
    <t>Amortization Term (Months)</t>
  </si>
  <si>
    <t>Payment Start Date</t>
  </si>
  <si>
    <r>
      <rPr>
        <u/>
        <sz val="11"/>
        <color rgb="FFFF0000"/>
        <rFont val="Calibri"/>
        <family val="2"/>
      </rPr>
      <t>Estimated</t>
    </r>
    <r>
      <rPr>
        <sz val="11"/>
        <color theme="1"/>
        <rFont val="Calibri"/>
        <family val="2"/>
      </rPr>
      <t xml:space="preserve"> Annual Interest Rate</t>
    </r>
  </si>
  <si>
    <t>Repayment Term (Months)</t>
  </si>
  <si>
    <t>Final Payment Date</t>
  </si>
  <si>
    <t>PERIOD</t>
  </si>
  <si>
    <t>BEGINNING BALANCE</t>
  </si>
  <si>
    <t>PAYMENT DUE DATE</t>
  </si>
  <si>
    <t>INTEREST CHARGE</t>
  </si>
  <si>
    <t>PRINCIPAL PAYMENT</t>
  </si>
  <si>
    <t>TOTAL PAYMENT DUE</t>
  </si>
  <si>
    <t>ENDING BALANCE</t>
  </si>
  <si>
    <t>&lt; Select &gt;</t>
  </si>
  <si>
    <t>NEW</t>
  </si>
  <si>
    <t>NRS 388A.438  Application for loan; requirements of contract for loan; regulations.</t>
  </si>
  <si>
    <t xml:space="preserve">      1.  If the governing body of a charter school has a charter contract executed pursuant to NRS 388A.270, the governing body may submit an application to the State Public Charter School Authority for a loan from the Account for Charter Schools. An application must include a written description of the manner in which the loan will be used to prepare the charter school for its first year of operation or to improve a charter school that has been in operation.</t>
  </si>
  <si>
    <t>      2.  The State Public Charter School Authority shall, within the limits of money available for use in the Account, make loans to charter schools whose applications have been approved. If the State Public Charter School Authority makes a loan from the Account, the State Public Charter School Authority shall ensure that the contract for the loan includes all terms and conditions for repayment of the loan.</t>
  </si>
  <si>
    <t>      3.  The State Public Charter School Authority:</t>
  </si>
  <si>
    <t>      (a) Shall adopt regulations that prescribe the:</t>
  </si>
  <si>
    <t>             (1) Annual deadline for submission of an application to the State Public Charter School Authority by a charter school that desires to receive a loan from the Account; and</t>
  </si>
  <si>
    <t>             (2) Period for repayment and the rate of interest for loans made from the Account.</t>
  </si>
  <si>
    <r>
      <rPr>
        <sz val="14"/>
        <color rgb="FF000000"/>
        <rFont val="Times New Roman"/>
        <family val="1"/>
      </rPr>
      <t>      (b) May adopt such other regulations as it deems necessary to carry out the provisions of this section and </t>
    </r>
    <r>
      <rPr>
        <u/>
        <sz val="14"/>
        <color rgb="FF0000FF"/>
        <rFont val="Times New Roman"/>
        <family val="1"/>
      </rPr>
      <t>NRS 388A.432</t>
    </r>
    <r>
      <rPr>
        <sz val="14"/>
        <color rgb="FF000000"/>
        <rFont val="Times New Roman"/>
        <family val="1"/>
      </rPr>
      <t> and </t>
    </r>
    <r>
      <rPr>
        <u/>
        <sz val="14"/>
        <color rgb="FF0000FF"/>
        <rFont val="Times New Roman"/>
        <family val="1"/>
      </rPr>
      <t>388A.435</t>
    </r>
    <r>
      <rPr>
        <sz val="14"/>
        <color rgb="FF000000"/>
        <rFont val="Times New Roman"/>
        <family val="1"/>
      </rPr>
      <t>.</t>
    </r>
  </si>
  <si>
    <r>
      <rPr>
        <sz val="14"/>
        <color rgb="FF000000"/>
        <rFont val="Times New Roman"/>
        <family val="1"/>
      </rPr>
      <t>      (Added to NRS by </t>
    </r>
    <r>
      <rPr>
        <u/>
        <sz val="14"/>
        <color rgb="FF0000FF"/>
        <rFont val="Times New Roman"/>
        <family val="1"/>
      </rPr>
      <t>2001, 3124</t>
    </r>
    <r>
      <rPr>
        <sz val="14"/>
        <color rgb="FF000000"/>
        <rFont val="Times New Roman"/>
        <family val="1"/>
      </rPr>
      <t>; A </t>
    </r>
    <r>
      <rPr>
        <u/>
        <sz val="14"/>
        <color rgb="FF0000FF"/>
        <rFont val="Times New Roman"/>
        <family val="1"/>
      </rPr>
      <t>2013, 2929</t>
    </r>
    <r>
      <rPr>
        <sz val="14"/>
        <color rgb="FF000000"/>
        <rFont val="Times New Roman"/>
        <family val="1"/>
      </rPr>
      <t>; </t>
    </r>
    <r>
      <rPr>
        <u/>
        <sz val="14"/>
        <color rgb="FF0000FF"/>
        <rFont val="Times New Roman"/>
        <family val="1"/>
      </rPr>
      <t>2013, 27th Special Session, 5</t>
    </r>
    <r>
      <rPr>
        <sz val="14"/>
        <color rgb="FF000000"/>
        <rFont val="Times New Roman"/>
        <family val="1"/>
      </rPr>
      <t>; </t>
    </r>
    <r>
      <rPr>
        <u/>
        <sz val="14"/>
        <color rgb="FF0000FF"/>
        <rFont val="Times New Roman"/>
        <family val="1"/>
      </rPr>
      <t>2015, 3298</t>
    </r>
    <r>
      <rPr>
        <sz val="14"/>
        <color rgb="FF000000"/>
        <rFont val="Times New Roman"/>
        <family val="1"/>
      </rPr>
      <t>)</t>
    </r>
  </si>
  <si>
    <r>
      <rPr>
        <b/>
        <sz val="14"/>
        <color rgb="FF000000"/>
        <rFont val="Times New Roman"/>
        <family val="1"/>
      </rPr>
      <t>NRS 385.080  Regulations.  </t>
    </r>
    <r>
      <rPr>
        <sz val="14"/>
        <color rgb="FF000000"/>
        <rFont val="Times New Roman"/>
        <family val="1"/>
      </rPr>
      <t>The State Board may adopt regulations for its own government and as necessary for the execution of the powers and duties conferred upon it by law.</t>
    </r>
  </si>
  <si>
    <r>
      <rPr>
        <sz val="14"/>
        <color rgb="FF000000"/>
        <rFont val="Times New Roman"/>
        <family val="1"/>
      </rPr>
      <t>      [8:32:1956]—(NRS A </t>
    </r>
    <r>
      <rPr>
        <u/>
        <sz val="14"/>
        <color rgb="FF0000FF"/>
        <rFont val="Times New Roman"/>
        <family val="1"/>
      </rPr>
      <t>1977, 222</t>
    </r>
    <r>
      <rPr>
        <sz val="14"/>
        <color rgb="FF000000"/>
        <rFont val="Times New Roman"/>
        <family val="1"/>
      </rPr>
      <t>; </t>
    </r>
    <r>
      <rPr>
        <u/>
        <sz val="14"/>
        <color rgb="FF0000FF"/>
        <rFont val="Times New Roman"/>
        <family val="1"/>
      </rPr>
      <t>1979, 1566</t>
    </r>
    <r>
      <rPr>
        <sz val="14"/>
        <color rgb="FF000000"/>
        <rFont val="Times New Roman"/>
        <family val="1"/>
      </rPr>
      <t>; </t>
    </r>
    <r>
      <rPr>
        <u/>
        <sz val="14"/>
        <color rgb="FF0000FF"/>
        <rFont val="Times New Roman"/>
        <family val="1"/>
      </rPr>
      <t>1987, 993</t>
    </r>
    <r>
      <rPr>
        <sz val="14"/>
        <color rgb="FF000000"/>
        <rFont val="Times New Roman"/>
        <family val="1"/>
      </rPr>
      <t>, </t>
    </r>
    <r>
      <rPr>
        <u/>
        <sz val="14"/>
        <color rgb="FF0000FF"/>
        <rFont val="Times New Roman"/>
        <family val="1"/>
      </rPr>
      <t>1489</t>
    </r>
    <r>
      <rPr>
        <sz val="14"/>
        <color rgb="FF000000"/>
        <rFont val="Times New Roman"/>
        <family val="1"/>
      </rPr>
      <t>; </t>
    </r>
    <r>
      <rPr>
        <u/>
        <sz val="14"/>
        <color rgb="FF0000FF"/>
        <rFont val="Times New Roman"/>
        <family val="1"/>
      </rPr>
      <t>1995, 1382</t>
    </r>
    <r>
      <rPr>
        <sz val="14"/>
        <color rgb="FF000000"/>
        <rFont val="Times New Roman"/>
        <family val="1"/>
      </rPr>
      <t>)</t>
    </r>
  </si>
  <si>
    <r>
      <rPr>
        <b/>
        <sz val="10"/>
        <color theme="1"/>
        <rFont val="Times New Roman"/>
        <family val="1"/>
      </rPr>
      <t>      </t>
    </r>
    <r>
      <rPr>
        <b/>
        <sz val="14"/>
        <color rgb="FF000000"/>
        <rFont val="Times New Roman"/>
        <family val="1"/>
      </rPr>
      <t>NAC 388A.665</t>
    </r>
    <r>
      <rPr>
        <b/>
        <sz val="10"/>
        <color theme="1"/>
        <rFont val="Times New Roman"/>
        <family val="1"/>
      </rPr>
      <t>  </t>
    </r>
    <r>
      <rPr>
        <b/>
        <sz val="14"/>
        <color rgb="FF000000"/>
        <rFont val="Times New Roman"/>
        <family val="1"/>
      </rPr>
      <t>Application for loan from Account; annual determination of balance of money in Account. (</t>
    </r>
    <r>
      <rPr>
        <u/>
        <sz val="14"/>
        <color rgb="FF0000FF"/>
        <rFont val="Times New Roman"/>
        <family val="1"/>
      </rPr>
      <t>NRS 385.080</t>
    </r>
    <r>
      <rPr>
        <b/>
        <sz val="14"/>
        <color rgb="FF000000"/>
        <rFont val="Times New Roman"/>
        <family val="1"/>
      </rPr>
      <t>, </t>
    </r>
    <r>
      <rPr>
        <u/>
        <sz val="14"/>
        <color rgb="FF0000FF"/>
        <rFont val="Times New Roman"/>
        <family val="1"/>
      </rPr>
      <t>388A.438</t>
    </r>
    <r>
      <rPr>
        <b/>
        <sz val="14"/>
        <color rgb="FF000000"/>
        <rFont val="Times New Roman"/>
        <family val="1"/>
      </rPr>
      <t>)</t>
    </r>
  </si>
  <si>
    <t>NAC 388A.665</t>
  </si>
  <si>
    <t>     1.  Except as otherwise provided in this subsection, an application for a loan from the Account must be submitted by the governing body of a charter school to the State Public Charter School Authority on or after January 1 and on or before March 15 or on or after July 1 and on or before October 15 of the calendar year in which the loan will be made. The State Public Charter School Authority may, upon request of the governing body of a charter school and for good cause shown, accept an application for a loan from the Account at any time. The State Public Charter School Authority shall not accept an application for a loan from the Account unless the State Public Charter School Authority has determined pursuant to subsection 2 that the balance of money in the Account is $5,000 or more. An application must include:</t>
  </si>
  <si>
    <t>     (a) The name of the charter school.</t>
  </si>
  <si>
    <t>     (b) The name, address and telephone number of the person whom the State Public Charter School Authority may contact regarding the application.</t>
  </si>
  <si>
    <t>     (c) The proposal of the charter school to repay the loan, consistent with NAC 388A.675.</t>
  </si>
  <si>
    <t>     (d) A description of:</t>
  </si>
  <si>
    <t>          (1) The financial needs of the charter school;</t>
  </si>
  <si>
    <t>          (2) The business plan for the charter school;</t>
  </si>
  <si>
    <t>          (3) The effect that receipt of the loan will have on the operation of the charter school; and</t>
  </si>
  <si>
    <t>          (4) The effect, if any, that receipt of the loan will have on the ability of the governing body or the charter school to obtain other financial assistance from public and private sources.</t>
  </si>
  <si>
    <t>     (e) A list of the anticipated expenses for which the money obtained from the loan will be used.</t>
  </si>
  <si>
    <t>     (f) A budget for the charter school for the fiscal year in which the loan is received and for each fiscal year of the proposed period for repayment of the loan. The budget must:</t>
  </si>
  <si>
    <t>          (1) Include an identification of all sources of revenue and expenses;</t>
  </si>
  <si>
    <t>          (2) Include the cost for repayment of the loan; and</t>
  </si>
  <si>
    <t>          (3) Be accompanied by a written narrative explaining each of the assumptions made in developing the budget.</t>
  </si>
  <si>
    <t>     (g) If the charter school is an operational charter school:</t>
  </si>
  <si>
    <t>          (1) A statement of the financial history of the applicant; and</t>
  </si>
  <si>
    <t>          (2) Three credit references for the applicant.</t>
  </si>
  <si>
    <t>     (h) If a member of the governing body has or had an association or affiliation with another charter school in this State or another state, a statement of the financial history of the charter school with which the member has or had such an association or affiliation. The provisions of this paragraph apply regardless of whether the member has terminated the association or affiliation.</t>
  </si>
  <si>
    <t>     (i) A statement of the monthly cash flow for the operation of the charter school, including, without limitation, an identification of the amount and timing of receipt of revenue relating to the amount and timing of expenditures.</t>
  </si>
  <si>
    <t>     (j) A resolution of the governing body authorizing submission of the application.</t>
  </si>
  <si>
    <t>     (k) If the charter school is sponsored pursuant to subsection 5 or 7 of NRS 388A.270, a letter of endorsement from the sponsor of the charter school.</t>
  </si>
  <si>
    <t>     (l) Any other information the Executive Director of the State Public Charter School Authority determines is necessary.</t>
  </si>
  <si>
    <t>     2.  On or before January 1 and July 1 of each year, the State Public Charter School Authority shall determine the balance of money in the Account. If the State Public Charter School Authority determines that the balance of money in the Account is $5,000 or more, the State Public Charter School Authority shall provide notice of that fact and the availability of loans from the Account to each charter school that has a charter contract executed pursuant to NRS 388A.270.</t>
  </si>
  <si>
    <t>     (Added to NAC by Bd. of Education by R206-01, eff. 4-1-2002; A by Dep’t of Education by R035-14, 12-22-2014; A by Bd. of Education by R036-14, 12-22-2014; A by Dep’t of Education by R035-14, 12-22-2014; A by Bd. of Education by R036-14, 12-22-2014; A by St. Pub. Charter School Auth. by R087-16, 12-21-2016) — (Substituted in revision for NAC 386.435)</t>
  </si>
  <si>
    <r>
      <rPr>
        <b/>
        <sz val="10"/>
        <color theme="1"/>
        <rFont val="Times New Roman"/>
        <family val="1"/>
      </rPr>
      <t>      </t>
    </r>
    <r>
      <rPr>
        <b/>
        <sz val="14"/>
        <color rgb="FF000000"/>
        <rFont val="Times New Roman"/>
        <family val="1"/>
      </rPr>
      <t>NAC 388A.670</t>
    </r>
    <r>
      <rPr>
        <b/>
        <sz val="10"/>
        <color theme="1"/>
        <rFont val="Times New Roman"/>
        <family val="1"/>
      </rPr>
      <t>  </t>
    </r>
    <r>
      <rPr>
        <b/>
        <sz val="14"/>
        <color rgb="FF000000"/>
        <rFont val="Times New Roman"/>
        <family val="1"/>
      </rPr>
      <t>Priority for loans; considerations for approval of loans. (</t>
    </r>
    <r>
      <rPr>
        <u/>
        <sz val="14"/>
        <color rgb="FF0000FF"/>
        <rFont val="Times New Roman"/>
        <family val="1"/>
      </rPr>
      <t>NRS 385.080</t>
    </r>
    <r>
      <rPr>
        <b/>
        <sz val="14"/>
        <color rgb="FF000000"/>
        <rFont val="Times New Roman"/>
        <family val="1"/>
      </rPr>
      <t>, </t>
    </r>
    <r>
      <rPr>
        <u/>
        <sz val="14"/>
        <color rgb="FF0000FF"/>
        <rFont val="Times New Roman"/>
        <family val="1"/>
      </rPr>
      <t>388A.438</t>
    </r>
    <r>
      <rPr>
        <b/>
        <sz val="14"/>
        <color rgb="FF000000"/>
        <rFont val="Times New Roman"/>
        <family val="1"/>
      </rPr>
      <t>)</t>
    </r>
  </si>
  <si>
    <t>     1.  To the extent that money is available in the Account, the State Public Charter School Authority shall grant priority for loans from the Account to those charter schools with approved loan applications that will use the money obtained from the loan in preparing to commence the first year of operation.</t>
  </si>
  <si>
    <t>     2.  In determining whether to approve an application, the State Public Charter School Authority shall consider the:</t>
  </si>
  <si>
    <t>     (a) Reliability of the business plan submitted with the application;</t>
  </si>
  <si>
    <t>     (b) Ability of the charter school to obtain financial assistance from other sources;</t>
  </si>
  <si>
    <t>     (c) Information submitted in the application; and</t>
  </si>
  <si>
    <t>     (d) Effect of approval of the application on the equitable geographic distribution throughout this State of loans from the Account.</t>
  </si>
  <si>
    <t>     (Added to NAC by Bd. of Education by R206-01, eff. 4-1-2002; A by R036-14, 12-22-2014) — (Substituted in revision for NAC 386.440)</t>
  </si>
  <si>
    <r>
      <rPr>
        <b/>
        <sz val="10"/>
        <color theme="1"/>
        <rFont val="Times New Roman"/>
        <family val="1"/>
      </rPr>
      <t>      </t>
    </r>
    <r>
      <rPr>
        <b/>
        <sz val="14"/>
        <color rgb="FF000000"/>
        <rFont val="Times New Roman"/>
        <family val="1"/>
      </rPr>
      <t>NAC 388A.675</t>
    </r>
    <r>
      <rPr>
        <b/>
        <sz val="10"/>
        <color theme="1"/>
        <rFont val="Times New Roman"/>
        <family val="1"/>
      </rPr>
      <t>  </t>
    </r>
    <r>
      <rPr>
        <b/>
        <sz val="14"/>
        <color rgb="FF000000"/>
        <rFont val="Times New Roman"/>
        <family val="1"/>
      </rPr>
      <t>Repayment of loans. (</t>
    </r>
    <r>
      <rPr>
        <u/>
        <sz val="14"/>
        <color rgb="FF0000FF"/>
        <rFont val="Times New Roman"/>
        <family val="1"/>
      </rPr>
      <t>NRS 385.080</t>
    </r>
    <r>
      <rPr>
        <b/>
        <sz val="14"/>
        <color rgb="FF000000"/>
        <rFont val="Times New Roman"/>
        <family val="1"/>
      </rPr>
      <t>, </t>
    </r>
    <r>
      <rPr>
        <u/>
        <sz val="14"/>
        <color rgb="FF0000FF"/>
        <rFont val="Times New Roman"/>
        <family val="1"/>
      </rPr>
      <t>388A.110</t>
    </r>
    <r>
      <rPr>
        <b/>
        <sz val="14"/>
        <color rgb="FF000000"/>
        <rFont val="Times New Roman"/>
        <family val="1"/>
      </rPr>
      <t>, </t>
    </r>
    <r>
      <rPr>
        <u/>
        <sz val="14"/>
        <color rgb="FF0000FF"/>
        <rFont val="Times New Roman"/>
        <family val="1"/>
      </rPr>
      <t>388A.438</t>
    </r>
    <r>
      <rPr>
        <b/>
        <sz val="14"/>
        <color rgb="FF000000"/>
        <rFont val="Times New Roman"/>
        <family val="1"/>
      </rPr>
      <t>)</t>
    </r>
  </si>
  <si>
    <t>     1.  The rate of interest for loans made from the Account is the prime rate at the largest bank in Nevada, as ascertained by the Commissioner of Financial Institutions, on January 1 or July 1, as the case may be, immediately preceding the date of the transaction.</t>
  </si>
  <si>
    <t>     2.  If a loan is made to a charter school from the Account, the Department shall deduct from the apportionments made to the charter school pursuant to NRS 387.124, an amount of money equal to the annual repayment amount of the loan, including interest. The deductions must be made:</t>
  </si>
  <si>
    <t>     (a) In quarterly amounts corresponding with the quarterly apportionment to the charter school.</t>
  </si>
  <si>
    <t>     (b) In equal amounts during the period of repayment, which must not exceed 3 years, agreed upon by the governing body of the charter school and the State Public Charter School Authority.</t>
  </si>
  <si>
    <t>     3.  If a loan is made to an operational charter school, the deductions must be made commencing in the same fiscal year in which the loan is made. If a loan is made to a charter school that is not an operational charter school but which has a charter contract executed, the deductions must be made commencing with the first fiscal year immediately succeeding the fiscal year in which the charter school becomes an operational charter school.</t>
  </si>
  <si>
    <t>     4.  If a charter school that receives a loan:</t>
  </si>
  <si>
    <t>     (a) Defaults on repayment of the outstanding balance of the loan; or</t>
  </si>
  <si>
    <t>     (b) Closes or otherwise ceases operation,</t>
  </si>
  <si>
    <r>
      <rPr>
        <sz val="14"/>
        <color rgb="FF000000"/>
        <rFont val="Noto Sans Symbols"/>
      </rPr>
      <t>Ê</t>
    </r>
    <r>
      <rPr>
        <sz val="14"/>
        <color rgb="FF000000"/>
        <rFont val="Times New Roman"/>
        <family val="1"/>
      </rPr>
      <t> the charter school is liable for repayment of the outstanding balance of the loan.</t>
    </r>
  </si>
  <si>
    <t>     5.  As used in this section, “fiscal year” means the 12-month period beginning on the first day of July and ending on the last day of June.</t>
  </si>
  <si>
    <t>     (Added to NAC by Bd. of Education by R206-01, eff. 4-1-2002; A by Dep’t of Education by R044-05, 10-31-2005; R035-14, 12-22-2014; A by Bd. of Education by R036-14, 12-22-2014; A by Dep’t of Education by R035-14, 12-22-2014, eff. 1-1-2020) — (Substituted in revision for NAC 386.445)</t>
  </si>
  <si>
    <t>Interest Start Date</t>
  </si>
  <si>
    <t>&lt;Select&gt;</t>
  </si>
  <si>
    <t>TERM</t>
  </si>
  <si>
    <t>CUMULATIVE INTEREST PAID</t>
  </si>
  <si>
    <t>ACCOUNT FOR CHARTER SCHOOLS</t>
  </si>
  <si>
    <t>      NRS 388A.432  Creation; investment; credit of interest and income; deposit of money; payment of claims; acceptance of gifts and grants.</t>
  </si>
  <si>
    <t>      1.  The Account for Charter Schools is hereby created in the State General Fund as a revolving loan account, to be administered by the State Public Charter School Authority.</t>
  </si>
  <si>
    <t>      2.  The money in the Account must be invested as money in other state accounts is invested. All interest and income earned on the money in the Account must be credited to the Account. Any money remaining in the Account at the end of a fiscal year does not revert to the State General Fund, and the balance in the Account must be carried forward.</t>
  </si>
  <si>
    <t>      3.  All payments of principal and interest on all the loans made to a charter school from the Account must be deposited with the State Treasurer for credit to the Account.</t>
  </si>
  <si>
    <t>      4.  Claims against the Account must be paid as other claims against the State are paid.</t>
  </si>
  <si>
    <t>      5.  The State Public Charter School Authority may accept gifts, grants, bequests and donations from any source for deposit in the Account.</t>
  </si>
  <si>
    <r>
      <t>      (Added to NRS by </t>
    </r>
    <r>
      <rPr>
        <u/>
        <sz val="11"/>
        <color rgb="FF0000FF"/>
        <rFont val="Times New Roman"/>
        <family val="1"/>
      </rPr>
      <t>2001, 3124</t>
    </r>
    <r>
      <rPr>
        <sz val="11"/>
        <color rgb="FF000000"/>
        <rFont val="Times New Roman"/>
        <family val="1"/>
      </rPr>
      <t>; A </t>
    </r>
    <r>
      <rPr>
        <u/>
        <sz val="11"/>
        <color rgb="FF0000FF"/>
        <rFont val="Times New Roman"/>
        <family val="1"/>
      </rPr>
      <t>2011, 446</t>
    </r>
    <r>
      <rPr>
        <sz val="11"/>
        <color rgb="FF000000"/>
        <rFont val="Times New Roman"/>
        <family val="1"/>
      </rPr>
      <t>; </t>
    </r>
    <r>
      <rPr>
        <u/>
        <sz val="11"/>
        <color rgb="FF0000FF"/>
        <rFont val="Times New Roman"/>
        <family val="1"/>
      </rPr>
      <t>2013, 27th Special Session, 4</t>
    </r>
    <r>
      <rPr>
        <sz val="11"/>
        <color rgb="FF000000"/>
        <rFont val="Times New Roman"/>
        <family val="1"/>
      </rPr>
      <t>)—(Substituted in revision for NRS 386.576)</t>
    </r>
  </si>
  <si>
    <t>Jan 1 to Mar 15</t>
  </si>
  <si>
    <t>Jul 1 to Oct 15</t>
  </si>
  <si>
    <t>&lt; Select Due Date &gt;</t>
  </si>
  <si>
    <t>Address</t>
  </si>
  <si>
    <t>City</t>
  </si>
  <si>
    <t>State</t>
  </si>
  <si>
    <t>Zip</t>
  </si>
  <si>
    <t>&lt; Sponsor &gt;</t>
  </si>
  <si>
    <t>SPCSA - State Public Charter School Authority</t>
  </si>
  <si>
    <t>Washoe County School District</t>
  </si>
  <si>
    <t>Carson City School District</t>
  </si>
  <si>
    <t>City of North Las Vegas</t>
  </si>
  <si>
    <t>City of Henderson</t>
  </si>
  <si>
    <t>Charter School Name</t>
  </si>
  <si>
    <t>School Leader Name</t>
  </si>
  <si>
    <t>Title</t>
  </si>
  <si>
    <t>Email</t>
  </si>
  <si>
    <t>School Board President Name</t>
  </si>
  <si>
    <t>Signature</t>
  </si>
  <si>
    <t>Phone</t>
  </si>
  <si>
    <t>Grade Level</t>
  </si>
  <si>
    <t>TOTAL</t>
  </si>
  <si>
    <t>Sponsor</t>
  </si>
  <si>
    <t>Application Cycle</t>
  </si>
  <si>
    <t>NEVADA CHARTER SCHOOL REVOLVING LOAN APPLICATION</t>
  </si>
  <si>
    <t>Maximum Loan Amount *</t>
  </si>
  <si>
    <t>Requested Repayment Period</t>
  </si>
  <si>
    <t>School Open Date</t>
  </si>
  <si>
    <t>Contract Start Date</t>
  </si>
  <si>
    <t>Contract End Date</t>
  </si>
  <si>
    <t>*Lesser of $500 per student or $200,000, depending on available funds</t>
  </si>
  <si>
    <t>&lt; FY &gt;</t>
  </si>
  <si>
    <t>2025-2026</t>
  </si>
  <si>
    <t>2026-2027</t>
  </si>
  <si>
    <t>2027-2028</t>
  </si>
  <si>
    <t>2028-2029</t>
  </si>
  <si>
    <t>2029-2030</t>
  </si>
  <si>
    <t>REQUESTED LOAN TERMS</t>
  </si>
  <si>
    <t>Average Daily Enrollment (ADE)</t>
  </si>
  <si>
    <t>PROJECTED STUDENT ENROLLMENT</t>
  </si>
  <si>
    <t>Student Count</t>
  </si>
  <si>
    <t>All loan terms subject to final review, approval, rate-setting, enrollment verification, and any other required validation prior to funding</t>
  </si>
  <si>
    <t>REQUESTED LOAN AMOUNT</t>
  </si>
  <si>
    <t>Requested Loan Funding Date**</t>
  </si>
  <si>
    <t>**Minimum 90 days from submission of completed application, subject to IFC approval</t>
  </si>
  <si>
    <t>AMORTIZATION STATUS</t>
  </si>
  <si>
    <t>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</si>
</sst>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0000\-0000"/>
    <numFmt numFmtId="165" formatCode="[&lt;=9999999]###\-####;\(###\)\ ###\-####"/>
    <numFmt numFmtId="166" formatCode="mm/dd/yy"/>
    <numFmt numFmtId="167" formatCode="mmm\ d\,\ yyyy"/>
    <numFmt numFmtId="168" formatCode="_(&quot;$&quot;* #,##0_);_(&quot;$&quot;* \(#,##0\);_(&quot;$&quot;* &quot;-&quot;??_);_(@_)"/>
    <numFmt numFmtId="169" formatCode="#&quot; Year(s)&quot;"/>
  </numFmts>
  <fonts count="41">
    <font>
      <sz val="11"/>
      <color theme="1"/>
      <name val="Calibri"/>
      <scheme val="minor"/>
    </font>
    <font>
      <sz val="11"/>
      <color theme="1"/>
      <name val="Calibri"/>
      <family val="2"/>
      <scheme val="minor"/>
    </font>
    <font>
      <sz val="11"/>
      <color theme="1"/>
      <name val="Calibri"/>
      <family val="2"/>
      <scheme val="minor"/>
    </font>
    <font>
      <sz val="11"/>
      <name val="Calibri"/>
      <family val="2"/>
    </font>
    <font>
      <b/>
      <sz val="10"/>
      <color theme="1"/>
      <name val="Arial"/>
      <family val="2"/>
    </font>
    <font>
      <sz val="10"/>
      <color theme="1"/>
      <name val="Arial"/>
      <family val="2"/>
    </font>
    <font>
      <u/>
      <sz val="11"/>
      <color theme="1"/>
      <name val="Calibri"/>
      <family val="2"/>
    </font>
    <font>
      <sz val="11"/>
      <color theme="1"/>
      <name val="Calibri"/>
      <family val="2"/>
      <scheme val="minor"/>
    </font>
    <font>
      <b/>
      <sz val="10"/>
      <color rgb="FF000000"/>
      <name val="Arial"/>
      <family val="2"/>
    </font>
    <font>
      <sz val="11"/>
      <color theme="1"/>
      <name val="Calibri"/>
      <family val="2"/>
    </font>
    <font>
      <b/>
      <sz val="11"/>
      <color theme="1"/>
      <name val="Arial"/>
      <family val="2"/>
    </font>
    <font>
      <sz val="11"/>
      <color theme="1"/>
      <name val="Arial"/>
      <family val="2"/>
    </font>
    <font>
      <u/>
      <sz val="10"/>
      <color rgb="FF0000FF"/>
      <name val="Times New Roman"/>
      <family val="1"/>
    </font>
    <font>
      <b/>
      <sz val="11"/>
      <color theme="1"/>
      <name val="Calibri"/>
      <family val="2"/>
    </font>
    <font>
      <i/>
      <sz val="11"/>
      <color theme="1"/>
      <name val="Calibri"/>
      <family val="2"/>
    </font>
    <font>
      <b/>
      <sz val="20"/>
      <color rgb="FF0070C0"/>
      <name val="Calibri"/>
      <family val="2"/>
    </font>
    <font>
      <b/>
      <sz val="12"/>
      <color theme="1"/>
      <name val="Calibri"/>
      <family val="2"/>
    </font>
    <font>
      <sz val="11"/>
      <color rgb="FFA5A5A5"/>
      <name val="Calibri"/>
      <family val="2"/>
    </font>
    <font>
      <b/>
      <sz val="14"/>
      <color rgb="FF000000"/>
      <name val="Times New Roman"/>
      <family val="1"/>
    </font>
    <font>
      <sz val="14"/>
      <color rgb="FF000000"/>
      <name val="Times New Roman"/>
      <family val="1"/>
    </font>
    <font>
      <b/>
      <sz val="10"/>
      <color theme="1"/>
      <name val="Times New Roman"/>
      <family val="1"/>
    </font>
    <font>
      <u/>
      <sz val="10"/>
      <color rgb="FF0000FF"/>
      <name val="Arial"/>
      <family val="2"/>
    </font>
    <font>
      <sz val="14"/>
      <color rgb="FF000000"/>
      <name val="Noto Sans Symbols"/>
    </font>
    <font>
      <b/>
      <u/>
      <sz val="20"/>
      <color rgb="FFFF0000"/>
      <name val="Calibri"/>
      <family val="2"/>
    </font>
    <font>
      <b/>
      <i/>
      <sz val="11"/>
      <color rgb="FFFF0000"/>
      <name val="Calibri"/>
      <family val="2"/>
    </font>
    <font>
      <sz val="11"/>
      <color theme="1"/>
      <name val="Aptos Narrow"/>
      <family val="2"/>
    </font>
    <font>
      <u/>
      <sz val="11"/>
      <color rgb="FFFF0000"/>
      <name val="Calibri"/>
      <family val="2"/>
    </font>
    <font>
      <u/>
      <sz val="14"/>
      <color rgb="FF0000FF"/>
      <name val="Times New Roman"/>
      <family val="1"/>
    </font>
    <font>
      <sz val="11"/>
      <name val="Calibri"/>
      <family val="2"/>
      <scheme val="minor"/>
    </font>
    <font>
      <b/>
      <sz val="11"/>
      <color theme="1"/>
      <name val="Calibri"/>
      <family val="2"/>
      <scheme val="minor"/>
    </font>
    <font>
      <sz val="11"/>
      <color rgb="FF000000"/>
      <name val="Times New Roman"/>
      <family val="1"/>
    </font>
    <font>
      <u/>
      <sz val="11"/>
      <color rgb="FF0000FF"/>
      <name val="Times New Roman"/>
      <family val="1"/>
    </font>
    <font>
      <b/>
      <sz val="20"/>
      <color rgb="FF0070C0"/>
      <name val="Calibri"/>
      <family val="2"/>
      <scheme val="minor"/>
    </font>
    <font>
      <sz val="11"/>
      <color rgb="FF000000"/>
      <name val="Calibri"/>
      <family val="2"/>
    </font>
    <font>
      <b/>
      <sz val="11"/>
      <name val="Calibri"/>
      <family val="2"/>
    </font>
    <font>
      <b/>
      <sz val="11"/>
      <color rgb="FF0070C0"/>
      <name val="Lucida Handwriting"/>
      <family val="4"/>
    </font>
    <font>
      <b/>
      <i/>
      <sz val="11"/>
      <color rgb="FF0070C0"/>
      <name val="Calibri"/>
      <family val="2"/>
    </font>
    <font>
      <b/>
      <sz val="16"/>
      <color theme="1"/>
      <name val="Calibri"/>
      <family val="2"/>
      <scheme val="minor"/>
    </font>
    <font>
      <i/>
      <sz val="8"/>
      <color rgb="FF00B0F0"/>
      <name val="Calibri"/>
      <family val="2"/>
      <scheme val="minor"/>
    </font>
    <font>
      <i/>
      <sz val="10"/>
      <color theme="1" tint="0.34998626667073579"/>
      <name val="Calibri"/>
      <family val="2"/>
    </font>
    <font>
      <i/>
      <sz val="9"/>
      <color theme="1"/>
      <name val="Calibri"/>
      <family val="2"/>
      <scheme val="minor"/>
    </font>
  </fonts>
  <fills count="21">
    <fill>
      <patternFill patternType="none"/>
    </fill>
    <fill>
      <patternFill patternType="gray125"/>
    </fill>
    <fill>
      <patternFill patternType="solid">
        <fgColor rgb="FFF2F2F2"/>
        <bgColor rgb="FFF2F2F2"/>
      </patternFill>
    </fill>
    <fill>
      <patternFill patternType="solid">
        <fgColor rgb="FFFFFF00"/>
        <bgColor rgb="FFFFFF00"/>
      </patternFill>
    </fill>
    <fill>
      <patternFill patternType="solid">
        <fgColor rgb="FFFFFF99"/>
        <bgColor rgb="FFFFFF99"/>
      </patternFill>
    </fill>
    <fill>
      <patternFill patternType="solid">
        <fgColor rgb="FFFDE9D9"/>
        <bgColor rgb="FFFDE9D9"/>
      </patternFill>
    </fill>
    <fill>
      <patternFill patternType="solid">
        <fgColor rgb="FFFFFFCC"/>
        <bgColor rgb="FFFFFFCC"/>
      </patternFill>
    </fill>
    <fill>
      <patternFill patternType="solid">
        <fgColor rgb="FF99FF99"/>
        <bgColor rgb="FF99FF99"/>
      </patternFill>
    </fill>
    <fill>
      <patternFill patternType="solid">
        <fgColor rgb="FFCCFFCC"/>
        <bgColor rgb="FFCCFFCC"/>
      </patternFill>
    </fill>
    <fill>
      <patternFill patternType="solid">
        <fgColor rgb="FFD8D8D8"/>
        <bgColor rgb="FFD8D8D8"/>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FF99"/>
        <bgColor rgb="FFFFFF00"/>
      </patternFill>
    </fill>
    <fill>
      <patternFill patternType="solid">
        <fgColor rgb="FFFFFFCC"/>
        <bgColor rgb="FFFFFF00"/>
      </patternFill>
    </fill>
    <fill>
      <patternFill patternType="solid">
        <fgColor rgb="FFFFFFCC"/>
        <bgColor rgb="FFFFFF99"/>
      </patternFill>
    </fill>
    <fill>
      <patternFill patternType="solid">
        <fgColor theme="0" tint="-4.9989318521683403E-2"/>
        <bgColor indexed="64"/>
      </patternFill>
    </fill>
    <fill>
      <patternFill patternType="solid">
        <fgColor rgb="FFCCFFFF"/>
        <bgColor indexed="64"/>
      </patternFill>
    </fill>
    <fill>
      <patternFill patternType="solid">
        <fgColor rgb="FF66FFFF"/>
        <bgColor indexed="64"/>
      </patternFill>
    </fill>
    <fill>
      <patternFill patternType="solid">
        <fgColor theme="0" tint="-0.14999847407452621"/>
        <bgColor indexed="64"/>
      </patternFill>
    </fill>
    <fill>
      <patternFill patternType="solid">
        <fgColor theme="0" tint="-4.9989318521683403E-2"/>
        <bgColor rgb="FFF2F2F2"/>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s>
  <cellStyleXfs count="1">
    <xf numFmtId="0" fontId="0" fillId="0" borderId="0"/>
  </cellStyleXfs>
  <cellXfs count="131">
    <xf numFmtId="0" fontId="0" fillId="0" borderId="0" xfId="0"/>
    <xf numFmtId="0" fontId="12" fillId="0" borderId="0" xfId="0" applyFont="1"/>
    <xf numFmtId="0" fontId="18"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9" fillId="5" borderId="2" xfId="0" applyFont="1" applyFill="1" applyBorder="1"/>
    <xf numFmtId="0" fontId="2" fillId="0" borderId="0" xfId="0" applyFont="1" applyAlignment="1">
      <alignment horizontal="center"/>
    </xf>
    <xf numFmtId="0" fontId="0" fillId="10" borderId="0" xfId="0" applyFill="1" applyAlignment="1">
      <alignment horizontal="center"/>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horizontal="justify" vertical="center" wrapText="1"/>
    </xf>
    <xf numFmtId="0" fontId="30" fillId="0" borderId="0" xfId="0" applyFont="1" applyAlignment="1">
      <alignment horizontal="justify" vertical="center" wrapText="1"/>
    </xf>
    <xf numFmtId="0" fontId="0" fillId="10" borderId="0" xfId="0" applyFill="1"/>
    <xf numFmtId="0" fontId="1" fillId="10" borderId="5" xfId="0" applyFont="1" applyFill="1" applyBorder="1" applyAlignment="1">
      <alignment horizontal="left"/>
    </xf>
    <xf numFmtId="0" fontId="1" fillId="10" borderId="0" xfId="0" applyFont="1" applyFill="1" applyAlignment="1">
      <alignment horizontal="left"/>
    </xf>
    <xf numFmtId="0" fontId="1" fillId="10" borderId="5" xfId="0" applyFont="1" applyFill="1" applyBorder="1"/>
    <xf numFmtId="0" fontId="9" fillId="5" borderId="5" xfId="0" applyFont="1" applyFill="1" applyBorder="1"/>
    <xf numFmtId="0" fontId="2" fillId="10" borderId="5" xfId="0" applyFont="1" applyFill="1" applyBorder="1" applyAlignment="1">
      <alignment horizontal="center"/>
    </xf>
    <xf numFmtId="0" fontId="0" fillId="0" borderId="2" xfId="0" applyBorder="1" applyAlignment="1">
      <alignment horizontal="left"/>
    </xf>
    <xf numFmtId="0" fontId="32" fillId="0" borderId="2" xfId="0" applyFont="1" applyBorder="1" applyAlignment="1">
      <alignment horizontal="left" vertical="top"/>
    </xf>
    <xf numFmtId="0" fontId="0" fillId="0" borderId="2" xfId="0" applyBorder="1"/>
    <xf numFmtId="0" fontId="4" fillId="0" borderId="2" xfId="0" applyFont="1" applyBorder="1" applyAlignment="1">
      <alignment horizontal="left"/>
    </xf>
    <xf numFmtId="0" fontId="13" fillId="0" borderId="2" xfId="0" applyFont="1" applyBorder="1" applyAlignment="1">
      <alignment horizontal="left"/>
    </xf>
    <xf numFmtId="0" fontId="9" fillId="0" borderId="2" xfId="0" applyFont="1" applyBorder="1" applyAlignment="1">
      <alignment horizontal="center"/>
    </xf>
    <xf numFmtId="0" fontId="9" fillId="0" borderId="2" xfId="0" applyFont="1" applyBorder="1"/>
    <xf numFmtId="0" fontId="13" fillId="0" borderId="2" xfId="0" applyFont="1" applyBorder="1" applyAlignment="1">
      <alignment horizontal="center"/>
    </xf>
    <xf numFmtId="0" fontId="5" fillId="0" borderId="2" xfId="0" applyFont="1" applyBorder="1" applyAlignment="1">
      <alignment horizontal="center"/>
    </xf>
    <xf numFmtId="0" fontId="5" fillId="0" borderId="2" xfId="0" applyFont="1" applyBorder="1"/>
    <xf numFmtId="0" fontId="0" fillId="0" borderId="2" xfId="0" applyBorder="1" applyAlignment="1">
      <alignment horizontal="left" vertical="center"/>
    </xf>
    <xf numFmtId="0" fontId="9" fillId="0" borderId="2" xfId="0" applyFont="1" applyBorder="1" applyAlignment="1">
      <alignment vertical="center"/>
    </xf>
    <xf numFmtId="0" fontId="3" fillId="0" borderId="2" xfId="0" applyFont="1" applyBorder="1" applyAlignment="1">
      <alignment vertical="center"/>
    </xf>
    <xf numFmtId="0" fontId="5" fillId="0" borderId="2" xfId="0" applyFont="1" applyBorder="1" applyAlignment="1">
      <alignment vertical="center"/>
    </xf>
    <xf numFmtId="0" fontId="0" fillId="0" borderId="2" xfId="0" applyBorder="1" applyAlignment="1">
      <alignment vertical="center"/>
    </xf>
    <xf numFmtId="0" fontId="13" fillId="0" borderId="2" xfId="0" applyFont="1" applyBorder="1"/>
    <xf numFmtId="0" fontId="13" fillId="0" borderId="2" xfId="0" applyFont="1" applyBorder="1" applyAlignment="1">
      <alignment horizontal="center" wrapText="1"/>
    </xf>
    <xf numFmtId="0" fontId="13" fillId="0" borderId="2" xfId="0" applyFont="1" applyBorder="1" applyAlignment="1">
      <alignment horizontal="right"/>
    </xf>
    <xf numFmtId="0" fontId="3" fillId="0" borderId="2" xfId="0" applyFont="1" applyBorder="1"/>
    <xf numFmtId="0" fontId="8" fillId="0" borderId="2" xfId="0" applyFont="1" applyBorder="1" applyAlignment="1">
      <alignment horizontal="center"/>
    </xf>
    <xf numFmtId="164" fontId="5" fillId="0" borderId="2" xfId="0" applyNumberFormat="1" applyFont="1" applyBorder="1" applyAlignment="1">
      <alignment horizontal="center"/>
    </xf>
    <xf numFmtId="0" fontId="13" fillId="19" borderId="2" xfId="0" applyFont="1" applyFill="1" applyBorder="1" applyAlignment="1">
      <alignment horizontal="left"/>
    </xf>
    <xf numFmtId="0" fontId="0" fillId="19" borderId="2" xfId="0" applyFill="1" applyBorder="1"/>
    <xf numFmtId="0" fontId="29" fillId="19" borderId="2" xfId="0" applyFont="1" applyFill="1" applyBorder="1" applyAlignment="1">
      <alignment horizontal="center"/>
    </xf>
    <xf numFmtId="0" fontId="6" fillId="0" borderId="2" xfId="0" applyFont="1" applyBorder="1"/>
    <xf numFmtId="166" fontId="5" fillId="0" borderId="2" xfId="0" applyNumberFormat="1" applyFont="1" applyBorder="1"/>
    <xf numFmtId="0" fontId="39" fillId="16" borderId="2" xfId="0" applyFont="1" applyFill="1" applyBorder="1" applyAlignment="1">
      <alignment horizontal="left"/>
    </xf>
    <xf numFmtId="0" fontId="13" fillId="16" borderId="2" xfId="0" applyFont="1" applyFill="1" applyBorder="1" applyAlignment="1">
      <alignment horizontal="right"/>
    </xf>
    <xf numFmtId="168" fontId="9" fillId="16" borderId="2" xfId="0" applyNumberFormat="1" applyFont="1" applyFill="1" applyBorder="1" applyAlignment="1">
      <alignment horizontal="center"/>
    </xf>
    <xf numFmtId="0" fontId="13" fillId="16" borderId="2" xfId="0" applyFont="1" applyFill="1" applyBorder="1" applyAlignment="1">
      <alignment horizontal="left"/>
    </xf>
    <xf numFmtId="16" fontId="9" fillId="16" borderId="2" xfId="0" quotePrefix="1" applyNumberFormat="1" applyFont="1" applyFill="1" applyBorder="1" applyAlignment="1">
      <alignment horizontal="center"/>
    </xf>
    <xf numFmtId="0" fontId="9" fillId="16" borderId="5" xfId="0" quotePrefix="1" applyFont="1" applyFill="1" applyBorder="1" applyAlignment="1">
      <alignment horizontal="center"/>
    </xf>
    <xf numFmtId="0" fontId="13" fillId="16" borderId="2" xfId="0" applyFont="1" applyFill="1" applyBorder="1" applyAlignment="1">
      <alignment horizontal="center"/>
    </xf>
    <xf numFmtId="43" fontId="13" fillId="2" borderId="2" xfId="0" applyNumberFormat="1" applyFont="1" applyFill="1" applyBorder="1"/>
    <xf numFmtId="0" fontId="4" fillId="0" borderId="2" xfId="0" applyFont="1" applyBorder="1" applyAlignment="1">
      <alignment horizontal="right"/>
    </xf>
    <xf numFmtId="0" fontId="4" fillId="0" borderId="2" xfId="0" applyFont="1" applyBorder="1" applyAlignment="1">
      <alignment horizontal="center"/>
    </xf>
    <xf numFmtId="0" fontId="29" fillId="18" borderId="2" xfId="0" applyFont="1" applyFill="1" applyBorder="1"/>
    <xf numFmtId="0" fontId="9" fillId="18" borderId="2" xfId="0" applyFont="1" applyFill="1" applyBorder="1" applyAlignment="1">
      <alignment horizontal="center"/>
    </xf>
    <xf numFmtId="0" fontId="3" fillId="17" borderId="2" xfId="0" applyFont="1" applyFill="1" applyBorder="1"/>
    <xf numFmtId="0" fontId="13" fillId="17" borderId="2" xfId="0" applyFont="1" applyFill="1" applyBorder="1" applyAlignment="1">
      <alignment horizontal="right"/>
    </xf>
    <xf numFmtId="0" fontId="9" fillId="17" borderId="2" xfId="0" applyFont="1" applyFill="1" applyBorder="1" applyAlignment="1">
      <alignment horizontal="center"/>
    </xf>
    <xf numFmtId="0" fontId="9" fillId="17" borderId="2" xfId="0" applyFont="1" applyFill="1" applyBorder="1" applyAlignment="1">
      <alignment horizontal="right"/>
    </xf>
    <xf numFmtId="0" fontId="38" fillId="17" borderId="2" xfId="0" applyFont="1" applyFill="1" applyBorder="1"/>
    <xf numFmtId="0" fontId="34" fillId="0" borderId="2" xfId="0" applyFont="1" applyBorder="1"/>
    <xf numFmtId="0" fontId="4" fillId="0" borderId="2" xfId="0" applyFont="1" applyBorder="1"/>
    <xf numFmtId="0" fontId="29" fillId="0" borderId="2" xfId="0" applyFont="1" applyBorder="1"/>
    <xf numFmtId="0" fontId="11" fillId="0" borderId="2" xfId="0" applyFont="1" applyBorder="1" applyAlignment="1">
      <alignment horizontal="left" vertical="center"/>
    </xf>
    <xf numFmtId="0" fontId="10" fillId="0" borderId="2" xfId="0" applyFont="1" applyBorder="1" applyAlignment="1">
      <alignment horizontal="left"/>
    </xf>
    <xf numFmtId="0" fontId="12" fillId="0" borderId="2" xfId="0"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right" vertical="center"/>
    </xf>
    <xf numFmtId="0" fontId="9" fillId="0" borderId="2" xfId="0" applyFont="1" applyBorder="1" applyAlignment="1">
      <alignment horizontal="left"/>
    </xf>
    <xf numFmtId="0" fontId="11" fillId="0" borderId="2" xfId="0" applyFont="1" applyBorder="1"/>
    <xf numFmtId="0" fontId="0" fillId="0" borderId="2" xfId="0" applyBorder="1" applyAlignment="1">
      <alignment horizontal="center" vertical="center"/>
    </xf>
    <xf numFmtId="0" fontId="9" fillId="0" borderId="2"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9" fillId="12" borderId="2" xfId="0" applyFont="1" applyFill="1" applyBorder="1" applyAlignment="1" applyProtection="1">
      <alignment horizontal="center" vertical="center"/>
      <protection locked="0"/>
    </xf>
    <xf numFmtId="0" fontId="37" fillId="11" borderId="2" xfId="0" applyFont="1" applyFill="1" applyBorder="1" applyAlignment="1" applyProtection="1">
      <alignment horizontal="center" vertical="center"/>
      <protection locked="0"/>
    </xf>
    <xf numFmtId="0" fontId="9" fillId="15" borderId="2" xfId="0" applyFont="1" applyFill="1" applyBorder="1" applyProtection="1">
      <protection locked="0"/>
    </xf>
    <xf numFmtId="167" fontId="9" fillId="15" borderId="2" xfId="0" applyNumberFormat="1" applyFont="1" applyFill="1" applyBorder="1" applyAlignment="1" applyProtection="1">
      <alignment horizontal="center" vertical="center"/>
      <protection locked="0"/>
    </xf>
    <xf numFmtId="0" fontId="9" fillId="15" borderId="2" xfId="0" applyFont="1" applyFill="1" applyBorder="1" applyAlignment="1" applyProtection="1">
      <alignment horizontal="center"/>
      <protection locked="0"/>
    </xf>
    <xf numFmtId="0" fontId="33" fillId="15" borderId="2" xfId="0" applyFont="1" applyFill="1" applyBorder="1" applyAlignment="1" applyProtection="1">
      <alignment horizontal="center"/>
      <protection locked="0"/>
    </xf>
    <xf numFmtId="49" fontId="9" fillId="15" borderId="2" xfId="0" applyNumberFormat="1" applyFont="1" applyFill="1" applyBorder="1" applyAlignment="1" applyProtection="1">
      <alignment horizontal="center"/>
      <protection locked="0"/>
    </xf>
    <xf numFmtId="43" fontId="9" fillId="14" borderId="2" xfId="0" applyNumberFormat="1" applyFont="1" applyFill="1" applyBorder="1" applyAlignment="1" applyProtection="1">
      <alignment horizontal="center"/>
      <protection locked="0"/>
    </xf>
    <xf numFmtId="43" fontId="9" fillId="14" borderId="5" xfId="0" applyNumberFormat="1" applyFont="1" applyFill="1" applyBorder="1" applyAlignment="1" applyProtection="1">
      <alignment horizontal="center"/>
      <protection locked="0"/>
    </xf>
    <xf numFmtId="168" fontId="13" fillId="13" borderId="2" xfId="0" applyNumberFormat="1" applyFont="1" applyFill="1" applyBorder="1" applyProtection="1">
      <protection locked="0"/>
    </xf>
    <xf numFmtId="169" fontId="9" fillId="13" borderId="2" xfId="0" applyNumberFormat="1" applyFont="1" applyFill="1" applyBorder="1" applyAlignment="1" applyProtection="1">
      <alignment horizontal="center"/>
      <protection locked="0"/>
    </xf>
    <xf numFmtId="167" fontId="9" fillId="4" borderId="2" xfId="0" applyNumberFormat="1" applyFont="1" applyFill="1" applyBorder="1" applyAlignment="1" applyProtection="1">
      <alignment horizontal="center" vertical="center"/>
      <protection locked="0"/>
    </xf>
    <xf numFmtId="0" fontId="9" fillId="15" borderId="2" xfId="0" applyFont="1" applyFill="1" applyBorder="1" applyAlignment="1" applyProtection="1">
      <alignment vertical="center"/>
      <protection locked="0"/>
    </xf>
    <xf numFmtId="0" fontId="9" fillId="15" borderId="2" xfId="0" applyFont="1" applyFill="1" applyBorder="1" applyAlignment="1" applyProtection="1">
      <alignment horizontal="left" vertical="center"/>
      <protection locked="0"/>
    </xf>
    <xf numFmtId="0" fontId="35" fillId="15" borderId="2" xfId="0" applyFont="1" applyFill="1" applyBorder="1" applyAlignment="1" applyProtection="1">
      <alignment horizontal="center" vertical="center"/>
      <protection locked="0"/>
    </xf>
    <xf numFmtId="0" fontId="14" fillId="0" borderId="2" xfId="0" applyFont="1" applyBorder="1"/>
    <xf numFmtId="0" fontId="36" fillId="17" borderId="2" xfId="0" applyFont="1" applyFill="1" applyBorder="1" applyAlignment="1">
      <alignment horizontal="right"/>
    </xf>
    <xf numFmtId="0" fontId="38" fillId="17" borderId="2" xfId="0" applyFont="1" applyFill="1" applyBorder="1" applyAlignment="1">
      <alignment vertical="top"/>
    </xf>
    <xf numFmtId="168" fontId="36" fillId="20" borderId="2" xfId="0" applyNumberFormat="1" applyFont="1" applyFill="1" applyBorder="1"/>
    <xf numFmtId="0" fontId="15" fillId="0" borderId="0" xfId="0" applyFont="1" applyAlignment="1">
      <alignment vertical="top"/>
    </xf>
    <xf numFmtId="0" fontId="9" fillId="0" borderId="0" xfId="0" applyFont="1" applyAlignment="1">
      <alignment horizontal="right" vertical="center" wrapText="1"/>
    </xf>
    <xf numFmtId="0" fontId="13" fillId="0" borderId="0" xfId="0" applyFont="1" applyAlignment="1">
      <alignment horizontal="right" vertical="top"/>
    </xf>
    <xf numFmtId="0" fontId="13" fillId="0" borderId="0" xfId="0" applyFont="1" applyAlignment="1">
      <alignment horizontal="left" vertical="top"/>
    </xf>
    <xf numFmtId="0" fontId="7" fillId="0" borderId="0" xfId="0" applyFont="1"/>
    <xf numFmtId="168" fontId="13" fillId="5" borderId="2" xfId="0" applyNumberFormat="1" applyFont="1" applyFill="1" applyBorder="1"/>
    <xf numFmtId="0" fontId="9" fillId="0" borderId="0" xfId="0" applyFont="1" applyAlignment="1">
      <alignment horizontal="right"/>
    </xf>
    <xf numFmtId="0" fontId="28" fillId="0" borderId="0" xfId="0" applyFont="1" applyAlignment="1">
      <alignment horizontal="right"/>
    </xf>
    <xf numFmtId="167" fontId="9" fillId="2" borderId="2" xfId="0" applyNumberFormat="1" applyFont="1" applyFill="1" applyBorder="1" applyAlignment="1">
      <alignment horizontal="center"/>
    </xf>
    <xf numFmtId="0" fontId="9" fillId="5" borderId="2" xfId="0" applyFont="1" applyFill="1" applyBorder="1" applyAlignment="1">
      <alignment horizontal="center"/>
    </xf>
    <xf numFmtId="0" fontId="9" fillId="2" borderId="2" xfId="0" applyFont="1" applyFill="1" applyBorder="1" applyAlignment="1">
      <alignment horizontal="center"/>
    </xf>
    <xf numFmtId="0" fontId="13" fillId="7" borderId="4" xfId="0" applyFont="1" applyFill="1" applyBorder="1" applyAlignment="1">
      <alignment horizontal="center" vertical="center" wrapText="1"/>
    </xf>
    <xf numFmtId="0" fontId="9" fillId="0" borderId="0" xfId="0" applyFont="1" applyAlignment="1">
      <alignment horizontal="center" vertical="center"/>
    </xf>
    <xf numFmtId="0" fontId="17" fillId="0" borderId="0" xfId="0" applyFont="1"/>
    <xf numFmtId="0" fontId="9" fillId="0" borderId="0" xfId="0" applyFont="1" applyAlignment="1">
      <alignment horizontal="center"/>
    </xf>
    <xf numFmtId="44" fontId="13" fillId="2" borderId="2" xfId="0" applyNumberFormat="1" applyFont="1" applyFill="1" applyBorder="1"/>
    <xf numFmtId="167" fontId="9" fillId="0" borderId="0" xfId="0" applyNumberFormat="1" applyFont="1"/>
    <xf numFmtId="43" fontId="9" fillId="0" borderId="0" xfId="0" applyNumberFormat="1" applyFont="1"/>
    <xf numFmtId="43" fontId="13" fillId="8" borderId="2" xfId="0" applyNumberFormat="1" applyFont="1" applyFill="1" applyBorder="1"/>
    <xf numFmtId="44" fontId="13" fillId="9" borderId="2" xfId="0" applyNumberFormat="1" applyFont="1" applyFill="1" applyBorder="1"/>
    <xf numFmtId="168" fontId="9" fillId="0" borderId="0" xfId="0" applyNumberFormat="1" applyFont="1"/>
    <xf numFmtId="44" fontId="9" fillId="0" borderId="0" xfId="0" applyNumberFormat="1" applyFont="1"/>
    <xf numFmtId="8" fontId="9" fillId="0" borderId="0" xfId="0" applyNumberFormat="1" applyFont="1"/>
    <xf numFmtId="167" fontId="16" fillId="3" borderId="1" xfId="0" applyNumberFormat="1" applyFont="1" applyFill="1" applyBorder="1" applyAlignment="1" applyProtection="1">
      <alignment horizontal="center" vertical="center"/>
      <protection locked="0"/>
    </xf>
    <xf numFmtId="10" fontId="9" fillId="6" borderId="3" xfId="0" applyNumberFormat="1" applyFont="1"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167" fontId="9" fillId="15" borderId="2" xfId="0" applyNumberFormat="1" applyFont="1" applyFill="1" applyBorder="1" applyAlignment="1" applyProtection="1">
      <alignment horizontal="center" vertical="center"/>
      <protection locked="0"/>
    </xf>
    <xf numFmtId="165" fontId="9" fillId="15" borderId="2" xfId="0" applyNumberFormat="1" applyFont="1" applyFill="1" applyBorder="1" applyAlignment="1" applyProtection="1">
      <alignment horizontal="center" vertical="center"/>
      <protection locked="0"/>
    </xf>
    <xf numFmtId="0" fontId="9" fillId="15" borderId="2" xfId="0" applyFont="1" applyFill="1" applyBorder="1" applyAlignment="1" applyProtection="1">
      <alignment horizontal="center" vertical="center"/>
      <protection locked="0"/>
    </xf>
    <xf numFmtId="0" fontId="39" fillId="16" borderId="2" xfId="0" applyFont="1" applyFill="1" applyBorder="1" applyAlignment="1">
      <alignment horizontal="center" vertical="center" wrapText="1"/>
    </xf>
    <xf numFmtId="0" fontId="13" fillId="13" borderId="2" xfId="0" applyFont="1" applyFill="1" applyBorder="1" applyAlignment="1" applyProtection="1">
      <alignment horizontal="left" vertical="center"/>
      <protection locked="0"/>
    </xf>
    <xf numFmtId="0" fontId="40" fillId="17" borderId="2" xfId="0" applyFont="1" applyFill="1" applyBorder="1" applyAlignment="1">
      <alignment horizontal="left" vertical="top" wrapText="1"/>
    </xf>
    <xf numFmtId="0" fontId="29" fillId="19" borderId="2" xfId="0" applyFont="1" applyFill="1" applyBorder="1" applyAlignment="1">
      <alignment horizontal="center" vertical="center"/>
    </xf>
    <xf numFmtId="0" fontId="14" fillId="2" borderId="2" xfId="0" applyFont="1" applyFill="1" applyBorder="1" applyAlignment="1">
      <alignment horizontal="center" wrapText="1"/>
    </xf>
    <xf numFmtId="0" fontId="3" fillId="0" borderId="2" xfId="0" applyFont="1" applyBorder="1"/>
  </cellXfs>
  <cellStyles count="1">
    <cellStyle name="Normal" xfId="0" builtinId="0"/>
  </cellStyles>
  <dxfs count="2">
    <dxf>
      <font>
        <b/>
        <i/>
        <color theme="0"/>
      </font>
      <fill>
        <patternFill patternType="solid">
          <fgColor rgb="FFFF0000"/>
          <bgColor rgb="FFFF0000"/>
        </patternFill>
      </fill>
    </dxf>
    <dxf>
      <font>
        <b/>
        <i/>
      </font>
      <fill>
        <patternFill patternType="solid">
          <fgColor rgb="FFFFFF00"/>
          <bgColor rgb="FFFFFF00"/>
        </patternFill>
      </fill>
    </dxf>
  </dxfs>
  <tableStyles count="0" defaultTableStyle="TableStyleMedium2" defaultPivotStyle="PivotStyleLight16"/>
  <colors>
    <mruColors>
      <color rgb="FFCCFFFF"/>
      <color rgb="FF66FFFF"/>
      <color rgb="FFCCFFCC"/>
      <color rgb="FF99FF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leg.state.nv.us/NRS/NRS-388A.html" TargetMode="External"/><Relationship Id="rId2" Type="http://schemas.openxmlformats.org/officeDocument/2006/relationships/hyperlink" Target="https://www.leg.state.nv.us/nac/NAC-388A.html" TargetMode="External"/><Relationship Id="rId1" Type="http://schemas.openxmlformats.org/officeDocument/2006/relationships/hyperlink" Target="https://www.leg.state.nv.us/nac/NAC-388A.html" TargetMode="External"/><Relationship Id="rId5" Type="http://schemas.openxmlformats.org/officeDocument/2006/relationships/hyperlink" Target="https://www.leg.state.nv.us/NRS/NRS-387.html" TargetMode="External"/><Relationship Id="rId4" Type="http://schemas.openxmlformats.org/officeDocument/2006/relationships/hyperlink" Target="https://www.leg.state.nv.us/NRS/NRS-388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987"/>
  <sheetViews>
    <sheetView workbookViewId="0">
      <pane ySplit="3" topLeftCell="A6" activePane="bottomLeft" state="frozen"/>
      <selection pane="bottomLeft" activeCell="D30" sqref="D30:E30"/>
    </sheetView>
  </sheetViews>
  <sheetFormatPr defaultColWidth="14.42578125" defaultRowHeight="15" customHeight="1"/>
  <cols>
    <col min="1" max="1" width="7.28515625" style="20" customWidth="1"/>
    <col min="2" max="2" width="60" style="22" customWidth="1"/>
    <col min="3" max="5" width="17.140625" style="22" customWidth="1"/>
    <col min="6" max="6" width="10.42578125" style="22" customWidth="1"/>
    <col min="7" max="7" width="44" style="22" bestFit="1" customWidth="1"/>
    <col min="8" max="8" width="10.5703125" style="22" customWidth="1"/>
    <col min="9" max="9" width="5.5703125" style="22" customWidth="1"/>
    <col min="10" max="10" width="15.7109375" style="22" customWidth="1"/>
    <col min="11" max="11" width="48.28515625" style="22" bestFit="1" customWidth="1"/>
    <col min="12" max="24" width="8.7109375" style="22" customWidth="1"/>
    <col min="25" max="16384" width="14.42578125" style="22"/>
  </cols>
  <sheetData>
    <row r="1" spans="1:9" ht="37.5" customHeight="1">
      <c r="B1" s="21" t="s">
        <v>124</v>
      </c>
      <c r="E1" s="78" t="s">
        <v>133</v>
      </c>
    </row>
    <row r="2" spans="1:9" ht="30" customHeight="1">
      <c r="A2" s="23"/>
      <c r="B2" s="24" t="s">
        <v>113</v>
      </c>
      <c r="C2" s="25"/>
      <c r="D2" s="26"/>
      <c r="E2" s="27" t="s">
        <v>123</v>
      </c>
      <c r="F2" s="28"/>
      <c r="G2" s="28"/>
      <c r="H2" s="28"/>
      <c r="I2" s="29"/>
    </row>
    <row r="3" spans="1:9" s="34" customFormat="1" ht="30" customHeight="1">
      <c r="A3" s="30"/>
      <c r="B3" s="126"/>
      <c r="C3" s="126"/>
      <c r="D3" s="31"/>
      <c r="E3" s="77" t="s">
        <v>100</v>
      </c>
      <c r="F3" s="32"/>
      <c r="G3" s="32"/>
      <c r="H3" s="32"/>
      <c r="I3" s="33"/>
    </row>
    <row r="4" spans="1:9" ht="30" customHeight="1">
      <c r="A4" s="23"/>
      <c r="B4" s="35" t="s">
        <v>122</v>
      </c>
      <c r="C4" s="36" t="s">
        <v>127</v>
      </c>
      <c r="D4" s="37" t="s">
        <v>128</v>
      </c>
      <c r="E4" s="37" t="s">
        <v>129</v>
      </c>
      <c r="F4" s="28"/>
      <c r="H4" s="28"/>
      <c r="I4" s="29"/>
    </row>
    <row r="5" spans="1:9">
      <c r="A5" s="23"/>
      <c r="B5" s="79" t="s">
        <v>108</v>
      </c>
      <c r="C5" s="80"/>
      <c r="D5" s="80"/>
      <c r="E5" s="80"/>
      <c r="F5" s="28"/>
      <c r="H5" s="28"/>
      <c r="I5" s="29"/>
    </row>
    <row r="6" spans="1:9" ht="22.5" customHeight="1">
      <c r="A6" s="23"/>
      <c r="B6" s="24" t="s">
        <v>103</v>
      </c>
      <c r="C6" s="27" t="s">
        <v>104</v>
      </c>
      <c r="D6" s="27" t="s">
        <v>105</v>
      </c>
      <c r="E6" s="27" t="s">
        <v>106</v>
      </c>
      <c r="H6" s="29"/>
      <c r="I6" s="29"/>
    </row>
    <row r="7" spans="1:9">
      <c r="B7" s="79"/>
      <c r="C7" s="81"/>
      <c r="D7" s="82"/>
      <c r="E7" s="83"/>
      <c r="H7" s="38"/>
      <c r="I7" s="29"/>
    </row>
    <row r="8" spans="1:9">
      <c r="A8" s="23"/>
      <c r="B8" s="26"/>
      <c r="C8" s="25"/>
      <c r="D8" s="25"/>
      <c r="E8" s="27"/>
      <c r="F8" s="39"/>
      <c r="G8" s="40"/>
      <c r="H8" s="40"/>
      <c r="I8" s="29"/>
    </row>
    <row r="9" spans="1:9">
      <c r="B9" s="41" t="s">
        <v>139</v>
      </c>
      <c r="C9" s="42"/>
      <c r="D9" s="43" t="s">
        <v>120</v>
      </c>
      <c r="E9" s="43" t="s">
        <v>140</v>
      </c>
      <c r="G9" s="44" t="s">
        <v>0</v>
      </c>
      <c r="H9" s="45"/>
      <c r="I9" s="29"/>
    </row>
    <row r="10" spans="1:9">
      <c r="B10" s="46" t="s">
        <v>138</v>
      </c>
      <c r="C10" s="47"/>
      <c r="D10" s="48" t="s">
        <v>4</v>
      </c>
      <c r="E10" s="84">
        <v>0</v>
      </c>
      <c r="G10" s="44"/>
      <c r="H10" s="45"/>
      <c r="I10" s="29"/>
    </row>
    <row r="11" spans="1:9">
      <c r="B11" s="49"/>
      <c r="C11" s="47"/>
      <c r="D11" s="50" t="s">
        <v>5</v>
      </c>
      <c r="E11" s="84">
        <v>0</v>
      </c>
      <c r="G11" s="26" t="s">
        <v>1</v>
      </c>
      <c r="H11" s="45"/>
      <c r="I11" s="29"/>
    </row>
    <row r="12" spans="1:9">
      <c r="B12" s="49"/>
      <c r="C12" s="47"/>
      <c r="D12" s="51" t="s">
        <v>6</v>
      </c>
      <c r="E12" s="85"/>
      <c r="G12" s="26" t="s">
        <v>2</v>
      </c>
      <c r="H12" s="38"/>
      <c r="I12" s="29"/>
    </row>
    <row r="13" spans="1:9">
      <c r="B13" s="49"/>
      <c r="C13" s="47"/>
      <c r="D13" s="52" t="s">
        <v>121</v>
      </c>
      <c r="E13" s="53">
        <f>SUM(E10:E12)</f>
        <v>0</v>
      </c>
      <c r="G13" s="26" t="s">
        <v>3</v>
      </c>
      <c r="H13" s="38"/>
      <c r="I13" s="29"/>
    </row>
    <row r="14" spans="1:9">
      <c r="A14" s="23"/>
      <c r="B14" s="25"/>
      <c r="C14" s="25"/>
      <c r="D14" s="26"/>
      <c r="E14" s="26"/>
      <c r="F14" s="54"/>
      <c r="G14" s="55"/>
      <c r="H14" s="45"/>
      <c r="I14" s="29"/>
    </row>
    <row r="15" spans="1:9">
      <c r="A15" s="23"/>
      <c r="B15" s="56" t="s">
        <v>137</v>
      </c>
      <c r="C15" s="57"/>
      <c r="D15" s="57"/>
      <c r="E15" s="57"/>
      <c r="F15" s="54"/>
      <c r="G15" s="92"/>
      <c r="H15" s="45"/>
      <c r="I15" s="29"/>
    </row>
    <row r="16" spans="1:9">
      <c r="B16" s="127" t="s">
        <v>141</v>
      </c>
      <c r="C16" s="58"/>
      <c r="D16" s="93" t="s">
        <v>125</v>
      </c>
      <c r="E16" s="95">
        <f>MIN(IF(E13=0,0,500*E13),200000)</f>
        <v>0</v>
      </c>
      <c r="G16" s="26"/>
      <c r="I16" s="29"/>
    </row>
    <row r="17" spans="1:9" ht="15" customHeight="1">
      <c r="A17" s="23"/>
      <c r="B17" s="127"/>
      <c r="C17" s="60"/>
      <c r="D17" s="59" t="s">
        <v>142</v>
      </c>
      <c r="E17" s="86">
        <v>100000</v>
      </c>
      <c r="F17" s="54"/>
      <c r="G17" s="26"/>
      <c r="H17" s="45"/>
      <c r="I17" s="29"/>
    </row>
    <row r="18" spans="1:9">
      <c r="A18" s="23"/>
      <c r="B18" s="62" t="s">
        <v>130</v>
      </c>
      <c r="C18" s="60"/>
      <c r="D18" s="61" t="s">
        <v>126</v>
      </c>
      <c r="E18" s="87"/>
      <c r="F18" s="54"/>
      <c r="G18" s="92"/>
      <c r="H18" s="45"/>
      <c r="I18" s="29"/>
    </row>
    <row r="19" spans="1:9">
      <c r="A19" s="23"/>
      <c r="B19" s="94" t="s">
        <v>144</v>
      </c>
      <c r="C19" s="60"/>
      <c r="D19" s="61" t="s">
        <v>143</v>
      </c>
      <c r="E19" s="88"/>
      <c r="F19" s="54"/>
      <c r="G19" s="92"/>
      <c r="H19" s="45"/>
      <c r="I19" s="29"/>
    </row>
    <row r="20" spans="1:9" ht="15.75" customHeight="1"/>
    <row r="21" spans="1:9" ht="22.5" customHeight="1">
      <c r="B21" s="128" t="s">
        <v>146</v>
      </c>
      <c r="C21" s="128"/>
      <c r="D21" s="128"/>
      <c r="E21" s="128"/>
    </row>
    <row r="22" spans="1:9" ht="90.75" customHeight="1">
      <c r="B22" s="125" t="s">
        <v>7</v>
      </c>
      <c r="C22" s="125"/>
      <c r="D22" s="125"/>
      <c r="E22" s="125"/>
      <c r="F22" s="38"/>
      <c r="G22" s="38"/>
      <c r="H22" s="38"/>
      <c r="I22" s="38"/>
    </row>
    <row r="23" spans="1:9" s="65" customFormat="1" ht="30" customHeight="1">
      <c r="A23" s="24"/>
      <c r="B23" s="24" t="s">
        <v>114</v>
      </c>
      <c r="C23" s="35"/>
      <c r="D23" s="35" t="s">
        <v>115</v>
      </c>
      <c r="E23" s="35"/>
      <c r="F23" s="63"/>
      <c r="G23" s="63"/>
      <c r="H23" s="63"/>
      <c r="I23" s="64"/>
    </row>
    <row r="24" spans="1:9" s="34" customFormat="1" ht="22.5" customHeight="1">
      <c r="A24" s="66"/>
      <c r="B24" s="89"/>
      <c r="C24" s="31"/>
      <c r="D24" s="124"/>
      <c r="E24" s="124"/>
      <c r="F24" s="33"/>
      <c r="G24" s="33"/>
      <c r="H24" s="33"/>
      <c r="I24" s="33"/>
    </row>
    <row r="25" spans="1:9" s="65" customFormat="1" ht="22.5" customHeight="1">
      <c r="A25" s="67"/>
      <c r="B25" s="35" t="s">
        <v>116</v>
      </c>
      <c r="C25" s="35"/>
      <c r="D25" s="35" t="s">
        <v>119</v>
      </c>
      <c r="E25" s="35"/>
      <c r="F25" s="64"/>
      <c r="G25" s="64"/>
      <c r="H25" s="64"/>
      <c r="I25" s="64"/>
    </row>
    <row r="26" spans="1:9" s="30" customFormat="1" ht="22.5" customHeight="1">
      <c r="A26" s="68"/>
      <c r="B26" s="90"/>
      <c r="C26" s="69"/>
      <c r="D26" s="123"/>
      <c r="E26" s="123"/>
    </row>
    <row r="27" spans="1:9" ht="22.5" customHeight="1">
      <c r="B27" s="24" t="s">
        <v>117</v>
      </c>
      <c r="C27" s="26"/>
      <c r="D27" s="26"/>
      <c r="E27" s="26"/>
      <c r="I27" s="29"/>
    </row>
    <row r="28" spans="1:9" s="34" customFormat="1" ht="22.5" customHeight="1">
      <c r="A28" s="30"/>
      <c r="B28" s="89"/>
      <c r="C28" s="70"/>
      <c r="D28" s="31"/>
      <c r="E28" s="31"/>
      <c r="F28" s="32"/>
      <c r="G28" s="32"/>
      <c r="H28" s="32"/>
      <c r="I28" s="33"/>
    </row>
    <row r="29" spans="1:9" ht="22.5" customHeight="1">
      <c r="A29" s="71"/>
      <c r="B29" s="24" t="s">
        <v>118</v>
      </c>
      <c r="C29" s="26"/>
      <c r="D29" s="24" t="s">
        <v>8</v>
      </c>
      <c r="E29" s="26"/>
      <c r="F29" s="72"/>
      <c r="G29" s="72"/>
      <c r="H29" s="72"/>
      <c r="I29" s="29"/>
    </row>
    <row r="30" spans="1:9" s="73" customFormat="1" ht="30" customHeight="1">
      <c r="B30" s="91"/>
      <c r="C30" s="74"/>
      <c r="D30" s="122"/>
      <c r="E30" s="122"/>
      <c r="F30" s="75"/>
      <c r="G30" s="75"/>
      <c r="H30" s="75"/>
      <c r="I30" s="76"/>
    </row>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sheetProtection algorithmName="SHA-512" hashValue="VQMxDZB8dFnGyr5yFoFdNt7r+EfKVzpXd/vpNYfcjvNjWvwLURnPhoNnyD0GwcFCzynZLQSIvdD+5wbVJe2AZw==" saltValue="cLJaqzkMcHmU4hGqPceSCA==" spinCount="100000" sheet="1" objects="1" scenarios="1"/>
  <mergeCells count="7">
    <mergeCell ref="D30:E30"/>
    <mergeCell ref="D26:E26"/>
    <mergeCell ref="D24:E24"/>
    <mergeCell ref="B22:E22"/>
    <mergeCell ref="B3:C3"/>
    <mergeCell ref="B16:B17"/>
    <mergeCell ref="B21:E21"/>
  </mergeCells>
  <conditionalFormatting sqref="E16">
    <cfRule type="expression" dxfId="1" priority="11">
      <formula>$E$16&lt;$E$17</formula>
    </cfRule>
  </conditionalFormatting>
  <conditionalFormatting sqref="E17">
    <cfRule type="expression" dxfId="0" priority="7">
      <formula>$E$17&gt;$E$16</formula>
    </cfRule>
  </conditionalFormatting>
  <pageMargins left="0.5" right="0.5" top="0.75" bottom="0.75" header="0.3" footer="0.3"/>
  <pageSetup scale="8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9D811F0-D50F-4D6E-9F17-B5124BA83AD6}">
          <x14:formula1>
            <xm:f>REF!$D$2:$D$5</xm:f>
          </x14:formula1>
          <xm:sqref>E18</xm:sqref>
        </x14:dataValidation>
        <x14:dataValidation type="list" allowBlank="1" showInputMessage="1" showErrorMessage="1" xr:uid="{E8E77246-47E3-41A6-8A13-8A78A42D30E3}">
          <x14:formula1>
            <xm:f>REF!$B$2:$B$4</xm:f>
          </x14:formula1>
          <xm:sqref>E3</xm:sqref>
        </x14:dataValidation>
        <x14:dataValidation type="list" allowBlank="1" showInputMessage="1" showErrorMessage="1" xr:uid="{EA9357F2-D27B-4266-908A-D7FC83D9F37A}">
          <x14:formula1>
            <xm:f>REF!$A$2:$A$7</xm:f>
          </x14:formula1>
          <xm:sqref>B5</xm:sqref>
        </x14:dataValidation>
        <x14:dataValidation type="list" allowBlank="1" showInputMessage="1" showErrorMessage="1" xr:uid="{1E9B3C6D-5B33-4625-8780-D1E1576FE483}">
          <x14:formula1>
            <xm:f>REF!$E$2:$E$7</xm:f>
          </x14:formula1>
          <xm:sqref>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99"/>
    <pageSetUpPr fitToPage="1"/>
  </sheetPr>
  <dimension ref="A1:Z1000"/>
  <sheetViews>
    <sheetView tabSelected="1" zoomScaleNormal="100" workbookViewId="0">
      <pane ySplit="9" topLeftCell="A10" activePane="bottomLeft" state="frozen"/>
      <selection pane="bottomLeft" activeCell="C7" sqref="C7"/>
    </sheetView>
  </sheetViews>
  <sheetFormatPr defaultColWidth="14.42578125" defaultRowHeight="15" customHeight="1"/>
  <cols>
    <col min="1" max="1" width="7.5703125" customWidth="1"/>
    <col min="2" max="2" width="34.85546875" customWidth="1"/>
    <col min="3" max="8" width="13.28515625" customWidth="1"/>
    <col min="9" max="9" width="15.7109375" customWidth="1"/>
    <col min="10" max="10" width="8.7109375" customWidth="1"/>
    <col min="11" max="11" width="10.85546875" customWidth="1"/>
    <col min="12" max="14" width="8.7109375" customWidth="1"/>
    <col min="15" max="18" width="11.5703125" customWidth="1"/>
    <col min="19" max="21" width="8.7109375" customWidth="1"/>
    <col min="22" max="22" width="10.5703125" customWidth="1"/>
    <col min="23" max="26" width="8.7109375" customWidth="1"/>
  </cols>
  <sheetData>
    <row r="1" spans="1:26" ht="37.5" customHeight="1">
      <c r="B1" s="96" t="s">
        <v>9</v>
      </c>
      <c r="H1" s="97" t="s">
        <v>10</v>
      </c>
      <c r="I1" s="119">
        <f>CERTIFICATION!E19</f>
        <v>0</v>
      </c>
    </row>
    <row r="2" spans="1:26" ht="28.5" customHeight="1">
      <c r="B2" s="98" t="s">
        <v>11</v>
      </c>
      <c r="C2" s="99" t="str">
        <f>IF(CERTIFICATION!B3&lt;&gt;"",CERTIFICATION!B3,"")</f>
        <v/>
      </c>
    </row>
    <row r="3" spans="1:26" ht="30" customHeight="1">
      <c r="B3" s="129" t="s">
        <v>12</v>
      </c>
      <c r="C3" s="130"/>
      <c r="D3" s="130"/>
      <c r="E3" s="130"/>
      <c r="F3" s="130"/>
      <c r="G3" s="130"/>
      <c r="H3" s="130"/>
      <c r="I3" s="130"/>
    </row>
    <row r="5" spans="1:26">
      <c r="B5" s="100" t="s">
        <v>13</v>
      </c>
      <c r="C5" s="101">
        <f>CERTIFICATION!E17</f>
        <v>100000</v>
      </c>
      <c r="E5" s="102" t="s">
        <v>14</v>
      </c>
      <c r="F5" s="121" t="s">
        <v>30</v>
      </c>
      <c r="H5" s="103" t="s">
        <v>88</v>
      </c>
      <c r="I5" s="104">
        <f>IF(I1&lt;&gt;"",EOMONTH(I1,0)+1,"")</f>
        <v>32</v>
      </c>
    </row>
    <row r="6" spans="1:26">
      <c r="B6" s="100" t="s">
        <v>16</v>
      </c>
      <c r="C6" s="105">
        <f>CERTIFICATION!E18</f>
        <v>0</v>
      </c>
      <c r="E6" s="102" t="s">
        <v>17</v>
      </c>
      <c r="F6" s="106">
        <f>C6*12</f>
        <v>0</v>
      </c>
      <c r="H6" s="102" t="s">
        <v>18</v>
      </c>
      <c r="I6" s="104">
        <f>IF(I1&lt;&gt;"",IF(F5="NEW",DATE(YEAR(I1)+1,MONTH(I1)+1,1),EOMONTH(I1,0)+1),"")</f>
        <v>398</v>
      </c>
    </row>
    <row r="7" spans="1:26">
      <c r="B7" s="100" t="s">
        <v>19</v>
      </c>
      <c r="C7" s="120">
        <v>6.7500000000000004E-2</v>
      </c>
      <c r="E7" s="102" t="s">
        <v>20</v>
      </c>
      <c r="F7" s="106">
        <f>IF(F5="NEW",F6+12,F6)</f>
        <v>12</v>
      </c>
      <c r="H7" s="102" t="s">
        <v>21</v>
      </c>
      <c r="I7" s="104">
        <f>IFERROR(IF(F5="NEW",EOMONTH(I6,F6-2)+1,EOMONTH(I6,F6-2)+1),"")</f>
        <v>367</v>
      </c>
    </row>
    <row r="9" spans="1:26" ht="45">
      <c r="A9" s="107" t="s">
        <v>22</v>
      </c>
      <c r="B9" s="107" t="s">
        <v>145</v>
      </c>
      <c r="C9" s="107" t="s">
        <v>23</v>
      </c>
      <c r="D9" s="107" t="s">
        <v>24</v>
      </c>
      <c r="E9" s="107" t="s">
        <v>25</v>
      </c>
      <c r="F9" s="107" t="s">
        <v>26</v>
      </c>
      <c r="G9" s="107" t="s">
        <v>27</v>
      </c>
      <c r="H9" s="107" t="s">
        <v>28</v>
      </c>
      <c r="I9" s="107" t="s">
        <v>91</v>
      </c>
      <c r="J9" s="108"/>
      <c r="K9" s="108"/>
      <c r="L9" s="108"/>
      <c r="M9" s="108"/>
      <c r="N9" s="108"/>
      <c r="O9" s="108"/>
      <c r="P9" s="108"/>
      <c r="Q9" s="108"/>
      <c r="R9" s="108"/>
      <c r="S9" s="108"/>
      <c r="T9" s="108"/>
      <c r="U9" s="108"/>
      <c r="V9" s="108"/>
      <c r="W9" s="108"/>
      <c r="X9" s="108"/>
      <c r="Y9" s="108"/>
      <c r="Z9" s="108"/>
    </row>
    <row r="10" spans="1:26">
      <c r="A10" s="109">
        <v>1</v>
      </c>
      <c r="B10" s="110" t="str">
        <f t="shared" ref="B10:B21" si="0">IF($F$5="NEW","No Payment Due in First Year","Full Amortization")</f>
        <v>No Payment Due in First Year</v>
      </c>
      <c r="C10" s="111">
        <f>C5</f>
        <v>100000</v>
      </c>
      <c r="D10" s="112">
        <f>I5</f>
        <v>32</v>
      </c>
      <c r="E10" s="113" t="str">
        <f>IF(F6&lt;&gt;0,$C$7/12*C10,"")</f>
        <v/>
      </c>
      <c r="F10" s="113">
        <f>IFERROR(IF($F$5="NEW",0,G10-E10),"")</f>
        <v>0</v>
      </c>
      <c r="G10" s="114">
        <f>IFERROR(IF($F$5="NEW",0,-PMT($C$7/12,$F$6,$C$5)),"")</f>
        <v>0</v>
      </c>
      <c r="H10" s="115" t="str">
        <f>IFERROR(IF($F$5="NEW",C10+E10-F10,C10-F10),"")</f>
        <v/>
      </c>
      <c r="I10" s="113">
        <f t="shared" ref="I10:I21" si="1">SUM(E$10:E10)</f>
        <v>0</v>
      </c>
      <c r="R10" s="116"/>
      <c r="S10" s="117"/>
      <c r="T10" s="113"/>
      <c r="U10" s="118"/>
      <c r="V10" s="117"/>
    </row>
    <row r="11" spans="1:26">
      <c r="A11" s="109">
        <v>2</v>
      </c>
      <c r="B11" s="110" t="str">
        <f t="shared" si="0"/>
        <v>No Payment Due in First Year</v>
      </c>
      <c r="C11" s="111" t="str">
        <f t="shared" ref="C11:C21" si="2">H10</f>
        <v/>
      </c>
      <c r="D11" s="112">
        <f t="shared" ref="D11:D21" si="3">IFERROR(IF(EOMONTH(D10,0)+1&lt;=$I$7,EOMONTH(D10,0)+1,""),"")</f>
        <v>60</v>
      </c>
      <c r="E11" s="113" t="str">
        <f>IFERROR($C$7/12*C11,"")</f>
        <v/>
      </c>
      <c r="F11" s="113">
        <f t="shared" ref="F11:F21" si="4">IFERROR(IF($F$5="NEW",0,G11-E11),"")</f>
        <v>0</v>
      </c>
      <c r="G11" s="114">
        <f t="shared" ref="G11:G21" si="5">IFERROR(IF($F$5="NEW",0,-PMT($C$7/12,$F$6,$C$5)),"")</f>
        <v>0</v>
      </c>
      <c r="H11" s="115" t="str">
        <f t="shared" ref="H11:H21" si="6">IFERROR(IF($F$5="NEW",C11+E11-F11,C11-F11),"")</f>
        <v/>
      </c>
      <c r="I11" s="113">
        <f t="shared" si="1"/>
        <v>0</v>
      </c>
      <c r="R11" s="117"/>
      <c r="S11" s="117"/>
      <c r="T11" s="113"/>
      <c r="U11" s="118"/>
      <c r="V11" s="117"/>
    </row>
    <row r="12" spans="1:26">
      <c r="A12" s="109">
        <v>3</v>
      </c>
      <c r="B12" s="110" t="str">
        <f t="shared" si="0"/>
        <v>No Payment Due in First Year</v>
      </c>
      <c r="C12" s="111" t="str">
        <f t="shared" si="2"/>
        <v/>
      </c>
      <c r="D12" s="112">
        <f t="shared" si="3"/>
        <v>60</v>
      </c>
      <c r="E12" s="113" t="str">
        <f t="shared" ref="E12:E33" si="7">IFERROR($C$7/12*C12,"")</f>
        <v/>
      </c>
      <c r="F12" s="113">
        <f t="shared" si="4"/>
        <v>0</v>
      </c>
      <c r="G12" s="114">
        <f t="shared" si="5"/>
        <v>0</v>
      </c>
      <c r="H12" s="115" t="str">
        <f t="shared" si="6"/>
        <v/>
      </c>
      <c r="I12" s="113">
        <f t="shared" si="1"/>
        <v>0</v>
      </c>
      <c r="R12" s="117"/>
      <c r="S12" s="117"/>
      <c r="T12" s="113"/>
      <c r="U12" s="118"/>
      <c r="V12" s="117"/>
    </row>
    <row r="13" spans="1:26">
      <c r="A13" s="109">
        <v>4</v>
      </c>
      <c r="B13" s="110" t="str">
        <f t="shared" si="0"/>
        <v>No Payment Due in First Year</v>
      </c>
      <c r="C13" s="111" t="str">
        <f t="shared" si="2"/>
        <v/>
      </c>
      <c r="D13" s="112">
        <f t="shared" si="3"/>
        <v>60</v>
      </c>
      <c r="E13" s="113" t="str">
        <f t="shared" si="7"/>
        <v/>
      </c>
      <c r="F13" s="113">
        <f t="shared" si="4"/>
        <v>0</v>
      </c>
      <c r="G13" s="114">
        <f t="shared" si="5"/>
        <v>0</v>
      </c>
      <c r="H13" s="115" t="str">
        <f t="shared" si="6"/>
        <v/>
      </c>
      <c r="I13" s="113">
        <f t="shared" si="1"/>
        <v>0</v>
      </c>
      <c r="R13" s="117"/>
      <c r="S13" s="117"/>
      <c r="T13" s="113"/>
      <c r="U13" s="118"/>
      <c r="V13" s="117"/>
    </row>
    <row r="14" spans="1:26">
      <c r="A14" s="109">
        <v>5</v>
      </c>
      <c r="B14" s="110" t="str">
        <f t="shared" si="0"/>
        <v>No Payment Due in First Year</v>
      </c>
      <c r="C14" s="111" t="str">
        <f t="shared" si="2"/>
        <v/>
      </c>
      <c r="D14" s="112">
        <f t="shared" si="3"/>
        <v>60</v>
      </c>
      <c r="E14" s="113" t="str">
        <f t="shared" si="7"/>
        <v/>
      </c>
      <c r="F14" s="113">
        <f t="shared" si="4"/>
        <v>0</v>
      </c>
      <c r="G14" s="114">
        <f t="shared" si="5"/>
        <v>0</v>
      </c>
      <c r="H14" s="115" t="str">
        <f t="shared" si="6"/>
        <v/>
      </c>
      <c r="I14" s="113">
        <f t="shared" si="1"/>
        <v>0</v>
      </c>
      <c r="R14" s="117"/>
      <c r="S14" s="117"/>
      <c r="T14" s="113"/>
      <c r="U14" s="118"/>
      <c r="V14" s="117"/>
    </row>
    <row r="15" spans="1:26">
      <c r="A15" s="109">
        <v>6</v>
      </c>
      <c r="B15" s="110" t="str">
        <f t="shared" si="0"/>
        <v>No Payment Due in First Year</v>
      </c>
      <c r="C15" s="111" t="str">
        <f t="shared" si="2"/>
        <v/>
      </c>
      <c r="D15" s="112">
        <f t="shared" si="3"/>
        <v>60</v>
      </c>
      <c r="E15" s="113" t="str">
        <f t="shared" si="7"/>
        <v/>
      </c>
      <c r="F15" s="113">
        <f t="shared" si="4"/>
        <v>0</v>
      </c>
      <c r="G15" s="114">
        <f t="shared" si="5"/>
        <v>0</v>
      </c>
      <c r="H15" s="115" t="str">
        <f t="shared" si="6"/>
        <v/>
      </c>
      <c r="I15" s="113">
        <f t="shared" si="1"/>
        <v>0</v>
      </c>
      <c r="R15" s="117"/>
      <c r="S15" s="117"/>
      <c r="T15" s="113"/>
      <c r="U15" s="118"/>
      <c r="V15" s="117"/>
    </row>
    <row r="16" spans="1:26">
      <c r="A16" s="109">
        <v>7</v>
      </c>
      <c r="B16" s="110" t="str">
        <f t="shared" si="0"/>
        <v>No Payment Due in First Year</v>
      </c>
      <c r="C16" s="111" t="str">
        <f t="shared" si="2"/>
        <v/>
      </c>
      <c r="D16" s="112">
        <f t="shared" si="3"/>
        <v>60</v>
      </c>
      <c r="E16" s="113" t="str">
        <f t="shared" si="7"/>
        <v/>
      </c>
      <c r="F16" s="113">
        <f t="shared" si="4"/>
        <v>0</v>
      </c>
      <c r="G16" s="114">
        <f t="shared" si="5"/>
        <v>0</v>
      </c>
      <c r="H16" s="115" t="str">
        <f t="shared" si="6"/>
        <v/>
      </c>
      <c r="I16" s="113">
        <f t="shared" si="1"/>
        <v>0</v>
      </c>
      <c r="R16" s="117"/>
      <c r="S16" s="117"/>
      <c r="T16" s="113"/>
      <c r="U16" s="118"/>
      <c r="V16" s="117"/>
    </row>
    <row r="17" spans="1:22">
      <c r="A17" s="109">
        <v>8</v>
      </c>
      <c r="B17" s="110" t="str">
        <f t="shared" si="0"/>
        <v>No Payment Due in First Year</v>
      </c>
      <c r="C17" s="111" t="str">
        <f t="shared" si="2"/>
        <v/>
      </c>
      <c r="D17" s="112">
        <f t="shared" si="3"/>
        <v>60</v>
      </c>
      <c r="E17" s="113" t="str">
        <f t="shared" si="7"/>
        <v/>
      </c>
      <c r="F17" s="113">
        <f t="shared" si="4"/>
        <v>0</v>
      </c>
      <c r="G17" s="114">
        <f t="shared" si="5"/>
        <v>0</v>
      </c>
      <c r="H17" s="115" t="str">
        <f t="shared" si="6"/>
        <v/>
      </c>
      <c r="I17" s="113">
        <f t="shared" si="1"/>
        <v>0</v>
      </c>
      <c r="R17" s="117"/>
      <c r="S17" s="117"/>
      <c r="T17" s="113"/>
      <c r="U17" s="118"/>
      <c r="V17" s="117"/>
    </row>
    <row r="18" spans="1:22">
      <c r="A18" s="109">
        <v>9</v>
      </c>
      <c r="B18" s="110" t="str">
        <f t="shared" si="0"/>
        <v>No Payment Due in First Year</v>
      </c>
      <c r="C18" s="111" t="str">
        <f t="shared" si="2"/>
        <v/>
      </c>
      <c r="D18" s="112">
        <f t="shared" si="3"/>
        <v>60</v>
      </c>
      <c r="E18" s="113" t="str">
        <f t="shared" si="7"/>
        <v/>
      </c>
      <c r="F18" s="113">
        <f t="shared" si="4"/>
        <v>0</v>
      </c>
      <c r="G18" s="114">
        <f t="shared" si="5"/>
        <v>0</v>
      </c>
      <c r="H18" s="115" t="str">
        <f t="shared" si="6"/>
        <v/>
      </c>
      <c r="I18" s="113">
        <f t="shared" si="1"/>
        <v>0</v>
      </c>
      <c r="R18" s="117"/>
      <c r="S18" s="117"/>
      <c r="T18" s="113"/>
      <c r="U18" s="118"/>
      <c r="V18" s="117"/>
    </row>
    <row r="19" spans="1:22">
      <c r="A19" s="109">
        <v>10</v>
      </c>
      <c r="B19" s="110" t="str">
        <f t="shared" si="0"/>
        <v>No Payment Due in First Year</v>
      </c>
      <c r="C19" s="111" t="str">
        <f t="shared" si="2"/>
        <v/>
      </c>
      <c r="D19" s="112">
        <f t="shared" si="3"/>
        <v>60</v>
      </c>
      <c r="E19" s="113" t="str">
        <f t="shared" si="7"/>
        <v/>
      </c>
      <c r="F19" s="113">
        <f t="shared" si="4"/>
        <v>0</v>
      </c>
      <c r="G19" s="114">
        <f t="shared" si="5"/>
        <v>0</v>
      </c>
      <c r="H19" s="115" t="str">
        <f t="shared" si="6"/>
        <v/>
      </c>
      <c r="I19" s="113">
        <f t="shared" si="1"/>
        <v>0</v>
      </c>
      <c r="R19" s="117"/>
      <c r="S19" s="117"/>
      <c r="T19" s="113"/>
      <c r="U19" s="118"/>
      <c r="V19" s="117"/>
    </row>
    <row r="20" spans="1:22">
      <c r="A20" s="109">
        <v>11</v>
      </c>
      <c r="B20" s="110" t="str">
        <f t="shared" si="0"/>
        <v>No Payment Due in First Year</v>
      </c>
      <c r="C20" s="111" t="str">
        <f t="shared" si="2"/>
        <v/>
      </c>
      <c r="D20" s="112">
        <f t="shared" si="3"/>
        <v>60</v>
      </c>
      <c r="E20" s="113" t="str">
        <f t="shared" si="7"/>
        <v/>
      </c>
      <c r="F20" s="113">
        <f t="shared" si="4"/>
        <v>0</v>
      </c>
      <c r="G20" s="114">
        <f t="shared" si="5"/>
        <v>0</v>
      </c>
      <c r="H20" s="115" t="str">
        <f t="shared" si="6"/>
        <v/>
      </c>
      <c r="I20" s="113">
        <f t="shared" si="1"/>
        <v>0</v>
      </c>
      <c r="R20" s="117"/>
      <c r="S20" s="117"/>
      <c r="T20" s="113"/>
      <c r="U20" s="118"/>
      <c r="V20" s="117"/>
    </row>
    <row r="21" spans="1:22" ht="15.75" customHeight="1">
      <c r="A21" s="109">
        <v>12</v>
      </c>
      <c r="B21" s="110" t="str">
        <f t="shared" si="0"/>
        <v>No Payment Due in First Year</v>
      </c>
      <c r="C21" s="111" t="str">
        <f t="shared" si="2"/>
        <v/>
      </c>
      <c r="D21" s="112">
        <f t="shared" si="3"/>
        <v>60</v>
      </c>
      <c r="E21" s="113" t="str">
        <f t="shared" si="7"/>
        <v/>
      </c>
      <c r="F21" s="113">
        <f t="shared" si="4"/>
        <v>0</v>
      </c>
      <c r="G21" s="114">
        <f t="shared" si="5"/>
        <v>0</v>
      </c>
      <c r="H21" s="115" t="str">
        <f t="shared" si="6"/>
        <v/>
      </c>
      <c r="I21" s="113">
        <f t="shared" si="1"/>
        <v>0</v>
      </c>
      <c r="K21" s="118"/>
      <c r="R21" s="117"/>
      <c r="S21" s="117"/>
      <c r="T21" s="113"/>
      <c r="U21" s="118"/>
      <c r="V21" s="117"/>
    </row>
    <row r="22" spans="1:22" ht="15.75" customHeight="1">
      <c r="A22" s="109">
        <v>13</v>
      </c>
      <c r="B22" s="110" t="str">
        <f t="shared" ref="B22:B33" si="8">IF(OR($F$5="NEW",$C$6&gt;1),"Full Amortization","Paid in Full")</f>
        <v>Full Amortization</v>
      </c>
      <c r="C22" s="111" t="str">
        <f>IFERROR(ROUND(H21,1),"")</f>
        <v/>
      </c>
      <c r="D22" s="112">
        <f t="shared" ref="D22:D57" si="9">IFERROR(IF(B22&lt;&gt;"Paid in Full",EOMONTH(D21,0)+1,""),"")</f>
        <v>60</v>
      </c>
      <c r="E22" s="113" t="str">
        <f>IFERROR(ROUND($C$7/12*C22,2),"")</f>
        <v/>
      </c>
      <c r="F22" s="113" t="str">
        <f>IFERROR(G22-E22,"")</f>
        <v/>
      </c>
      <c r="G22" s="114" t="str">
        <f>IFERROR(IF(ROUND(C22,2)&gt;0,IF($F$5="NEW",-PMT($C$7/12,$F$6,$H$21),-PMT($C$7/12,$F$6,$C$5)),0),"")</f>
        <v/>
      </c>
      <c r="H22" s="115" t="str">
        <f>IFERROR(IF(C22&gt;0,C22-F22,0),"")</f>
        <v/>
      </c>
      <c r="I22" s="113" t="str">
        <f>IFERROR(IF(ROUND(C22,2)&gt;0,SUM(E$10:E22),0),"")</f>
        <v/>
      </c>
      <c r="L22" s="117"/>
      <c r="M22" s="118"/>
      <c r="N22" s="118"/>
      <c r="O22" s="117"/>
      <c r="R22" s="117"/>
      <c r="S22" s="117"/>
      <c r="T22" s="113"/>
      <c r="U22" s="118"/>
      <c r="V22" s="117"/>
    </row>
    <row r="23" spans="1:22" ht="15.75" customHeight="1">
      <c r="A23" s="109">
        <v>14</v>
      </c>
      <c r="B23" s="110" t="str">
        <f t="shared" si="8"/>
        <v>Full Amortization</v>
      </c>
      <c r="C23" s="111" t="str">
        <f t="shared" ref="C23:C33" si="10">H22</f>
        <v/>
      </c>
      <c r="D23" s="112">
        <f t="shared" si="9"/>
        <v>60</v>
      </c>
      <c r="E23" s="113" t="str">
        <f t="shared" si="7"/>
        <v/>
      </c>
      <c r="F23" s="113" t="str">
        <f t="shared" ref="F23:F57" si="11">IFERROR(G23-E23,"")</f>
        <v/>
      </c>
      <c r="G23" s="114" t="str">
        <f t="shared" ref="G23:G57" si="12">IFERROR(IF(ROUND(C23,2)&gt;0,IF($F$5="NEW",-PMT($C$7/12,$F$6,$H$21),-PMT($C$7/12,$F$6,$C$5)),0),"")</f>
        <v/>
      </c>
      <c r="H23" s="115" t="str">
        <f t="shared" ref="H23:H57" si="13">IFERROR(IF(C23&gt;0,C23-F23,0),"")</f>
        <v/>
      </c>
      <c r="I23" s="113" t="str">
        <f>IFERROR(IF(ROUND(C23,2)&gt;0,SUM(E$10:E23),0),"")</f>
        <v/>
      </c>
      <c r="L23" s="117"/>
      <c r="M23" s="118"/>
      <c r="N23" s="118"/>
      <c r="O23" s="117"/>
      <c r="R23" s="117"/>
      <c r="S23" s="117"/>
      <c r="T23" s="113"/>
      <c r="U23" s="118"/>
      <c r="V23" s="117"/>
    </row>
    <row r="24" spans="1:22" ht="15.75" customHeight="1">
      <c r="A24" s="109">
        <v>15</v>
      </c>
      <c r="B24" s="110" t="str">
        <f t="shared" si="8"/>
        <v>Full Amortization</v>
      </c>
      <c r="C24" s="111" t="str">
        <f t="shared" si="10"/>
        <v/>
      </c>
      <c r="D24" s="112">
        <f t="shared" si="9"/>
        <v>60</v>
      </c>
      <c r="E24" s="113" t="str">
        <f t="shared" si="7"/>
        <v/>
      </c>
      <c r="F24" s="113" t="str">
        <f t="shared" si="11"/>
        <v/>
      </c>
      <c r="G24" s="114" t="str">
        <f t="shared" si="12"/>
        <v/>
      </c>
      <c r="H24" s="115" t="str">
        <f t="shared" si="13"/>
        <v/>
      </c>
      <c r="I24" s="113" t="str">
        <f>IFERROR(IF(ROUND(C24,2)&gt;0,SUM(E$10:E24),0),"")</f>
        <v/>
      </c>
      <c r="L24" s="117"/>
      <c r="M24" s="118"/>
      <c r="N24" s="118"/>
      <c r="O24" s="117"/>
      <c r="R24" s="117"/>
      <c r="S24" s="117"/>
      <c r="T24" s="113"/>
      <c r="U24" s="118"/>
      <c r="V24" s="117"/>
    </row>
    <row r="25" spans="1:22" ht="15.75" customHeight="1">
      <c r="A25" s="109">
        <v>16</v>
      </c>
      <c r="B25" s="110" t="str">
        <f t="shared" si="8"/>
        <v>Full Amortization</v>
      </c>
      <c r="C25" s="111" t="str">
        <f t="shared" si="10"/>
        <v/>
      </c>
      <c r="D25" s="112">
        <f t="shared" si="9"/>
        <v>60</v>
      </c>
      <c r="E25" s="113" t="str">
        <f t="shared" si="7"/>
        <v/>
      </c>
      <c r="F25" s="113" t="str">
        <f t="shared" si="11"/>
        <v/>
      </c>
      <c r="G25" s="114" t="str">
        <f t="shared" si="12"/>
        <v/>
      </c>
      <c r="H25" s="115" t="str">
        <f t="shared" si="13"/>
        <v/>
      </c>
      <c r="I25" s="113" t="str">
        <f>IFERROR(IF(ROUND(C25,2)&gt;0,SUM(E$10:E25),0),"")</f>
        <v/>
      </c>
      <c r="L25" s="117"/>
      <c r="M25" s="118"/>
      <c r="N25" s="118"/>
      <c r="O25" s="117"/>
      <c r="R25" s="117"/>
      <c r="S25" s="117"/>
      <c r="T25" s="113"/>
      <c r="U25" s="118"/>
      <c r="V25" s="117"/>
    </row>
    <row r="26" spans="1:22" ht="15.75" customHeight="1">
      <c r="A26" s="109">
        <v>17</v>
      </c>
      <c r="B26" s="110" t="str">
        <f t="shared" si="8"/>
        <v>Full Amortization</v>
      </c>
      <c r="C26" s="111" t="str">
        <f t="shared" si="10"/>
        <v/>
      </c>
      <c r="D26" s="112">
        <f t="shared" si="9"/>
        <v>60</v>
      </c>
      <c r="E26" s="113" t="str">
        <f t="shared" si="7"/>
        <v/>
      </c>
      <c r="F26" s="113" t="str">
        <f t="shared" si="11"/>
        <v/>
      </c>
      <c r="G26" s="114" t="str">
        <f t="shared" si="12"/>
        <v/>
      </c>
      <c r="H26" s="115" t="str">
        <f t="shared" si="13"/>
        <v/>
      </c>
      <c r="I26" s="113" t="str">
        <f>IFERROR(IF(ROUND(C26,2)&gt;0,SUM(E$10:E26),0),"")</f>
        <v/>
      </c>
      <c r="L26" s="117"/>
      <c r="M26" s="118"/>
      <c r="N26" s="118"/>
      <c r="O26" s="117"/>
      <c r="R26" s="117"/>
      <c r="S26" s="117"/>
      <c r="T26" s="113"/>
      <c r="U26" s="118"/>
      <c r="V26" s="117"/>
    </row>
    <row r="27" spans="1:22" ht="15.75" customHeight="1">
      <c r="A27" s="109">
        <v>18</v>
      </c>
      <c r="B27" s="110" t="str">
        <f t="shared" si="8"/>
        <v>Full Amortization</v>
      </c>
      <c r="C27" s="111" t="str">
        <f t="shared" si="10"/>
        <v/>
      </c>
      <c r="D27" s="112">
        <f t="shared" si="9"/>
        <v>60</v>
      </c>
      <c r="E27" s="113" t="str">
        <f t="shared" si="7"/>
        <v/>
      </c>
      <c r="F27" s="113" t="str">
        <f t="shared" si="11"/>
        <v/>
      </c>
      <c r="G27" s="114" t="str">
        <f t="shared" si="12"/>
        <v/>
      </c>
      <c r="H27" s="115" t="str">
        <f t="shared" si="13"/>
        <v/>
      </c>
      <c r="I27" s="113" t="str">
        <f>IFERROR(IF(ROUND(C27,2)&gt;0,SUM(E$10:E27),0),"")</f>
        <v/>
      </c>
      <c r="L27" s="117"/>
      <c r="M27" s="118"/>
      <c r="N27" s="118"/>
      <c r="O27" s="117"/>
      <c r="R27" s="117"/>
      <c r="S27" s="117"/>
      <c r="T27" s="113"/>
      <c r="U27" s="118"/>
      <c r="V27" s="117"/>
    </row>
    <row r="28" spans="1:22" ht="15.75" customHeight="1">
      <c r="A28" s="109">
        <v>19</v>
      </c>
      <c r="B28" s="110" t="str">
        <f t="shared" si="8"/>
        <v>Full Amortization</v>
      </c>
      <c r="C28" s="111" t="str">
        <f t="shared" si="10"/>
        <v/>
      </c>
      <c r="D28" s="112">
        <f t="shared" si="9"/>
        <v>60</v>
      </c>
      <c r="E28" s="113" t="str">
        <f t="shared" si="7"/>
        <v/>
      </c>
      <c r="F28" s="113" t="str">
        <f t="shared" si="11"/>
        <v/>
      </c>
      <c r="G28" s="114" t="str">
        <f t="shared" si="12"/>
        <v/>
      </c>
      <c r="H28" s="115" t="str">
        <f t="shared" si="13"/>
        <v/>
      </c>
      <c r="I28" s="113" t="str">
        <f>IFERROR(IF(ROUND(C28,2)&gt;0,SUM(E$10:E28),0),"")</f>
        <v/>
      </c>
      <c r="L28" s="117"/>
      <c r="M28" s="118"/>
      <c r="N28" s="118"/>
      <c r="O28" s="117"/>
      <c r="R28" s="117"/>
      <c r="S28" s="117"/>
      <c r="T28" s="113"/>
      <c r="U28" s="118"/>
      <c r="V28" s="117"/>
    </row>
    <row r="29" spans="1:22" ht="15.75" customHeight="1">
      <c r="A29" s="109">
        <v>20</v>
      </c>
      <c r="B29" s="110" t="str">
        <f t="shared" si="8"/>
        <v>Full Amortization</v>
      </c>
      <c r="C29" s="111" t="str">
        <f t="shared" si="10"/>
        <v/>
      </c>
      <c r="D29" s="112">
        <f t="shared" si="9"/>
        <v>60</v>
      </c>
      <c r="E29" s="113" t="str">
        <f t="shared" si="7"/>
        <v/>
      </c>
      <c r="F29" s="113" t="str">
        <f t="shared" si="11"/>
        <v/>
      </c>
      <c r="G29" s="114" t="str">
        <f t="shared" si="12"/>
        <v/>
      </c>
      <c r="H29" s="115" t="str">
        <f t="shared" si="13"/>
        <v/>
      </c>
      <c r="I29" s="113" t="str">
        <f>IFERROR(IF(ROUND(C29,2)&gt;0,SUM(E$10:E29),0),"")</f>
        <v/>
      </c>
      <c r="L29" s="117"/>
      <c r="M29" s="118"/>
      <c r="N29" s="118"/>
      <c r="O29" s="117"/>
      <c r="R29" s="117"/>
      <c r="S29" s="117"/>
      <c r="T29" s="113"/>
      <c r="U29" s="118"/>
      <c r="V29" s="117"/>
    </row>
    <row r="30" spans="1:22" ht="15.75" customHeight="1">
      <c r="A30" s="109">
        <v>21</v>
      </c>
      <c r="B30" s="110" t="str">
        <f t="shared" si="8"/>
        <v>Full Amortization</v>
      </c>
      <c r="C30" s="111" t="str">
        <f t="shared" si="10"/>
        <v/>
      </c>
      <c r="D30" s="112">
        <f t="shared" si="9"/>
        <v>60</v>
      </c>
      <c r="E30" s="113" t="str">
        <f t="shared" si="7"/>
        <v/>
      </c>
      <c r="F30" s="113" t="str">
        <f t="shared" si="11"/>
        <v/>
      </c>
      <c r="G30" s="114" t="str">
        <f t="shared" si="12"/>
        <v/>
      </c>
      <c r="H30" s="115" t="str">
        <f t="shared" si="13"/>
        <v/>
      </c>
      <c r="I30" s="113" t="str">
        <f>IFERROR(IF(ROUND(C30,2)&gt;0,SUM(E$10:E30),0),"")</f>
        <v/>
      </c>
      <c r="L30" s="117"/>
      <c r="M30" s="118"/>
      <c r="N30" s="118"/>
      <c r="O30" s="117"/>
      <c r="R30" s="117"/>
      <c r="S30" s="117"/>
      <c r="T30" s="113"/>
      <c r="U30" s="118"/>
      <c r="V30" s="117"/>
    </row>
    <row r="31" spans="1:22" ht="15.75" customHeight="1">
      <c r="A31" s="109">
        <v>22</v>
      </c>
      <c r="B31" s="110" t="str">
        <f t="shared" si="8"/>
        <v>Full Amortization</v>
      </c>
      <c r="C31" s="111" t="str">
        <f t="shared" si="10"/>
        <v/>
      </c>
      <c r="D31" s="112">
        <f t="shared" si="9"/>
        <v>60</v>
      </c>
      <c r="E31" s="113" t="str">
        <f t="shared" si="7"/>
        <v/>
      </c>
      <c r="F31" s="113" t="str">
        <f t="shared" si="11"/>
        <v/>
      </c>
      <c r="G31" s="114" t="str">
        <f t="shared" si="12"/>
        <v/>
      </c>
      <c r="H31" s="115" t="str">
        <f t="shared" si="13"/>
        <v/>
      </c>
      <c r="I31" s="113" t="str">
        <f>IFERROR(IF(ROUND(C31,2)&gt;0,SUM(E$10:E31),0),"")</f>
        <v/>
      </c>
      <c r="L31" s="117"/>
      <c r="M31" s="118"/>
      <c r="N31" s="118"/>
      <c r="O31" s="117"/>
      <c r="R31" s="117"/>
      <c r="S31" s="117"/>
      <c r="T31" s="113"/>
      <c r="U31" s="118"/>
      <c r="V31" s="117"/>
    </row>
    <row r="32" spans="1:22" ht="15.75" customHeight="1">
      <c r="A32" s="109">
        <v>23</v>
      </c>
      <c r="B32" s="110" t="str">
        <f t="shared" si="8"/>
        <v>Full Amortization</v>
      </c>
      <c r="C32" s="111" t="str">
        <f t="shared" si="10"/>
        <v/>
      </c>
      <c r="D32" s="112">
        <f t="shared" si="9"/>
        <v>60</v>
      </c>
      <c r="E32" s="113" t="str">
        <f t="shared" si="7"/>
        <v/>
      </c>
      <c r="F32" s="113" t="str">
        <f t="shared" si="11"/>
        <v/>
      </c>
      <c r="G32" s="114" t="str">
        <f t="shared" si="12"/>
        <v/>
      </c>
      <c r="H32" s="115" t="str">
        <f t="shared" si="13"/>
        <v/>
      </c>
      <c r="I32" s="113" t="str">
        <f>IFERROR(IF(ROUND(C32,2)&gt;0,SUM(E$10:E32),0),"")</f>
        <v/>
      </c>
      <c r="L32" s="117"/>
      <c r="M32" s="118"/>
      <c r="N32" s="118"/>
      <c r="O32" s="117"/>
      <c r="R32" s="117"/>
      <c r="S32" s="117"/>
      <c r="T32" s="113"/>
      <c r="U32" s="118"/>
      <c r="V32" s="117"/>
    </row>
    <row r="33" spans="1:22" ht="15.75" customHeight="1">
      <c r="A33" s="109">
        <v>24</v>
      </c>
      <c r="B33" s="110" t="str">
        <f t="shared" si="8"/>
        <v>Full Amortization</v>
      </c>
      <c r="C33" s="111" t="str">
        <f t="shared" si="10"/>
        <v/>
      </c>
      <c r="D33" s="112">
        <f t="shared" si="9"/>
        <v>60</v>
      </c>
      <c r="E33" s="113" t="str">
        <f t="shared" si="7"/>
        <v/>
      </c>
      <c r="F33" s="113" t="str">
        <f t="shared" si="11"/>
        <v/>
      </c>
      <c r="G33" s="114" t="str">
        <f t="shared" si="12"/>
        <v/>
      </c>
      <c r="H33" s="115" t="str">
        <f t="shared" si="13"/>
        <v/>
      </c>
      <c r="I33" s="113" t="str">
        <f>IFERROR(IF(ROUND(C33,2)&gt;0,SUM(E$10:E33),0),"")</f>
        <v/>
      </c>
      <c r="L33" s="117"/>
      <c r="M33" s="118"/>
      <c r="N33" s="118"/>
      <c r="O33" s="117"/>
      <c r="R33" s="117"/>
      <c r="S33" s="117"/>
      <c r="T33" s="113"/>
      <c r="U33" s="118"/>
      <c r="V33" s="117"/>
    </row>
    <row r="34" spans="1:22" ht="15.75" customHeight="1">
      <c r="A34" s="109">
        <v>25</v>
      </c>
      <c r="B34" s="110" t="str">
        <f t="shared" ref="B34:B45" si="14">IF(OR(AND($F$5="NEW",$C$6&gt;1),($C$6&gt;2)),"Full Amortization","Paid in Full")</f>
        <v>Paid in Full</v>
      </c>
      <c r="C34" s="111" t="str">
        <f>IFERROR(ROUND(H33,1),"")</f>
        <v/>
      </c>
      <c r="D34" s="112" t="str">
        <f t="shared" si="9"/>
        <v/>
      </c>
      <c r="E34" s="113" t="str">
        <f>IFERROR(ROUND($C$7/12*C34,2),"")</f>
        <v/>
      </c>
      <c r="F34" s="113" t="str">
        <f t="shared" si="11"/>
        <v/>
      </c>
      <c r="G34" s="114" t="str">
        <f t="shared" si="12"/>
        <v/>
      </c>
      <c r="H34" s="115" t="str">
        <f t="shared" si="13"/>
        <v/>
      </c>
      <c r="I34" s="113" t="str">
        <f>IFERROR(IF(ROUND(C34,2)&gt;0,SUM(E$10:E34),0),"")</f>
        <v/>
      </c>
      <c r="L34" s="117"/>
      <c r="M34" s="118"/>
      <c r="N34" s="118"/>
      <c r="O34" s="117"/>
      <c r="R34" s="117"/>
      <c r="S34" s="117"/>
      <c r="T34" s="113"/>
      <c r="U34" s="118"/>
      <c r="V34" s="117"/>
    </row>
    <row r="35" spans="1:22" ht="15.75" customHeight="1">
      <c r="A35" s="109">
        <v>26</v>
      </c>
      <c r="B35" s="110" t="str">
        <f t="shared" si="14"/>
        <v>Paid in Full</v>
      </c>
      <c r="C35" s="111" t="str">
        <f t="shared" ref="C35:C45" si="15">H34</f>
        <v/>
      </c>
      <c r="D35" s="112" t="str">
        <f t="shared" si="9"/>
        <v/>
      </c>
      <c r="E35" s="113" t="str">
        <f t="shared" ref="E35:E57" si="16">IFERROR(ROUND($C$7/12*C35,2),"")</f>
        <v/>
      </c>
      <c r="F35" s="113" t="str">
        <f t="shared" si="11"/>
        <v/>
      </c>
      <c r="G35" s="114" t="str">
        <f t="shared" si="12"/>
        <v/>
      </c>
      <c r="H35" s="115" t="str">
        <f t="shared" si="13"/>
        <v/>
      </c>
      <c r="I35" s="113" t="str">
        <f>IFERROR(IF(ROUND(C35,2)&gt;0,SUM(E$10:E35),0),"")</f>
        <v/>
      </c>
      <c r="L35" s="117"/>
      <c r="M35" s="118"/>
      <c r="N35" s="118"/>
      <c r="O35" s="117"/>
      <c r="R35" s="117"/>
      <c r="S35" s="117"/>
      <c r="T35" s="113"/>
      <c r="U35" s="118"/>
      <c r="V35" s="117"/>
    </row>
    <row r="36" spans="1:22" ht="15.75" customHeight="1">
      <c r="A36" s="109">
        <v>27</v>
      </c>
      <c r="B36" s="110" t="str">
        <f t="shared" si="14"/>
        <v>Paid in Full</v>
      </c>
      <c r="C36" s="111" t="str">
        <f t="shared" si="15"/>
        <v/>
      </c>
      <c r="D36" s="112" t="str">
        <f t="shared" si="9"/>
        <v/>
      </c>
      <c r="E36" s="113" t="str">
        <f t="shared" si="16"/>
        <v/>
      </c>
      <c r="F36" s="113" t="str">
        <f t="shared" si="11"/>
        <v/>
      </c>
      <c r="G36" s="114" t="str">
        <f t="shared" si="12"/>
        <v/>
      </c>
      <c r="H36" s="115" t="str">
        <f t="shared" si="13"/>
        <v/>
      </c>
      <c r="I36" s="113" t="str">
        <f>IFERROR(IF(ROUND(C36,2)&gt;0,SUM(E$10:E36),0),"")</f>
        <v/>
      </c>
      <c r="L36" s="117"/>
      <c r="M36" s="118"/>
      <c r="N36" s="118"/>
      <c r="O36" s="117"/>
      <c r="R36" s="117"/>
      <c r="S36" s="117"/>
      <c r="T36" s="113"/>
      <c r="U36" s="118"/>
      <c r="V36" s="117"/>
    </row>
    <row r="37" spans="1:22" ht="15.75" customHeight="1">
      <c r="A37" s="109">
        <v>28</v>
      </c>
      <c r="B37" s="110" t="str">
        <f t="shared" si="14"/>
        <v>Paid in Full</v>
      </c>
      <c r="C37" s="111" t="str">
        <f t="shared" si="15"/>
        <v/>
      </c>
      <c r="D37" s="112" t="str">
        <f t="shared" si="9"/>
        <v/>
      </c>
      <c r="E37" s="113" t="str">
        <f t="shared" si="16"/>
        <v/>
      </c>
      <c r="F37" s="113" t="str">
        <f t="shared" si="11"/>
        <v/>
      </c>
      <c r="G37" s="114" t="str">
        <f t="shared" si="12"/>
        <v/>
      </c>
      <c r="H37" s="115" t="str">
        <f t="shared" si="13"/>
        <v/>
      </c>
      <c r="I37" s="113" t="str">
        <f>IFERROR(IF(ROUND(C37,2)&gt;0,SUM(E$10:E37),0),"")</f>
        <v/>
      </c>
      <c r="L37" s="117"/>
      <c r="M37" s="118"/>
      <c r="N37" s="118"/>
      <c r="O37" s="117"/>
      <c r="R37" s="117"/>
      <c r="S37" s="117"/>
      <c r="T37" s="113"/>
      <c r="U37" s="118"/>
      <c r="V37" s="117"/>
    </row>
    <row r="38" spans="1:22" ht="15.75" customHeight="1">
      <c r="A38" s="109">
        <v>29</v>
      </c>
      <c r="B38" s="110" t="str">
        <f t="shared" si="14"/>
        <v>Paid in Full</v>
      </c>
      <c r="C38" s="111" t="str">
        <f t="shared" si="15"/>
        <v/>
      </c>
      <c r="D38" s="112" t="str">
        <f t="shared" si="9"/>
        <v/>
      </c>
      <c r="E38" s="113" t="str">
        <f t="shared" si="16"/>
        <v/>
      </c>
      <c r="F38" s="113" t="str">
        <f t="shared" si="11"/>
        <v/>
      </c>
      <c r="G38" s="114" t="str">
        <f t="shared" si="12"/>
        <v/>
      </c>
      <c r="H38" s="115" t="str">
        <f t="shared" si="13"/>
        <v/>
      </c>
      <c r="I38" s="113" t="str">
        <f>IFERROR(IF(ROUND(C38,2)&gt;0,SUM(E$10:E38),0),"")</f>
        <v/>
      </c>
      <c r="L38" s="117"/>
      <c r="M38" s="118"/>
      <c r="N38" s="118"/>
      <c r="O38" s="117"/>
      <c r="R38" s="117"/>
      <c r="S38" s="117"/>
      <c r="T38" s="113"/>
      <c r="U38" s="118"/>
      <c r="V38" s="117"/>
    </row>
    <row r="39" spans="1:22" ht="15.75" customHeight="1">
      <c r="A39" s="109">
        <v>30</v>
      </c>
      <c r="B39" s="110" t="str">
        <f t="shared" si="14"/>
        <v>Paid in Full</v>
      </c>
      <c r="C39" s="111" t="str">
        <f t="shared" si="15"/>
        <v/>
      </c>
      <c r="D39" s="112" t="str">
        <f t="shared" si="9"/>
        <v/>
      </c>
      <c r="E39" s="113" t="str">
        <f t="shared" si="16"/>
        <v/>
      </c>
      <c r="F39" s="113" t="str">
        <f t="shared" si="11"/>
        <v/>
      </c>
      <c r="G39" s="114" t="str">
        <f t="shared" si="12"/>
        <v/>
      </c>
      <c r="H39" s="115" t="str">
        <f t="shared" si="13"/>
        <v/>
      </c>
      <c r="I39" s="113" t="str">
        <f>IFERROR(IF(ROUND(C39,2)&gt;0,SUM(E$10:E39),0),"")</f>
        <v/>
      </c>
      <c r="L39" s="117"/>
      <c r="M39" s="118"/>
      <c r="N39" s="118"/>
      <c r="O39" s="117"/>
      <c r="R39" s="117"/>
      <c r="S39" s="117"/>
      <c r="T39" s="113"/>
      <c r="U39" s="118"/>
      <c r="V39" s="117"/>
    </row>
    <row r="40" spans="1:22" ht="15.75" customHeight="1">
      <c r="A40" s="109">
        <v>31</v>
      </c>
      <c r="B40" s="110" t="str">
        <f t="shared" si="14"/>
        <v>Paid in Full</v>
      </c>
      <c r="C40" s="111" t="str">
        <f t="shared" si="15"/>
        <v/>
      </c>
      <c r="D40" s="112" t="str">
        <f t="shared" si="9"/>
        <v/>
      </c>
      <c r="E40" s="113" t="str">
        <f t="shared" si="16"/>
        <v/>
      </c>
      <c r="F40" s="113" t="str">
        <f t="shared" si="11"/>
        <v/>
      </c>
      <c r="G40" s="114" t="str">
        <f t="shared" si="12"/>
        <v/>
      </c>
      <c r="H40" s="115" t="str">
        <f t="shared" si="13"/>
        <v/>
      </c>
      <c r="I40" s="113" t="str">
        <f>IFERROR(IF(ROUND(C40,2)&gt;0,SUM(E$10:E40),0),"")</f>
        <v/>
      </c>
      <c r="L40" s="117"/>
      <c r="M40" s="118"/>
      <c r="N40" s="118"/>
      <c r="O40" s="117"/>
      <c r="R40" s="117"/>
      <c r="S40" s="117"/>
      <c r="T40" s="113"/>
      <c r="U40" s="118"/>
      <c r="V40" s="117"/>
    </row>
    <row r="41" spans="1:22" ht="15.75" customHeight="1">
      <c r="A41" s="109">
        <v>32</v>
      </c>
      <c r="B41" s="110" t="str">
        <f t="shared" si="14"/>
        <v>Paid in Full</v>
      </c>
      <c r="C41" s="111" t="str">
        <f t="shared" si="15"/>
        <v/>
      </c>
      <c r="D41" s="112" t="str">
        <f t="shared" si="9"/>
        <v/>
      </c>
      <c r="E41" s="113" t="str">
        <f t="shared" si="16"/>
        <v/>
      </c>
      <c r="F41" s="113" t="str">
        <f t="shared" si="11"/>
        <v/>
      </c>
      <c r="G41" s="114" t="str">
        <f t="shared" si="12"/>
        <v/>
      </c>
      <c r="H41" s="115" t="str">
        <f t="shared" si="13"/>
        <v/>
      </c>
      <c r="I41" s="113" t="str">
        <f>IFERROR(IF(ROUND(C41,2)&gt;0,SUM(E$10:E41),0),"")</f>
        <v/>
      </c>
      <c r="L41" s="117"/>
      <c r="M41" s="118"/>
      <c r="N41" s="118"/>
      <c r="O41" s="117"/>
      <c r="R41" s="117"/>
      <c r="S41" s="117"/>
      <c r="T41" s="113"/>
      <c r="U41" s="118"/>
      <c r="V41" s="117"/>
    </row>
    <row r="42" spans="1:22" ht="15.75" customHeight="1">
      <c r="A42" s="109">
        <v>33</v>
      </c>
      <c r="B42" s="110" t="str">
        <f t="shared" si="14"/>
        <v>Paid in Full</v>
      </c>
      <c r="C42" s="111" t="str">
        <f t="shared" si="15"/>
        <v/>
      </c>
      <c r="D42" s="112" t="str">
        <f t="shared" si="9"/>
        <v/>
      </c>
      <c r="E42" s="113" t="str">
        <f t="shared" si="16"/>
        <v/>
      </c>
      <c r="F42" s="113" t="str">
        <f t="shared" si="11"/>
        <v/>
      </c>
      <c r="G42" s="114" t="str">
        <f t="shared" si="12"/>
        <v/>
      </c>
      <c r="H42" s="115" t="str">
        <f t="shared" si="13"/>
        <v/>
      </c>
      <c r="I42" s="113" t="str">
        <f>IFERROR(IF(ROUND(C42,2)&gt;0,SUM(E$10:E42),0),"")</f>
        <v/>
      </c>
      <c r="L42" s="117"/>
      <c r="M42" s="118"/>
      <c r="N42" s="118"/>
      <c r="O42" s="117"/>
      <c r="R42" s="117"/>
      <c r="S42" s="117"/>
      <c r="T42" s="113"/>
      <c r="U42" s="118"/>
      <c r="V42" s="117"/>
    </row>
    <row r="43" spans="1:22" ht="15.75" customHeight="1">
      <c r="A43" s="109">
        <v>34</v>
      </c>
      <c r="B43" s="110" t="str">
        <f t="shared" si="14"/>
        <v>Paid in Full</v>
      </c>
      <c r="C43" s="111" t="str">
        <f t="shared" si="15"/>
        <v/>
      </c>
      <c r="D43" s="112" t="str">
        <f t="shared" si="9"/>
        <v/>
      </c>
      <c r="E43" s="113" t="str">
        <f t="shared" si="16"/>
        <v/>
      </c>
      <c r="F43" s="113" t="str">
        <f t="shared" si="11"/>
        <v/>
      </c>
      <c r="G43" s="114" t="str">
        <f t="shared" si="12"/>
        <v/>
      </c>
      <c r="H43" s="115" t="str">
        <f t="shared" si="13"/>
        <v/>
      </c>
      <c r="I43" s="113" t="str">
        <f>IFERROR(IF(ROUND(C43,2)&gt;0,SUM(E$10:E43),0),"")</f>
        <v/>
      </c>
      <c r="L43" s="117"/>
      <c r="M43" s="118"/>
      <c r="N43" s="118"/>
      <c r="O43" s="117"/>
      <c r="R43" s="117"/>
      <c r="S43" s="117"/>
      <c r="T43" s="113"/>
      <c r="U43" s="118"/>
      <c r="V43" s="117"/>
    </row>
    <row r="44" spans="1:22" ht="15.75" customHeight="1">
      <c r="A44" s="109">
        <v>35</v>
      </c>
      <c r="B44" s="110" t="str">
        <f t="shared" si="14"/>
        <v>Paid in Full</v>
      </c>
      <c r="C44" s="111" t="str">
        <f t="shared" si="15"/>
        <v/>
      </c>
      <c r="D44" s="112" t="str">
        <f t="shared" si="9"/>
        <v/>
      </c>
      <c r="E44" s="113" t="str">
        <f t="shared" si="16"/>
        <v/>
      </c>
      <c r="F44" s="113" t="str">
        <f t="shared" si="11"/>
        <v/>
      </c>
      <c r="G44" s="114" t="str">
        <f t="shared" si="12"/>
        <v/>
      </c>
      <c r="H44" s="115" t="str">
        <f t="shared" si="13"/>
        <v/>
      </c>
      <c r="I44" s="113" t="str">
        <f>IFERROR(IF(ROUND(C44,2)&gt;0,SUM(E$10:E44),0),"")</f>
        <v/>
      </c>
      <c r="L44" s="117"/>
      <c r="M44" s="118"/>
      <c r="N44" s="118"/>
      <c r="O44" s="117"/>
      <c r="R44" s="117"/>
      <c r="S44" s="117"/>
      <c r="T44" s="113"/>
      <c r="U44" s="118"/>
      <c r="V44" s="117"/>
    </row>
    <row r="45" spans="1:22" ht="15.75" customHeight="1">
      <c r="A45" s="109">
        <v>36</v>
      </c>
      <c r="B45" s="110" t="str">
        <f t="shared" si="14"/>
        <v>Paid in Full</v>
      </c>
      <c r="C45" s="111" t="str">
        <f t="shared" si="15"/>
        <v/>
      </c>
      <c r="D45" s="112" t="str">
        <f t="shared" si="9"/>
        <v/>
      </c>
      <c r="E45" s="113" t="str">
        <f t="shared" si="16"/>
        <v/>
      </c>
      <c r="F45" s="113" t="str">
        <f t="shared" si="11"/>
        <v/>
      </c>
      <c r="G45" s="114" t="str">
        <f t="shared" si="12"/>
        <v/>
      </c>
      <c r="H45" s="115" t="str">
        <f t="shared" si="13"/>
        <v/>
      </c>
      <c r="I45" s="113" t="str">
        <f>IFERROR(IF(ROUND(C45,2)&gt;0,SUM(E$10:E45),0),"")</f>
        <v/>
      </c>
      <c r="L45" s="117"/>
      <c r="M45" s="118"/>
      <c r="N45" s="118"/>
      <c r="O45" s="117"/>
      <c r="R45" s="117"/>
      <c r="S45" s="117"/>
      <c r="T45" s="113"/>
      <c r="U45" s="118"/>
      <c r="V45" s="117"/>
    </row>
    <row r="46" spans="1:22" ht="15.75" customHeight="1">
      <c r="A46" s="109">
        <v>37</v>
      </c>
      <c r="B46" s="110" t="str">
        <f t="shared" ref="B46:B57" si="17">IF(OR(AND($F$5="NEW",$C$6&gt;2),($C$6&gt;3)),"Full Amortization","Paid in Full")</f>
        <v>Paid in Full</v>
      </c>
      <c r="C46" s="111" t="str">
        <f>IFERROR(ROUND(H45,0),"")</f>
        <v/>
      </c>
      <c r="D46" s="112" t="str">
        <f t="shared" si="9"/>
        <v/>
      </c>
      <c r="E46" s="113" t="str">
        <f t="shared" si="16"/>
        <v/>
      </c>
      <c r="F46" s="113" t="str">
        <f t="shared" si="11"/>
        <v/>
      </c>
      <c r="G46" s="114" t="str">
        <f t="shared" si="12"/>
        <v/>
      </c>
      <c r="H46" s="115" t="str">
        <f t="shared" si="13"/>
        <v/>
      </c>
      <c r="I46" s="113" t="str">
        <f>IFERROR(IF(ROUND(C46,2)&gt;0,SUM(E$10:E46),0),"")</f>
        <v/>
      </c>
      <c r="L46" s="117"/>
      <c r="M46" s="118"/>
      <c r="N46" s="118"/>
      <c r="O46" s="117"/>
      <c r="R46" s="117"/>
      <c r="S46" s="117"/>
      <c r="T46" s="113"/>
      <c r="U46" s="118"/>
      <c r="V46" s="117"/>
    </row>
    <row r="47" spans="1:22" ht="15.75" customHeight="1">
      <c r="A47" s="109">
        <v>38</v>
      </c>
      <c r="B47" s="110" t="str">
        <f t="shared" si="17"/>
        <v>Paid in Full</v>
      </c>
      <c r="C47" s="111" t="str">
        <f t="shared" ref="C47:C57" si="18">H46</f>
        <v/>
      </c>
      <c r="D47" s="112" t="str">
        <f t="shared" si="9"/>
        <v/>
      </c>
      <c r="E47" s="113" t="str">
        <f t="shared" si="16"/>
        <v/>
      </c>
      <c r="F47" s="113" t="str">
        <f t="shared" si="11"/>
        <v/>
      </c>
      <c r="G47" s="114" t="str">
        <f t="shared" si="12"/>
        <v/>
      </c>
      <c r="H47" s="115" t="str">
        <f t="shared" si="13"/>
        <v/>
      </c>
      <c r="I47" s="113" t="str">
        <f>IFERROR(IF(ROUND(C47,2)&gt;0,SUM(E$10:E47),0),"")</f>
        <v/>
      </c>
      <c r="L47" s="117"/>
      <c r="M47" s="118"/>
      <c r="N47" s="118"/>
      <c r="O47" s="117"/>
      <c r="R47" s="117"/>
      <c r="S47" s="117"/>
      <c r="T47" s="113"/>
      <c r="U47" s="118"/>
      <c r="V47" s="117"/>
    </row>
    <row r="48" spans="1:22" ht="15.75" customHeight="1">
      <c r="A48" s="109">
        <v>39</v>
      </c>
      <c r="B48" s="110" t="str">
        <f t="shared" si="17"/>
        <v>Paid in Full</v>
      </c>
      <c r="C48" s="111" t="str">
        <f t="shared" si="18"/>
        <v/>
      </c>
      <c r="D48" s="112" t="str">
        <f t="shared" si="9"/>
        <v/>
      </c>
      <c r="E48" s="113" t="str">
        <f t="shared" si="16"/>
        <v/>
      </c>
      <c r="F48" s="113" t="str">
        <f t="shared" si="11"/>
        <v/>
      </c>
      <c r="G48" s="114" t="str">
        <f t="shared" si="12"/>
        <v/>
      </c>
      <c r="H48" s="115" t="str">
        <f t="shared" si="13"/>
        <v/>
      </c>
      <c r="I48" s="113" t="str">
        <f>IFERROR(IF(ROUND(C48,2)&gt;0,SUM(E$10:E48),0),"")</f>
        <v/>
      </c>
      <c r="L48" s="117"/>
      <c r="M48" s="118"/>
      <c r="N48" s="118"/>
      <c r="O48" s="117"/>
      <c r="R48" s="117"/>
      <c r="S48" s="117"/>
      <c r="T48" s="113"/>
      <c r="U48" s="118"/>
      <c r="V48" s="117"/>
    </row>
    <row r="49" spans="1:15" ht="15.75" customHeight="1">
      <c r="A49" s="109">
        <v>40</v>
      </c>
      <c r="B49" s="110" t="str">
        <f t="shared" si="17"/>
        <v>Paid in Full</v>
      </c>
      <c r="C49" s="111" t="str">
        <f t="shared" si="18"/>
        <v/>
      </c>
      <c r="D49" s="112" t="str">
        <f t="shared" si="9"/>
        <v/>
      </c>
      <c r="E49" s="113" t="str">
        <f t="shared" si="16"/>
        <v/>
      </c>
      <c r="F49" s="113" t="str">
        <f t="shared" si="11"/>
        <v/>
      </c>
      <c r="G49" s="114" t="str">
        <f t="shared" si="12"/>
        <v/>
      </c>
      <c r="H49" s="115" t="str">
        <f t="shared" si="13"/>
        <v/>
      </c>
      <c r="I49" s="113" t="str">
        <f>IFERROR(IF(ROUND(C49,2)&gt;0,SUM(E$10:E49),0),"")</f>
        <v/>
      </c>
      <c r="L49" s="117"/>
      <c r="M49" s="118"/>
      <c r="N49" s="118"/>
      <c r="O49" s="117"/>
    </row>
    <row r="50" spans="1:15" ht="15.75" customHeight="1">
      <c r="A50" s="109">
        <v>41</v>
      </c>
      <c r="B50" s="110" t="str">
        <f t="shared" si="17"/>
        <v>Paid in Full</v>
      </c>
      <c r="C50" s="111" t="str">
        <f t="shared" si="18"/>
        <v/>
      </c>
      <c r="D50" s="112" t="str">
        <f t="shared" si="9"/>
        <v/>
      </c>
      <c r="E50" s="113" t="str">
        <f t="shared" si="16"/>
        <v/>
      </c>
      <c r="F50" s="113" t="str">
        <f t="shared" si="11"/>
        <v/>
      </c>
      <c r="G50" s="114" t="str">
        <f t="shared" si="12"/>
        <v/>
      </c>
      <c r="H50" s="115" t="str">
        <f t="shared" si="13"/>
        <v/>
      </c>
      <c r="I50" s="113" t="str">
        <f>IFERROR(IF(ROUND(C50,2)&gt;0,SUM(E$10:E50),0),"")</f>
        <v/>
      </c>
      <c r="L50" s="117"/>
      <c r="M50" s="118"/>
      <c r="N50" s="118"/>
      <c r="O50" s="117"/>
    </row>
    <row r="51" spans="1:15" ht="15.75" customHeight="1">
      <c r="A51" s="109">
        <v>42</v>
      </c>
      <c r="B51" s="110" t="str">
        <f t="shared" si="17"/>
        <v>Paid in Full</v>
      </c>
      <c r="C51" s="111" t="str">
        <f t="shared" si="18"/>
        <v/>
      </c>
      <c r="D51" s="112" t="str">
        <f t="shared" si="9"/>
        <v/>
      </c>
      <c r="E51" s="113" t="str">
        <f t="shared" si="16"/>
        <v/>
      </c>
      <c r="F51" s="113" t="str">
        <f t="shared" si="11"/>
        <v/>
      </c>
      <c r="G51" s="114" t="str">
        <f t="shared" si="12"/>
        <v/>
      </c>
      <c r="H51" s="115" t="str">
        <f t="shared" si="13"/>
        <v/>
      </c>
      <c r="I51" s="113" t="str">
        <f>IFERROR(IF(ROUND(C51,2)&gt;0,SUM(E$10:E51),0),"")</f>
        <v/>
      </c>
      <c r="L51" s="117"/>
      <c r="M51" s="118"/>
      <c r="N51" s="118"/>
      <c r="O51" s="117"/>
    </row>
    <row r="52" spans="1:15" ht="15.75" customHeight="1">
      <c r="A52" s="109">
        <v>43</v>
      </c>
      <c r="B52" s="110" t="str">
        <f t="shared" si="17"/>
        <v>Paid in Full</v>
      </c>
      <c r="C52" s="111" t="str">
        <f t="shared" si="18"/>
        <v/>
      </c>
      <c r="D52" s="112" t="str">
        <f t="shared" si="9"/>
        <v/>
      </c>
      <c r="E52" s="113" t="str">
        <f t="shared" si="16"/>
        <v/>
      </c>
      <c r="F52" s="113" t="str">
        <f t="shared" si="11"/>
        <v/>
      </c>
      <c r="G52" s="114" t="str">
        <f t="shared" si="12"/>
        <v/>
      </c>
      <c r="H52" s="115" t="str">
        <f t="shared" si="13"/>
        <v/>
      </c>
      <c r="I52" s="113" t="str">
        <f>IFERROR(IF(ROUND(C52,2)&gt;0,SUM(E$10:E52),0),"")</f>
        <v/>
      </c>
      <c r="L52" s="117"/>
      <c r="M52" s="118"/>
      <c r="N52" s="118"/>
      <c r="O52" s="117"/>
    </row>
    <row r="53" spans="1:15" ht="15.75" customHeight="1">
      <c r="A53" s="109">
        <v>44</v>
      </c>
      <c r="B53" s="110" t="str">
        <f t="shared" si="17"/>
        <v>Paid in Full</v>
      </c>
      <c r="C53" s="111" t="str">
        <f t="shared" si="18"/>
        <v/>
      </c>
      <c r="D53" s="112" t="str">
        <f t="shared" si="9"/>
        <v/>
      </c>
      <c r="E53" s="113" t="str">
        <f t="shared" si="16"/>
        <v/>
      </c>
      <c r="F53" s="113" t="str">
        <f t="shared" si="11"/>
        <v/>
      </c>
      <c r="G53" s="114" t="str">
        <f t="shared" si="12"/>
        <v/>
      </c>
      <c r="H53" s="115" t="str">
        <f t="shared" si="13"/>
        <v/>
      </c>
      <c r="I53" s="113" t="str">
        <f>IFERROR(IF(ROUND(C53,2)&gt;0,SUM(E$10:E53),0),"")</f>
        <v/>
      </c>
      <c r="L53" s="117"/>
      <c r="M53" s="118"/>
      <c r="N53" s="118"/>
      <c r="O53" s="117"/>
    </row>
    <row r="54" spans="1:15" ht="15.75" customHeight="1">
      <c r="A54" s="109">
        <v>45</v>
      </c>
      <c r="B54" s="110" t="str">
        <f t="shared" si="17"/>
        <v>Paid in Full</v>
      </c>
      <c r="C54" s="111" t="str">
        <f t="shared" si="18"/>
        <v/>
      </c>
      <c r="D54" s="112" t="str">
        <f t="shared" si="9"/>
        <v/>
      </c>
      <c r="E54" s="113" t="str">
        <f t="shared" si="16"/>
        <v/>
      </c>
      <c r="F54" s="113" t="str">
        <f t="shared" si="11"/>
        <v/>
      </c>
      <c r="G54" s="114" t="str">
        <f t="shared" si="12"/>
        <v/>
      </c>
      <c r="H54" s="115" t="str">
        <f t="shared" si="13"/>
        <v/>
      </c>
      <c r="I54" s="113" t="str">
        <f>IFERROR(IF(ROUND(C54,2)&gt;0,SUM(E$10:E54),0),"")</f>
        <v/>
      </c>
      <c r="L54" s="117"/>
      <c r="M54" s="118"/>
      <c r="N54" s="118"/>
      <c r="O54" s="117"/>
    </row>
    <row r="55" spans="1:15" ht="15.75" customHeight="1">
      <c r="A55" s="109">
        <v>46</v>
      </c>
      <c r="B55" s="110" t="str">
        <f t="shared" si="17"/>
        <v>Paid in Full</v>
      </c>
      <c r="C55" s="111" t="str">
        <f t="shared" si="18"/>
        <v/>
      </c>
      <c r="D55" s="112" t="str">
        <f t="shared" si="9"/>
        <v/>
      </c>
      <c r="E55" s="113" t="str">
        <f t="shared" si="16"/>
        <v/>
      </c>
      <c r="F55" s="113" t="str">
        <f t="shared" si="11"/>
        <v/>
      </c>
      <c r="G55" s="114" t="str">
        <f t="shared" si="12"/>
        <v/>
      </c>
      <c r="H55" s="115" t="str">
        <f t="shared" si="13"/>
        <v/>
      </c>
      <c r="I55" s="113" t="str">
        <f>IFERROR(IF(ROUND(C55,2)&gt;0,SUM(E$10:E55),0),"")</f>
        <v/>
      </c>
      <c r="L55" s="117"/>
      <c r="M55" s="118"/>
      <c r="N55" s="118"/>
      <c r="O55" s="117"/>
    </row>
    <row r="56" spans="1:15" ht="15.75" customHeight="1">
      <c r="A56" s="109">
        <v>47</v>
      </c>
      <c r="B56" s="110" t="str">
        <f t="shared" si="17"/>
        <v>Paid in Full</v>
      </c>
      <c r="C56" s="111" t="str">
        <f t="shared" si="18"/>
        <v/>
      </c>
      <c r="D56" s="112" t="str">
        <f t="shared" si="9"/>
        <v/>
      </c>
      <c r="E56" s="113" t="str">
        <f t="shared" si="16"/>
        <v/>
      </c>
      <c r="F56" s="113" t="str">
        <f t="shared" si="11"/>
        <v/>
      </c>
      <c r="G56" s="114" t="str">
        <f t="shared" si="12"/>
        <v/>
      </c>
      <c r="H56" s="115" t="str">
        <f t="shared" si="13"/>
        <v/>
      </c>
      <c r="I56" s="113" t="str">
        <f>IFERROR(IF(ROUND(C56,2)&gt;0,SUM(E$10:E56),0),"")</f>
        <v/>
      </c>
      <c r="L56" s="117"/>
      <c r="M56" s="118"/>
      <c r="N56" s="118"/>
      <c r="O56" s="117"/>
    </row>
    <row r="57" spans="1:15" ht="15.75" customHeight="1">
      <c r="A57" s="109">
        <v>48</v>
      </c>
      <c r="B57" s="110" t="str">
        <f t="shared" si="17"/>
        <v>Paid in Full</v>
      </c>
      <c r="C57" s="111" t="str">
        <f t="shared" si="18"/>
        <v/>
      </c>
      <c r="D57" s="112" t="str">
        <f t="shared" si="9"/>
        <v/>
      </c>
      <c r="E57" s="113" t="str">
        <f t="shared" si="16"/>
        <v/>
      </c>
      <c r="F57" s="113" t="str">
        <f t="shared" si="11"/>
        <v/>
      </c>
      <c r="G57" s="114" t="str">
        <f t="shared" si="12"/>
        <v/>
      </c>
      <c r="H57" s="115" t="str">
        <f t="shared" si="13"/>
        <v/>
      </c>
      <c r="I57" s="113" t="str">
        <f>IFERROR(IF(ROUND(C57,2)&gt;0,SUM(E$10:E57),0),"")</f>
        <v/>
      </c>
      <c r="L57" s="117"/>
      <c r="M57" s="118"/>
      <c r="N57" s="118"/>
      <c r="O57" s="117"/>
    </row>
    <row r="58" spans="1:15" ht="15.75" customHeight="1">
      <c r="A58" s="109"/>
      <c r="C58" s="117"/>
      <c r="D58" s="112"/>
      <c r="E58" s="113"/>
      <c r="F58" s="118"/>
      <c r="G58" s="118"/>
      <c r="H58" s="117"/>
      <c r="I58" s="113"/>
    </row>
    <row r="59" spans="1:15" ht="15.75" customHeight="1">
      <c r="A59" s="109"/>
      <c r="C59" s="117"/>
      <c r="D59" s="112"/>
      <c r="E59" s="113"/>
      <c r="F59" s="118"/>
      <c r="G59" s="118"/>
      <c r="H59" s="117"/>
      <c r="I59" s="113"/>
    </row>
    <row r="60" spans="1:15" ht="15.75" customHeight="1">
      <c r="A60" s="109"/>
      <c r="C60" s="117"/>
      <c r="D60" s="112"/>
      <c r="E60" s="113"/>
      <c r="F60" s="118"/>
      <c r="G60" s="118"/>
      <c r="H60" s="117"/>
      <c r="I60" s="113"/>
    </row>
    <row r="61" spans="1:15" ht="15.75" customHeight="1">
      <c r="A61" s="109"/>
      <c r="C61" s="117"/>
      <c r="D61" s="112"/>
      <c r="E61" s="113"/>
      <c r="F61" s="118"/>
      <c r="G61" s="118"/>
      <c r="H61" s="117"/>
      <c r="I61" s="113"/>
    </row>
    <row r="62" spans="1:15" ht="15.75" customHeight="1">
      <c r="A62" s="109"/>
      <c r="C62" s="117"/>
      <c r="D62" s="112"/>
      <c r="E62" s="113"/>
      <c r="F62" s="118"/>
      <c r="G62" s="118"/>
      <c r="H62" s="117"/>
      <c r="I62" s="113"/>
    </row>
    <row r="63" spans="1:15" ht="15.75" customHeight="1">
      <c r="A63" s="109"/>
      <c r="C63" s="117"/>
      <c r="D63" s="112"/>
      <c r="E63" s="113"/>
      <c r="F63" s="118"/>
      <c r="G63" s="118"/>
      <c r="H63" s="117"/>
      <c r="I63" s="113"/>
    </row>
    <row r="64" spans="1:15" ht="15.75" customHeight="1">
      <c r="A64" s="109"/>
      <c r="C64" s="117"/>
      <c r="D64" s="112"/>
      <c r="E64" s="113"/>
      <c r="F64" s="118"/>
      <c r="G64" s="118"/>
      <c r="H64" s="117"/>
      <c r="I64" s="113"/>
    </row>
    <row r="65" spans="1:9" ht="15.75" customHeight="1">
      <c r="A65" s="109"/>
      <c r="C65" s="117"/>
      <c r="D65" s="112"/>
      <c r="E65" s="113"/>
      <c r="F65" s="118"/>
      <c r="G65" s="118"/>
      <c r="H65" s="117"/>
      <c r="I65" s="113"/>
    </row>
    <row r="66" spans="1:9" ht="15.75" customHeight="1">
      <c r="A66" s="109"/>
      <c r="C66" s="117"/>
      <c r="D66" s="112"/>
      <c r="E66" s="113"/>
      <c r="F66" s="118"/>
      <c r="G66" s="118"/>
      <c r="H66" s="117"/>
      <c r="I66" s="113"/>
    </row>
    <row r="67" spans="1:9" ht="15.75" customHeight="1">
      <c r="A67" s="109"/>
      <c r="C67" s="117"/>
      <c r="D67" s="112"/>
      <c r="E67" s="113"/>
      <c r="F67" s="118"/>
      <c r="G67" s="118"/>
      <c r="H67" s="117"/>
      <c r="I67" s="113"/>
    </row>
    <row r="68" spans="1:9" ht="15.75" customHeight="1">
      <c r="A68" s="109"/>
      <c r="C68" s="117"/>
      <c r="D68" s="112"/>
      <c r="E68" s="113"/>
      <c r="F68" s="118"/>
      <c r="G68" s="118"/>
      <c r="H68" s="117"/>
      <c r="I68" s="113"/>
    </row>
    <row r="69" spans="1:9" ht="15.75" customHeight="1">
      <c r="A69" s="109"/>
      <c r="C69" s="117"/>
      <c r="D69" s="112"/>
      <c r="E69" s="113"/>
      <c r="F69" s="118"/>
      <c r="G69" s="118"/>
      <c r="H69" s="117"/>
      <c r="I69" s="113"/>
    </row>
    <row r="70" spans="1:9" ht="15.75" customHeight="1"/>
    <row r="71" spans="1:9" ht="15.75" customHeight="1"/>
    <row r="72" spans="1:9" ht="15.75" customHeight="1"/>
    <row r="73" spans="1:9" ht="15.75" customHeight="1"/>
    <row r="74" spans="1:9" ht="15.75" customHeight="1"/>
    <row r="75" spans="1:9" ht="15.75" customHeight="1"/>
    <row r="76" spans="1:9" ht="15.75" customHeight="1"/>
    <row r="77" spans="1:9" ht="15.75" customHeight="1"/>
    <row r="78" spans="1:9" ht="15.75" customHeight="1"/>
    <row r="79" spans="1:9" ht="15.75" customHeight="1"/>
    <row r="80" spans="1:9"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sheetProtection algorithmName="SHA-512" hashValue="ysmgKGVhiGBObe5jwoMi9iXp09o8I13CDplJP5BanWQzshSQe8B6M+PnFJGki7jey4XC17k3Kae6wMleNujHaQ==" saltValue="5fZFzQ5rcBdYuR4f2HwX/g==" spinCount="100000" sheet="1" objects="1" scenarios="1"/>
  <mergeCells count="1">
    <mergeCell ref="B3:I3"/>
  </mergeCells>
  <dataValidations count="2">
    <dataValidation type="decimal" allowBlank="1" showErrorMessage="1" sqref="C5" xr:uid="{00000000-0002-0000-0200-000000000000}">
      <formula1>0</formula1>
      <formula2>200000</formula2>
    </dataValidation>
    <dataValidation type="decimal" allowBlank="1" showErrorMessage="1" sqref="C6" xr:uid="{00000000-0002-0000-0200-000001000000}">
      <formula1>1</formula1>
      <formula2>3</formula2>
    </dataValidation>
  </dataValidations>
  <pageMargins left="0.25" right="0.25" top="0.75" bottom="0.75" header="0" footer="0"/>
  <pageSetup scale="73" fitToHeight="0"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200-000002000000}">
          <x14:formula1>
            <xm:f>REF!$C$2:$C$4</xm:f>
          </x14:formula1>
          <xm:sqref>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94"/>
  <sheetViews>
    <sheetView workbookViewId="0">
      <selection activeCell="E12" sqref="E12"/>
    </sheetView>
  </sheetViews>
  <sheetFormatPr defaultColWidth="14.42578125" defaultRowHeight="15" customHeight="1"/>
  <cols>
    <col min="1" max="1" width="139" customWidth="1"/>
    <col min="2" max="26" width="8.7109375" customWidth="1"/>
  </cols>
  <sheetData>
    <row r="1" spans="1:1" ht="18.75">
      <c r="A1" s="10" t="s">
        <v>92</v>
      </c>
    </row>
    <row r="2" spans="1:1"/>
    <row r="3" spans="1:1" ht="37.5">
      <c r="A3" s="11" t="s">
        <v>93</v>
      </c>
    </row>
    <row r="4" spans="1:1" ht="37.5">
      <c r="A4" s="12" t="s">
        <v>94</v>
      </c>
    </row>
    <row r="5" spans="1:1" ht="56.25">
      <c r="A5" s="12" t="s">
        <v>95</v>
      </c>
    </row>
    <row r="6" spans="1:1" ht="37.5">
      <c r="A6" s="12" t="s">
        <v>96</v>
      </c>
    </row>
    <row r="7" spans="1:1" ht="18.75">
      <c r="A7" s="12" t="s">
        <v>97</v>
      </c>
    </row>
    <row r="8" spans="1:1" ht="37.5">
      <c r="A8" s="12" t="s">
        <v>98</v>
      </c>
    </row>
    <row r="9" spans="1:1">
      <c r="A9" s="13" t="s">
        <v>99</v>
      </c>
    </row>
    <row r="10" spans="1:1" ht="15.75" customHeight="1"/>
    <row r="11" spans="1:1" ht="18.75">
      <c r="A11" s="2" t="s">
        <v>31</v>
      </c>
    </row>
    <row r="12" spans="1:1" ht="72.75" customHeight="1">
      <c r="A12" s="3" t="s">
        <v>32</v>
      </c>
    </row>
    <row r="13" spans="1:1" ht="75">
      <c r="A13" s="3" t="s">
        <v>33</v>
      </c>
    </row>
    <row r="14" spans="1:1" ht="18.75">
      <c r="A14" s="3" t="s">
        <v>34</v>
      </c>
    </row>
    <row r="15" spans="1:1" ht="18.75">
      <c r="A15" s="3" t="s">
        <v>35</v>
      </c>
    </row>
    <row r="16" spans="1:1" ht="37.5">
      <c r="A16" s="3" t="s">
        <v>36</v>
      </c>
    </row>
    <row r="17" spans="1:3" ht="18.75">
      <c r="A17" s="3" t="s">
        <v>37</v>
      </c>
    </row>
    <row r="18" spans="1:3" ht="37.5">
      <c r="A18" s="3" t="s">
        <v>38</v>
      </c>
    </row>
    <row r="19" spans="1:3" ht="18.75">
      <c r="A19" s="3" t="s">
        <v>39</v>
      </c>
    </row>
    <row r="21" spans="1:3" ht="37.5">
      <c r="A21" s="2" t="s">
        <v>40</v>
      </c>
    </row>
    <row r="22" spans="1:3" ht="18.75">
      <c r="A22" s="3" t="s">
        <v>41</v>
      </c>
    </row>
    <row r="25" spans="1:3" ht="37.5">
      <c r="A25" s="4" t="s">
        <v>42</v>
      </c>
      <c r="C25" s="1" t="s">
        <v>43</v>
      </c>
    </row>
    <row r="26" spans="1:3" ht="131.25">
      <c r="A26" s="3" t="s">
        <v>44</v>
      </c>
    </row>
    <row r="27" spans="1:3" ht="18.75">
      <c r="A27" s="3" t="s">
        <v>45</v>
      </c>
    </row>
    <row r="28" spans="1:3" ht="37.5">
      <c r="A28" s="3" t="s">
        <v>46</v>
      </c>
    </row>
    <row r="29" spans="1:3">
      <c r="A29" s="5" t="s">
        <v>47</v>
      </c>
    </row>
    <row r="30" spans="1:3" ht="18.75">
      <c r="A30" s="3" t="s">
        <v>48</v>
      </c>
    </row>
    <row r="31" spans="1:3" ht="15.75" customHeight="1">
      <c r="A31" s="3" t="s">
        <v>49</v>
      </c>
    </row>
    <row r="32" spans="1:3" ht="15.75" customHeight="1">
      <c r="A32" s="3" t="s">
        <v>50</v>
      </c>
    </row>
    <row r="33" spans="1:1" ht="15.75" customHeight="1">
      <c r="A33" s="3" t="s">
        <v>51</v>
      </c>
    </row>
    <row r="34" spans="1:1" ht="15.75" customHeight="1">
      <c r="A34" s="3" t="s">
        <v>52</v>
      </c>
    </row>
    <row r="35" spans="1:1" ht="15.75" customHeight="1">
      <c r="A35" s="3" t="s">
        <v>53</v>
      </c>
    </row>
    <row r="36" spans="1:1" ht="15.75" customHeight="1">
      <c r="A36" s="3" t="s">
        <v>54</v>
      </c>
    </row>
    <row r="37" spans="1:1" ht="15.75" customHeight="1">
      <c r="A37" s="3" t="s">
        <v>55</v>
      </c>
    </row>
    <row r="38" spans="1:1" ht="15.75" customHeight="1">
      <c r="A38" s="3" t="s">
        <v>56</v>
      </c>
    </row>
    <row r="39" spans="1:1" ht="15.75" customHeight="1">
      <c r="A39" s="3" t="s">
        <v>57</v>
      </c>
    </row>
    <row r="40" spans="1:1" ht="15.75" customHeight="1">
      <c r="A40" s="3" t="s">
        <v>58</v>
      </c>
    </row>
    <row r="41" spans="1:1" ht="15.75" customHeight="1">
      <c r="A41" s="3" t="s">
        <v>59</v>
      </c>
    </row>
    <row r="42" spans="1:1" ht="15.75" customHeight="1">
      <c r="A42" s="3" t="s">
        <v>60</v>
      </c>
    </row>
    <row r="43" spans="1:1" ht="15.75" customHeight="1">
      <c r="A43" s="3" t="s">
        <v>61</v>
      </c>
    </row>
    <row r="44" spans="1:1" ht="15.75" customHeight="1">
      <c r="A44" s="3" t="s">
        <v>62</v>
      </c>
    </row>
    <row r="45" spans="1:1" ht="15.75" customHeight="1">
      <c r="A45" s="3" t="s">
        <v>63</v>
      </c>
    </row>
    <row r="46" spans="1:1" ht="15.75" customHeight="1">
      <c r="A46" s="5" t="s">
        <v>64</v>
      </c>
    </row>
    <row r="47" spans="1:1" ht="15.75" customHeight="1">
      <c r="A47" s="3" t="s">
        <v>65</v>
      </c>
    </row>
    <row r="48" spans="1:1" ht="15.75" customHeight="1">
      <c r="A48" s="5" t="s">
        <v>66</v>
      </c>
    </row>
    <row r="49" spans="1:1" ht="15.75" customHeight="1">
      <c r="A49" s="3" t="s">
        <v>67</v>
      </c>
    </row>
    <row r="50" spans="1:1" ht="15.75" customHeight="1">
      <c r="A50" s="4" t="s">
        <v>68</v>
      </c>
    </row>
    <row r="51" spans="1:1" ht="15.75" customHeight="1">
      <c r="A51" s="3" t="s">
        <v>69</v>
      </c>
    </row>
    <row r="52" spans="1:1" ht="15.75" customHeight="1">
      <c r="A52" s="3" t="s">
        <v>70</v>
      </c>
    </row>
    <row r="53" spans="1:1" ht="15.75" customHeight="1">
      <c r="A53" s="3" t="s">
        <v>71</v>
      </c>
    </row>
    <row r="54" spans="1:1" ht="15.75" customHeight="1">
      <c r="A54" s="3" t="s">
        <v>72</v>
      </c>
    </row>
    <row r="55" spans="1:1" ht="15.75" customHeight="1">
      <c r="A55" s="3" t="s">
        <v>73</v>
      </c>
    </row>
    <row r="56" spans="1:1" ht="15.75" customHeight="1">
      <c r="A56" s="3" t="s">
        <v>74</v>
      </c>
    </row>
    <row r="57" spans="1:1" ht="15.75" customHeight="1">
      <c r="A57" s="3" t="s">
        <v>75</v>
      </c>
    </row>
    <row r="58" spans="1:1" ht="15.75" customHeight="1">
      <c r="A58" s="4" t="s">
        <v>76</v>
      </c>
    </row>
    <row r="59" spans="1:1" ht="15.75" customHeight="1">
      <c r="A59" s="3" t="s">
        <v>77</v>
      </c>
    </row>
    <row r="60" spans="1:1" ht="15.75" customHeight="1">
      <c r="A60" s="5" t="s">
        <v>78</v>
      </c>
    </row>
    <row r="61" spans="1:1" ht="15.75" customHeight="1">
      <c r="A61" s="3" t="s">
        <v>79</v>
      </c>
    </row>
    <row r="62" spans="1:1" ht="15.75" customHeight="1">
      <c r="A62" s="3" t="s">
        <v>80</v>
      </c>
    </row>
    <row r="63" spans="1:1" ht="15.75" customHeight="1">
      <c r="A63" s="3" t="s">
        <v>81</v>
      </c>
    </row>
    <row r="64" spans="1:1" ht="15.75" customHeight="1">
      <c r="A64" s="3" t="s">
        <v>82</v>
      </c>
    </row>
    <row r="65" spans="1:1" ht="15.75" customHeight="1">
      <c r="A65" s="3" t="s">
        <v>83</v>
      </c>
    </row>
    <row r="66" spans="1:1" ht="15.75" customHeight="1">
      <c r="A66" s="3" t="s">
        <v>84</v>
      </c>
    </row>
    <row r="67" spans="1:1" ht="15.75" customHeight="1">
      <c r="A67" s="6" t="s">
        <v>85</v>
      </c>
    </row>
    <row r="68" spans="1:1" ht="15.75" customHeight="1">
      <c r="A68" s="3" t="s">
        <v>86</v>
      </c>
    </row>
    <row r="69" spans="1:1" ht="15.75" customHeight="1">
      <c r="A69" s="3" t="s">
        <v>87</v>
      </c>
    </row>
    <row r="70" spans="1:1" ht="15.75" customHeight="1"/>
    <row r="71" spans="1:1" ht="15.75" customHeight="1"/>
    <row r="72" spans="1:1" ht="15.75" customHeight="1"/>
    <row r="73" spans="1:1" ht="15.75" customHeight="1"/>
    <row r="74" spans="1:1" ht="15.75" customHeight="1"/>
    <row r="75" spans="1:1" ht="15.75" customHeight="1"/>
    <row r="76" spans="1:1" ht="15.75" customHeight="1"/>
    <row r="77" spans="1:1" ht="15.75" customHeight="1"/>
    <row r="78" spans="1:1" ht="15.75" customHeight="1"/>
    <row r="79" spans="1:1" ht="15.75" customHeight="1"/>
    <row r="80" spans="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hyperlinks>
    <hyperlink ref="C25" r:id="rId1" location="NAC388ASec665" xr:uid="{00000000-0004-0000-0400-000000000000}"/>
    <hyperlink ref="A29" r:id="rId2" location="NAC388ASec675" xr:uid="{00000000-0004-0000-0400-000001000000}"/>
    <hyperlink ref="A46" r:id="rId3" location="NRS388ASec270" xr:uid="{00000000-0004-0000-0400-000002000000}"/>
    <hyperlink ref="A48" r:id="rId4" location="NRS388ASec270" xr:uid="{00000000-0004-0000-0400-000003000000}"/>
    <hyperlink ref="A60" r:id="rId5" location="NRS387Sec124" xr:uid="{00000000-0004-0000-0400-000004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election activeCell="E2" sqref="E2:E7"/>
    </sheetView>
  </sheetViews>
  <sheetFormatPr defaultColWidth="14.42578125" defaultRowHeight="15" customHeight="1"/>
  <cols>
    <col min="1" max="1" width="41.7109375" bestFit="1" customWidth="1"/>
    <col min="2" max="2" width="18.140625" bestFit="1" customWidth="1"/>
    <col min="3" max="3" width="9.28515625" bestFit="1" customWidth="1"/>
    <col min="4" max="4" width="8.42578125" bestFit="1" customWidth="1"/>
    <col min="5" max="5" width="9.7109375" bestFit="1" customWidth="1"/>
    <col min="6" max="24" width="8.7109375" customWidth="1"/>
  </cols>
  <sheetData>
    <row r="1" spans="1:5" ht="15" customHeight="1">
      <c r="D1" s="8" t="s">
        <v>90</v>
      </c>
    </row>
    <row r="2" spans="1:5">
      <c r="A2" s="15" t="s">
        <v>107</v>
      </c>
      <c r="B2" s="17" t="s">
        <v>102</v>
      </c>
      <c r="C2" s="18" t="s">
        <v>29</v>
      </c>
      <c r="D2" s="19" t="s">
        <v>89</v>
      </c>
      <c r="E2" s="17" t="s">
        <v>131</v>
      </c>
    </row>
    <row r="3" spans="1:5">
      <c r="A3" s="16" t="s">
        <v>108</v>
      </c>
      <c r="B3" s="14" t="s">
        <v>100</v>
      </c>
      <c r="C3" s="7" t="s">
        <v>30</v>
      </c>
      <c r="D3" s="9">
        <v>1</v>
      </c>
      <c r="E3" s="14" t="s">
        <v>132</v>
      </c>
    </row>
    <row r="4" spans="1:5">
      <c r="A4" s="16" t="s">
        <v>109</v>
      </c>
      <c r="B4" s="14" t="s">
        <v>101</v>
      </c>
      <c r="C4" s="7" t="s">
        <v>15</v>
      </c>
      <c r="D4" s="9">
        <v>2</v>
      </c>
      <c r="E4" s="14" t="s">
        <v>133</v>
      </c>
    </row>
    <row r="5" spans="1:5" ht="15" customHeight="1">
      <c r="A5" s="16" t="s">
        <v>110</v>
      </c>
      <c r="D5" s="9">
        <v>3</v>
      </c>
      <c r="E5" s="14" t="s">
        <v>134</v>
      </c>
    </row>
    <row r="6" spans="1:5" ht="15" customHeight="1">
      <c r="A6" s="16" t="s">
        <v>111</v>
      </c>
      <c r="E6" s="14" t="s">
        <v>135</v>
      </c>
    </row>
    <row r="7" spans="1:5" ht="15" customHeight="1">
      <c r="A7" s="16" t="s">
        <v>112</v>
      </c>
      <c r="E7" s="14"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Sd4ZxfzK5Va9TlaNuWZU78zpVz5p44uKczd4vWBp+bpwooTHPBDczfGhGFl7a+oNvrhg5meGLtMSSQIFzpo4jw==" saltValue="mQSPf3x+Pstt/HvPICYTZA==" spinCount="100000" sheet="1" objects="1" scenarios="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D35C6B-8284-4B9F-8771-13FEDF7E89F6}">
  <ds:schemaRefs>
    <ds:schemaRef ds:uri="http://schemas.microsoft.com/office/2006/documentManagement/types"/>
    <ds:schemaRef ds:uri="http://schemas.microsoft.com/office/2006/metadata/properties"/>
    <ds:schemaRef ds:uri="http://schemas.microsoft.com/office/infopath/2007/PartnerControls"/>
    <ds:schemaRef ds:uri="9224003f-e6e7-470a-941a-44de56618887"/>
    <ds:schemaRef ds:uri="http://purl.org/dc/dcmitype/"/>
    <ds:schemaRef ds:uri="http://purl.org/dc/terms/"/>
    <ds:schemaRef ds:uri="edb173ee-3fb8-4f75-bf43-79a22ca96f2e"/>
    <ds:schemaRef ds:uri="http://schemas.microsoft.com/sharepoint/v3"/>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76DC3BD6-982C-43AC-A540-09CEFC0C670B}"/>
</file>

<file path=customXml/itemProps3.xml><?xml version="1.0" encoding="utf-8"?>
<ds:datastoreItem xmlns:ds="http://schemas.openxmlformats.org/officeDocument/2006/customXml" ds:itemID="{AAD3F6C1-8331-44FD-855A-0214370A4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CERTIFICATION</vt:lpstr>
      <vt:lpstr>Sample Amortization Schedule</vt:lpstr>
      <vt:lpstr>NRS-NAC 388A</vt:lpstr>
      <vt:lpstr>REF</vt:lpstr>
      <vt:lpstr>'NRS-NAC 388A'!NAC388ASec665</vt:lpstr>
      <vt:lpstr>'NRS-NAC 388A'!NAC388ASec670</vt:lpstr>
      <vt:lpstr>'NRS-NAC 388A'!NAC388ASec675</vt:lpstr>
      <vt:lpstr>'NRS-NAC 388A'!NRS388ASec432</vt:lpstr>
      <vt:lpstr>CERTIFICATION!Print_Area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Nate Hanson</dc:creator>
  <cp:keywords/>
  <dc:description/>
  <cp:lastModifiedBy>Katie Broughton</cp:lastModifiedBy>
  <cp:revision/>
  <cp:lastPrinted>2026-01-17T01:48:35Z</cp:lastPrinted>
  <dcterms:created xsi:type="dcterms:W3CDTF">2026-01-05T23:41:57Z</dcterms:created>
  <dcterms:modified xsi:type="dcterms:W3CDTF">2026-01-20T17:59:39Z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