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ThisWorkbook" autoCompressPictures="0"/>
  <mc:AlternateContent xmlns:mc="http://schemas.openxmlformats.org/markup-compatibility/2006">
    <mc:Choice Requires="x15">
      <x15ac:absPath xmlns:x15ac="http://schemas.microsoft.com/office/spreadsheetml/2010/11/ac" url="/Users/matthewbrown/Desktop/"/>
    </mc:Choice>
  </mc:AlternateContent>
  <xr:revisionPtr revIDLastSave="0" documentId="8_{BCD79F44-430C-8D48-86DE-F7F1294EEB40}" xr6:coauthVersionLast="36" xr6:coauthVersionMax="36" xr10:uidLastSave="{00000000-0000-0000-0000-000000000000}"/>
  <bookViews>
    <workbookView xWindow="34940" yWindow="460" windowWidth="29040" windowHeight="15840" tabRatio="631" firstSheet="4" activeTab="4" xr2:uid="{CA47E5A7-69B4-4741-804A-5B2C27028560}"/>
  </bookViews>
  <sheets>
    <sheet name="Instructions" sheetId="36" r:id="rId1"/>
    <sheet name="Cover" sheetId="52" r:id="rId2"/>
    <sheet name="Summary" sheetId="18" r:id="rId3"/>
    <sheet name="Market" sheetId="41" r:id="rId4"/>
    <sheet name="Enrol Staff &amp; Exp" sheetId="13" r:id="rId5"/>
    <sheet name="Facilities" sheetId="46" r:id="rId6"/>
    <sheet name="Facilities wkst" sheetId="53" r:id="rId7"/>
    <sheet name="FFE&amp;T" sheetId="34" r:id="rId8"/>
    <sheet name="Marketing" sheetId="48" r:id="rId9"/>
    <sheet name="Ins" sheetId="47" r:id="rId10"/>
    <sheet name="Incubation" sheetId="39" r:id="rId11"/>
    <sheet name="EMO-CMO" sheetId="45" r:id="rId12"/>
    <sheet name="CF Y1 Mo" sheetId="38" r:id="rId13"/>
    <sheet name="DSA Rates" sheetId="35" r:id="rId14"/>
    <sheet name="Note FFE" sheetId="54" r:id="rId15"/>
    <sheet name="Sheet2" sheetId="55" r:id="rId16"/>
  </sheets>
  <definedNames>
    <definedName name="Counties">'DSA Rates'!$A$10:$A$26</definedName>
    <definedName name="County">'DSA Rates'!$A$10:$A$26</definedName>
    <definedName name="DSA">'DSA Rates'!$B$10:$B$26</definedName>
    <definedName name="HypLink1">#REF!</definedName>
    <definedName name="HypLink10">'FFE&amp;T'!$A$1</definedName>
    <definedName name="HypLink11">Ins!$A$1</definedName>
    <definedName name="HypLink12">Incubation!$A$1</definedName>
    <definedName name="HypLink13">'EMO-CMO'!$A$1</definedName>
    <definedName name="HypLink14">#REF!</definedName>
    <definedName name="HypLink15">'DSA Rates'!$A$1</definedName>
    <definedName name="HypLink16">#REF!</definedName>
    <definedName name="HypLink3">Instructions!$A$1</definedName>
    <definedName name="HypLink4">Summary!$A$1</definedName>
    <definedName name="HypLink5">'CF Y1 Mo'!$A$1</definedName>
    <definedName name="HypLink6">'Enrol Staff &amp; Exp'!$A$1</definedName>
    <definedName name="HypLink7">Market!$A$1</definedName>
    <definedName name="HypLink8">Marketing!$A$1</definedName>
    <definedName name="HypLink9">Facilities!$A$1</definedName>
    <definedName name="_xlnm.Print_Area" localSheetId="12">'CF Y1 Mo'!$A$1:$P$139</definedName>
    <definedName name="_xlnm.Print_Area" localSheetId="1">Cover!$A$1:$G$26</definedName>
    <definedName name="_xlnm.Print_Area" localSheetId="13">'DSA Rates'!$A$1:$K$28</definedName>
    <definedName name="_xlnm.Print_Area" localSheetId="11">'EMO-CMO'!$A$1:$L$60</definedName>
    <definedName name="_xlnm.Print_Area" localSheetId="4">'Enrol Staff &amp; Exp'!$A$1:$N$1589</definedName>
    <definedName name="_xlnm.Print_Area" localSheetId="5">Facilities!$A$1:$M$69</definedName>
    <definedName name="_xlnm.Print_Area" localSheetId="7">'FFE&amp;T'!$A$1:$M$55</definedName>
    <definedName name="_xlnm.Print_Area" localSheetId="10">Incubation!$A$1:$F$54</definedName>
    <definedName name="_xlnm.Print_Area" localSheetId="9">Ins!$A$1:$Q$59</definedName>
    <definedName name="_xlnm.Print_Area" localSheetId="0">Instructions!$A$1:$A$88</definedName>
    <definedName name="_xlnm.Print_Area" localSheetId="8">Marketing!$A$1:$N$46</definedName>
    <definedName name="_xlnm.Print_Area" localSheetId="14">'Note FFE'!$A$1:$I$43</definedName>
    <definedName name="_xlnm.Print_Area" localSheetId="15">Sheet2!$A$1:$K$43</definedName>
    <definedName name="_xlnm.Print_Area" localSheetId="2">Summary!$A$1:$L$173</definedName>
    <definedName name="_xlnm.Print_Titles" localSheetId="12">'CF Y1 Mo'!$7:$12</definedName>
    <definedName name="_xlnm.Print_Titles" localSheetId="11">'EMO-CMO'!$10:$12</definedName>
    <definedName name="_xlnm.Print_Titles" localSheetId="4">'Enrol Staff &amp; Exp'!$9:$11</definedName>
    <definedName name="_xlnm.Print_Titles" localSheetId="6">'Facilities wkst'!$A:$A</definedName>
    <definedName name="_xlnm.Print_Titles" localSheetId="3">Market!$8:$10</definedName>
    <definedName name="_xlnm.Print_Titles" localSheetId="8">Marketing!$11:$13</definedName>
    <definedName name="_xlnm.Print_Titles" localSheetId="2">Summary!$7:$8</definedName>
    <definedName name="SchoolName">Cover!$C$8</definedName>
  </definedNames>
  <calcPr calcId="181029" calcMode="autoNoTable"/>
</workbook>
</file>

<file path=xl/calcChain.xml><?xml version="1.0" encoding="utf-8"?>
<calcChain xmlns="http://schemas.openxmlformats.org/spreadsheetml/2006/main">
  <c r="J36" i="48" l="1"/>
  <c r="K36" i="48" s="1"/>
  <c r="L36" i="48" s="1"/>
  <c r="M36" i="48" s="1"/>
  <c r="N36" i="48" s="1"/>
  <c r="M13" i="46"/>
  <c r="M15" i="46" s="1"/>
  <c r="L13" i="46"/>
  <c r="L15" i="46" s="1"/>
  <c r="K13" i="46"/>
  <c r="K15" i="46" s="1"/>
  <c r="K14" i="46" s="1"/>
  <c r="J13" i="46"/>
  <c r="J15" i="46" s="1"/>
  <c r="I13" i="46"/>
  <c r="I15" i="46" s="1"/>
  <c r="L14" i="46" l="1"/>
  <c r="J14" i="46"/>
  <c r="M14" i="46"/>
  <c r="J33" i="13"/>
  <c r="K33" i="13"/>
  <c r="L33" i="13"/>
  <c r="M33" i="13"/>
  <c r="I33" i="13"/>
  <c r="A1390" i="13" l="1"/>
  <c r="A1242" i="13" l="1"/>
  <c r="B1241" i="13"/>
  <c r="A1241" i="13"/>
  <c r="B1240" i="13"/>
  <c r="A1240" i="13"/>
  <c r="B1239" i="13"/>
  <c r="A1239" i="13"/>
  <c r="A1238" i="13"/>
  <c r="B1237" i="13"/>
  <c r="B1235" i="13"/>
  <c r="A1235" i="13"/>
  <c r="B1234" i="13"/>
  <c r="A1234" i="13"/>
  <c r="B1233" i="13"/>
  <c r="B1232" i="13"/>
  <c r="B1231" i="13"/>
  <c r="B1230" i="13"/>
  <c r="B1229" i="13"/>
  <c r="B1228" i="13"/>
  <c r="B1227" i="13"/>
  <c r="B1226" i="13"/>
  <c r="B1225" i="13"/>
  <c r="B1223" i="13"/>
  <c r="A1223" i="13"/>
  <c r="B1222" i="13"/>
  <c r="A1222" i="13"/>
  <c r="B1221" i="13"/>
  <c r="A1221" i="13"/>
  <c r="B1220" i="13"/>
  <c r="A1220" i="13"/>
  <c r="B1219" i="13"/>
  <c r="A1219" i="13"/>
  <c r="B1218" i="13"/>
  <c r="A1218" i="13"/>
  <c r="B1217" i="13"/>
  <c r="A1217" i="13"/>
  <c r="A1225" i="13"/>
  <c r="A443" i="13" l="1"/>
  <c r="A442" i="13"/>
  <c r="A441" i="13"/>
  <c r="A440" i="13"/>
  <c r="A439" i="13"/>
  <c r="A438" i="13"/>
  <c r="A437" i="13"/>
  <c r="A436" i="13"/>
  <c r="A435" i="13"/>
  <c r="A434" i="13"/>
  <c r="A433" i="13"/>
  <c r="A432" i="13"/>
  <c r="A431" i="13"/>
  <c r="A430" i="13"/>
  <c r="A429" i="13"/>
  <c r="A428" i="13"/>
  <c r="A427" i="13"/>
  <c r="A426" i="13"/>
  <c r="A425" i="13"/>
  <c r="A424" i="13"/>
  <c r="A423" i="13"/>
  <c r="X869" i="13" l="1"/>
  <c r="X863" i="13"/>
  <c r="X857" i="13"/>
  <c r="X851" i="13"/>
  <c r="X845" i="13"/>
  <c r="X839" i="13"/>
  <c r="X833" i="13"/>
  <c r="X827" i="13"/>
  <c r="X820" i="13"/>
  <c r="X814" i="13"/>
  <c r="X808" i="13"/>
  <c r="X802" i="13"/>
  <c r="X796" i="13"/>
  <c r="X790" i="13"/>
  <c r="X784" i="13"/>
  <c r="X773" i="13"/>
  <c r="X762" i="13"/>
  <c r="X761" i="13"/>
  <c r="X750" i="13"/>
  <c r="X749" i="13"/>
  <c r="X738" i="13"/>
  <c r="X731" i="13"/>
  <c r="W869" i="13"/>
  <c r="V869" i="13"/>
  <c r="U869" i="13"/>
  <c r="T869" i="13"/>
  <c r="S869" i="13"/>
  <c r="W863" i="13"/>
  <c r="V863" i="13"/>
  <c r="U863" i="13"/>
  <c r="T863" i="13"/>
  <c r="S863" i="13"/>
  <c r="W857" i="13"/>
  <c r="V857" i="13"/>
  <c r="U857" i="13"/>
  <c r="T857" i="13"/>
  <c r="S857" i="13"/>
  <c r="W851" i="13"/>
  <c r="V851" i="13"/>
  <c r="U851" i="13"/>
  <c r="T851" i="13"/>
  <c r="S851" i="13"/>
  <c r="W845" i="13"/>
  <c r="V845" i="13"/>
  <c r="U845" i="13"/>
  <c r="T845" i="13"/>
  <c r="S845" i="13"/>
  <c r="W839" i="13"/>
  <c r="V839" i="13"/>
  <c r="U839" i="13"/>
  <c r="T839" i="13"/>
  <c r="S839" i="13"/>
  <c r="W833" i="13"/>
  <c r="V833" i="13"/>
  <c r="U833" i="13"/>
  <c r="T833" i="13"/>
  <c r="S833" i="13"/>
  <c r="W827" i="13"/>
  <c r="V827" i="13"/>
  <c r="U827" i="13"/>
  <c r="T827" i="13"/>
  <c r="S827" i="13"/>
  <c r="W820" i="13"/>
  <c r="V820" i="13"/>
  <c r="U820" i="13"/>
  <c r="T820" i="13"/>
  <c r="S820" i="13"/>
  <c r="W814" i="13"/>
  <c r="V814" i="13"/>
  <c r="U814" i="13"/>
  <c r="T814" i="13"/>
  <c r="S814" i="13"/>
  <c r="W808" i="13"/>
  <c r="V808" i="13"/>
  <c r="U808" i="13"/>
  <c r="T808" i="13"/>
  <c r="S808" i="13"/>
  <c r="W802" i="13"/>
  <c r="V802" i="13"/>
  <c r="U802" i="13"/>
  <c r="T802" i="13"/>
  <c r="S802" i="13"/>
  <c r="W796" i="13"/>
  <c r="V796" i="13"/>
  <c r="U796" i="13"/>
  <c r="T796" i="13"/>
  <c r="S796" i="13"/>
  <c r="W790" i="13"/>
  <c r="V790" i="13"/>
  <c r="U790" i="13"/>
  <c r="T790" i="13"/>
  <c r="S790" i="13"/>
  <c r="W784" i="13"/>
  <c r="V784" i="13"/>
  <c r="U784" i="13"/>
  <c r="T784" i="13"/>
  <c r="S784" i="13"/>
  <c r="W773" i="13"/>
  <c r="V773" i="13"/>
  <c r="U773" i="13"/>
  <c r="T773" i="13"/>
  <c r="S773" i="13"/>
  <c r="W731" i="13"/>
  <c r="V731" i="13"/>
  <c r="T731" i="13"/>
  <c r="S731" i="13"/>
  <c r="A770" i="13"/>
  <c r="A769" i="13"/>
  <c r="A768" i="13"/>
  <c r="W762" i="13" l="1"/>
  <c r="V762" i="13"/>
  <c r="U762" i="13"/>
  <c r="T762" i="13"/>
  <c r="S762" i="13"/>
  <c r="W761" i="13"/>
  <c r="V761" i="13"/>
  <c r="U761" i="13"/>
  <c r="T761" i="13"/>
  <c r="S761" i="13"/>
  <c r="W750" i="13"/>
  <c r="V750" i="13"/>
  <c r="U750" i="13"/>
  <c r="T750" i="13"/>
  <c r="S750" i="13"/>
  <c r="W749" i="13"/>
  <c r="V749" i="13"/>
  <c r="U749" i="13"/>
  <c r="T749" i="13"/>
  <c r="S749" i="13"/>
  <c r="W738" i="13"/>
  <c r="V738" i="13"/>
  <c r="U738" i="13"/>
  <c r="T738" i="13"/>
  <c r="S738" i="13"/>
  <c r="B761" i="13"/>
  <c r="M45" i="34" l="1"/>
  <c r="L45" i="34"/>
  <c r="K45" i="34"/>
  <c r="J45" i="34"/>
  <c r="I45" i="34"/>
  <c r="H45" i="34"/>
  <c r="A2" i="54" l="1"/>
  <c r="A5" i="55"/>
  <c r="G17" i="41" l="1"/>
  <c r="A5" i="54" l="1"/>
  <c r="Q57" i="47" l="1"/>
  <c r="P57" i="47"/>
  <c r="O57" i="47"/>
  <c r="N57" i="47"/>
  <c r="M57" i="47"/>
  <c r="L57" i="47"/>
  <c r="Q56" i="47"/>
  <c r="P56" i="47"/>
  <c r="O56" i="47"/>
  <c r="N56" i="47"/>
  <c r="M56" i="47"/>
  <c r="L56" i="47"/>
  <c r="Q55" i="47"/>
  <c r="P55" i="47"/>
  <c r="O55" i="47"/>
  <c r="N55" i="47"/>
  <c r="M55" i="47"/>
  <c r="L55" i="47"/>
  <c r="Q54" i="47"/>
  <c r="P54" i="47"/>
  <c r="O54" i="47"/>
  <c r="N54" i="47"/>
  <c r="M54" i="47"/>
  <c r="L54" i="47"/>
  <c r="Q53" i="47"/>
  <c r="P53" i="47"/>
  <c r="O53" i="47"/>
  <c r="N53" i="47"/>
  <c r="M53" i="47"/>
  <c r="L53" i="47"/>
  <c r="Q52" i="47"/>
  <c r="P52" i="47"/>
  <c r="O52" i="47"/>
  <c r="N52" i="47"/>
  <c r="M52" i="47"/>
  <c r="L52" i="47"/>
  <c r="Q51" i="47"/>
  <c r="P51" i="47"/>
  <c r="O51" i="47"/>
  <c r="N51" i="47"/>
  <c r="M51" i="47"/>
  <c r="L51" i="47"/>
  <c r="Q50" i="47"/>
  <c r="P50" i="47"/>
  <c r="O50" i="47"/>
  <c r="N50" i="47"/>
  <c r="M50" i="47"/>
  <c r="L50" i="47"/>
  <c r="Q49" i="47"/>
  <c r="P49" i="47"/>
  <c r="O49" i="47"/>
  <c r="N49" i="47"/>
  <c r="M49" i="47"/>
  <c r="L49" i="47"/>
  <c r="Q48" i="47"/>
  <c r="P48" i="47"/>
  <c r="O48" i="47"/>
  <c r="N48" i="47"/>
  <c r="M48" i="47"/>
  <c r="L48" i="47"/>
  <c r="Q47" i="47"/>
  <c r="P47" i="47"/>
  <c r="O47" i="47"/>
  <c r="N47" i="47"/>
  <c r="M47" i="47"/>
  <c r="L47" i="47"/>
  <c r="Q46" i="47"/>
  <c r="P46" i="47"/>
  <c r="O46" i="47"/>
  <c r="N46" i="47"/>
  <c r="M46" i="47"/>
  <c r="L46" i="47"/>
  <c r="Q45" i="47"/>
  <c r="P45" i="47"/>
  <c r="O45" i="47"/>
  <c r="N45" i="47"/>
  <c r="M45" i="47"/>
  <c r="L45" i="47"/>
  <c r="Q44" i="47"/>
  <c r="P44" i="47"/>
  <c r="O44" i="47"/>
  <c r="N44" i="47"/>
  <c r="M44" i="47"/>
  <c r="L44" i="47"/>
  <c r="Q43" i="47"/>
  <c r="P43" i="47"/>
  <c r="O43" i="47"/>
  <c r="N43" i="47"/>
  <c r="M43" i="47"/>
  <c r="L43" i="47"/>
  <c r="Q42" i="47"/>
  <c r="P42" i="47"/>
  <c r="O42" i="47"/>
  <c r="N42" i="47"/>
  <c r="M42" i="47"/>
  <c r="L42" i="47"/>
  <c r="Q41" i="47"/>
  <c r="P41" i="47"/>
  <c r="O41" i="47"/>
  <c r="N41" i="47"/>
  <c r="M41" i="47"/>
  <c r="L41" i="47"/>
  <c r="Q40" i="47"/>
  <c r="P40" i="47"/>
  <c r="O40" i="47"/>
  <c r="N40" i="47"/>
  <c r="M40" i="47"/>
  <c r="L40" i="47"/>
  <c r="Q39" i="47"/>
  <c r="P39" i="47"/>
  <c r="O39" i="47"/>
  <c r="N39" i="47"/>
  <c r="M39" i="47"/>
  <c r="L39" i="47"/>
  <c r="Q38" i="47"/>
  <c r="P38" i="47"/>
  <c r="O38" i="47"/>
  <c r="N38" i="47"/>
  <c r="M38" i="47"/>
  <c r="L38" i="47"/>
  <c r="Q37" i="47"/>
  <c r="P37" i="47"/>
  <c r="O37" i="47"/>
  <c r="N37" i="47"/>
  <c r="M37" i="47"/>
  <c r="L37" i="47"/>
  <c r="Q36" i="47"/>
  <c r="P36" i="47"/>
  <c r="O36" i="47"/>
  <c r="N36" i="47"/>
  <c r="M36" i="47"/>
  <c r="L36" i="47"/>
  <c r="Q35" i="47"/>
  <c r="P35" i="47"/>
  <c r="O35" i="47"/>
  <c r="N35" i="47"/>
  <c r="M35" i="47"/>
  <c r="L35" i="47"/>
  <c r="Q34" i="47"/>
  <c r="P34" i="47"/>
  <c r="O34" i="47"/>
  <c r="N34" i="47"/>
  <c r="M34" i="47"/>
  <c r="L34" i="47"/>
  <c r="Q33" i="47"/>
  <c r="P33" i="47"/>
  <c r="O33" i="47"/>
  <c r="N33" i="47"/>
  <c r="M33" i="47"/>
  <c r="L33" i="47"/>
  <c r="Q32" i="47"/>
  <c r="P32" i="47"/>
  <c r="O32" i="47"/>
  <c r="N32" i="47"/>
  <c r="M32" i="47"/>
  <c r="L32" i="47"/>
  <c r="Q31" i="47"/>
  <c r="P31" i="47"/>
  <c r="O31" i="47"/>
  <c r="N31" i="47"/>
  <c r="M31" i="47"/>
  <c r="L31" i="47"/>
  <c r="Q30" i="47"/>
  <c r="P30" i="47"/>
  <c r="O30" i="47"/>
  <c r="N30" i="47"/>
  <c r="M30" i="47"/>
  <c r="L30" i="47"/>
  <c r="Q29" i="47"/>
  <c r="P29" i="47"/>
  <c r="O29" i="47"/>
  <c r="N29" i="47"/>
  <c r="M29" i="47"/>
  <c r="L29" i="47"/>
  <c r="Q28" i="47"/>
  <c r="P28" i="47"/>
  <c r="O28" i="47"/>
  <c r="N28" i="47"/>
  <c r="M28" i="47"/>
  <c r="L28" i="47"/>
  <c r="Q27" i="47"/>
  <c r="P27" i="47"/>
  <c r="O27" i="47"/>
  <c r="N27" i="47"/>
  <c r="M27" i="47"/>
  <c r="L27" i="47"/>
  <c r="Q26" i="47"/>
  <c r="P26" i="47"/>
  <c r="O26" i="47"/>
  <c r="N26" i="47"/>
  <c r="M26" i="47"/>
  <c r="L26" i="47"/>
  <c r="Q25" i="47"/>
  <c r="P25" i="47"/>
  <c r="O25" i="47"/>
  <c r="N25" i="47"/>
  <c r="M25" i="47"/>
  <c r="L25" i="47"/>
  <c r="Q24" i="47"/>
  <c r="P24" i="47"/>
  <c r="O24" i="47"/>
  <c r="N24" i="47"/>
  <c r="M24" i="47"/>
  <c r="L24" i="47"/>
  <c r="Q23" i="47"/>
  <c r="P23" i="47"/>
  <c r="O23" i="47"/>
  <c r="N23" i="47"/>
  <c r="M23" i="47"/>
  <c r="L23" i="47"/>
  <c r="Q22" i="47"/>
  <c r="P22" i="47"/>
  <c r="O22" i="47"/>
  <c r="N22" i="47"/>
  <c r="M22" i="47"/>
  <c r="L22" i="47"/>
  <c r="Q21" i="47"/>
  <c r="P21" i="47"/>
  <c r="O21" i="47"/>
  <c r="N21" i="47"/>
  <c r="M21" i="47"/>
  <c r="L21" i="47"/>
  <c r="Q20" i="47"/>
  <c r="P20" i="47"/>
  <c r="O20" i="47"/>
  <c r="N20" i="47"/>
  <c r="M20" i="47"/>
  <c r="L20" i="47"/>
  <c r="Q19" i="47"/>
  <c r="P19" i="47"/>
  <c r="O19" i="47"/>
  <c r="N19" i="47"/>
  <c r="M19" i="47"/>
  <c r="L19" i="47"/>
  <c r="Q18" i="47"/>
  <c r="P18" i="47"/>
  <c r="O18" i="47"/>
  <c r="N18" i="47"/>
  <c r="M18" i="47"/>
  <c r="L18" i="47"/>
  <c r="Q17" i="47"/>
  <c r="P17" i="47"/>
  <c r="O17" i="47"/>
  <c r="N17" i="47"/>
  <c r="M17" i="47"/>
  <c r="L17" i="47"/>
  <c r="Q16" i="47"/>
  <c r="P16" i="47"/>
  <c r="O16" i="47"/>
  <c r="N16" i="47"/>
  <c r="M16" i="47"/>
  <c r="L16" i="47"/>
  <c r="Q15" i="47"/>
  <c r="P15" i="47"/>
  <c r="O15" i="47"/>
  <c r="N15" i="47"/>
  <c r="M15" i="47"/>
  <c r="L15" i="47"/>
  <c r="Q14" i="47"/>
  <c r="P14" i="47"/>
  <c r="O14" i="47"/>
  <c r="N14" i="47"/>
  <c r="M14" i="47"/>
  <c r="L14" i="47"/>
  <c r="Q13" i="47"/>
  <c r="P13" i="47"/>
  <c r="O13" i="47"/>
  <c r="N13" i="47"/>
  <c r="M13" i="47"/>
  <c r="L13" i="47"/>
  <c r="N34" i="48"/>
  <c r="M34" i="48"/>
  <c r="L34" i="48"/>
  <c r="K34" i="48"/>
  <c r="J34" i="48"/>
  <c r="I34" i="48"/>
  <c r="H34" i="48"/>
  <c r="J75" i="41"/>
  <c r="A1588" i="13"/>
  <c r="A1587" i="13"/>
  <c r="A1586" i="13"/>
  <c r="B68" i="46" l="1"/>
  <c r="G24" i="46"/>
  <c r="H24" i="46" l="1"/>
  <c r="G26" i="46"/>
  <c r="G67" i="46" s="1"/>
  <c r="H15" i="46"/>
  <c r="I14" i="46" s="1"/>
  <c r="H17" i="46" l="1"/>
  <c r="I17" i="46"/>
  <c r="J17" i="46" l="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B58" i="41"/>
  <c r="A58" i="41"/>
  <c r="B57" i="41"/>
  <c r="A57" i="41"/>
  <c r="B56" i="41"/>
  <c r="A56" i="41"/>
  <c r="B55" i="41"/>
  <c r="A55" i="41"/>
  <c r="B54" i="41"/>
  <c r="A54" i="41"/>
  <c r="B53" i="41"/>
  <c r="A53" i="41"/>
  <c r="B52" i="41"/>
  <c r="A52" i="41"/>
  <c r="B51" i="41"/>
  <c r="A51" i="41"/>
  <c r="B50" i="41"/>
  <c r="A50" i="41"/>
  <c r="B49" i="41"/>
  <c r="A49" i="41"/>
  <c r="A88" i="41"/>
  <c r="A87" i="41"/>
  <c r="A86" i="41"/>
  <c r="A85" i="41"/>
  <c r="A84" i="41"/>
  <c r="A83" i="41"/>
  <c r="A82" i="41"/>
  <c r="A81" i="41"/>
  <c r="A80" i="41"/>
  <c r="A79" i="41"/>
  <c r="B88" i="41"/>
  <c r="B87" i="41"/>
  <c r="B86" i="41"/>
  <c r="B85" i="41"/>
  <c r="B84" i="41"/>
  <c r="B83" i="41"/>
  <c r="B82" i="41"/>
  <c r="B81" i="41"/>
  <c r="B80" i="41"/>
  <c r="B79" i="41"/>
  <c r="K12" i="53" l="1"/>
  <c r="G35" i="53"/>
  <c r="G36" i="53" s="1"/>
  <c r="G37" i="53" s="1"/>
  <c r="G38" i="53" s="1"/>
  <c r="I35" i="53"/>
  <c r="M12" i="53"/>
  <c r="G12" i="53"/>
  <c r="K17" i="46"/>
  <c r="I36" i="53"/>
  <c r="I37" i="53" s="1"/>
  <c r="I38" i="53" s="1"/>
  <c r="G55" i="34"/>
  <c r="G54" i="34"/>
  <c r="G43" i="48"/>
  <c r="G42" i="48"/>
  <c r="G41" i="48"/>
  <c r="G40" i="48"/>
  <c r="G39" i="48"/>
  <c r="G38" i="48"/>
  <c r="G37" i="48"/>
  <c r="G36" i="48"/>
  <c r="H44" i="48"/>
  <c r="G56" i="34" l="1"/>
  <c r="M17" i="46"/>
  <c r="L17" i="46"/>
  <c r="I80" i="46"/>
  <c r="J80" i="46"/>
  <c r="K80" i="46"/>
  <c r="L80" i="46"/>
  <c r="M80" i="46"/>
  <c r="I79" i="46"/>
  <c r="J79" i="46"/>
  <c r="K79" i="46"/>
  <c r="L79" i="46"/>
  <c r="M79" i="46"/>
  <c r="H79" i="46"/>
  <c r="B51" i="38" s="1"/>
  <c r="I59" i="46"/>
  <c r="J59" i="46"/>
  <c r="K59" i="46"/>
  <c r="L59" i="46"/>
  <c r="M59" i="46"/>
  <c r="H59" i="46"/>
  <c r="I60" i="46"/>
  <c r="J60" i="46"/>
  <c r="K60" i="46"/>
  <c r="L60" i="46"/>
  <c r="M60" i="46"/>
  <c r="H60" i="46"/>
  <c r="I73" i="46"/>
  <c r="G37" i="18" s="1"/>
  <c r="J73" i="46"/>
  <c r="H37" i="18" s="1"/>
  <c r="K73" i="46"/>
  <c r="I37" i="18" s="1"/>
  <c r="L73" i="46"/>
  <c r="J37" i="18" s="1"/>
  <c r="M73" i="46"/>
  <c r="K37" i="18" s="1"/>
  <c r="H73" i="46"/>
  <c r="F37" i="18" s="1"/>
  <c r="L51" i="38" l="1"/>
  <c r="F51" i="38"/>
  <c r="G51" i="38"/>
  <c r="P51" i="38"/>
  <c r="J51" i="38"/>
  <c r="E51" i="38"/>
  <c r="M51" i="38"/>
  <c r="N51" i="38"/>
  <c r="O51" i="38"/>
  <c r="H51" i="38"/>
  <c r="I51" i="38"/>
  <c r="K51" i="38"/>
  <c r="I24" i="46"/>
  <c r="J24" i="46" l="1"/>
  <c r="K59" i="47"/>
  <c r="E70" i="18" s="1"/>
  <c r="J57" i="47"/>
  <c r="J56" i="47"/>
  <c r="J55" i="47"/>
  <c r="J54" i="47"/>
  <c r="J53" i="47"/>
  <c r="J52" i="47"/>
  <c r="J51" i="47"/>
  <c r="J50" i="47"/>
  <c r="J49" i="47"/>
  <c r="J48" i="47"/>
  <c r="J47" i="47"/>
  <c r="J46" i="47"/>
  <c r="J45" i="47"/>
  <c r="J44" i="47"/>
  <c r="J43" i="47"/>
  <c r="J42" i="47"/>
  <c r="J41" i="47"/>
  <c r="J40" i="47"/>
  <c r="J39" i="47"/>
  <c r="J38" i="47"/>
  <c r="J14" i="47"/>
  <c r="J13" i="47"/>
  <c r="A1237" i="13"/>
  <c r="E24" i="39"/>
  <c r="E23" i="39"/>
  <c r="E50" i="39"/>
  <c r="E84" i="18" l="1"/>
  <c r="K24" i="46"/>
  <c r="G6" i="34"/>
  <c r="L24" i="46" l="1"/>
  <c r="D27" i="41"/>
  <c r="D26" i="41"/>
  <c r="D25" i="41"/>
  <c r="D24" i="41"/>
  <c r="D23" i="41"/>
  <c r="D22" i="41"/>
  <c r="D21" i="41"/>
  <c r="D20" i="41"/>
  <c r="D19" i="41"/>
  <c r="D18" i="41"/>
  <c r="D17" i="41"/>
  <c r="D16" i="41"/>
  <c r="D15" i="41"/>
  <c r="D13" i="41"/>
  <c r="A755" i="13"/>
  <c r="A754" i="13"/>
  <c r="A753" i="13"/>
  <c r="A752" i="13"/>
  <c r="A751" i="13"/>
  <c r="A750" i="13"/>
  <c r="B749" i="13"/>
  <c r="A749" i="13"/>
  <c r="A738" i="13"/>
  <c r="A748" i="13"/>
  <c r="A747" i="13"/>
  <c r="A746" i="13"/>
  <c r="A745" i="13"/>
  <c r="A744" i="13"/>
  <c r="A743" i="13"/>
  <c r="A742" i="13"/>
  <c r="A741" i="13"/>
  <c r="A740" i="13"/>
  <c r="A739" i="13"/>
  <c r="A585" i="13"/>
  <c r="A604" i="13"/>
  <c r="A603" i="13"/>
  <c r="A602" i="13"/>
  <c r="A601" i="13"/>
  <c r="A600" i="13"/>
  <c r="A599" i="13"/>
  <c r="A598" i="13"/>
  <c r="A597" i="13"/>
  <c r="A596" i="13"/>
  <c r="A595" i="13"/>
  <c r="A594" i="13"/>
  <c r="A593" i="13"/>
  <c r="A592" i="13"/>
  <c r="A591" i="13"/>
  <c r="A590" i="13"/>
  <c r="A589" i="13"/>
  <c r="A588" i="13"/>
  <c r="A587" i="13"/>
  <c r="A586" i="13"/>
  <c r="A605"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B596" i="13"/>
  <c r="B620" i="13"/>
  <c r="A674"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67" i="13"/>
  <c r="A766" i="13"/>
  <c r="A765" i="13"/>
  <c r="A764" i="13"/>
  <c r="A763" i="13"/>
  <c r="A762" i="13"/>
  <c r="A761" i="13"/>
  <c r="A759" i="13"/>
  <c r="A758" i="13"/>
  <c r="A757" i="13"/>
  <c r="A756" i="13"/>
  <c r="A736" i="13"/>
  <c r="A735" i="13"/>
  <c r="A734" i="13"/>
  <c r="A733" i="13"/>
  <c r="A732" i="13"/>
  <c r="A731" i="13"/>
  <c r="A730" i="13"/>
  <c r="A729" i="13"/>
  <c r="A728" i="13"/>
  <c r="A727" i="13"/>
  <c r="A726" i="13"/>
  <c r="A725" i="13"/>
  <c r="A724" i="13"/>
  <c r="A723" i="13"/>
  <c r="A722" i="13"/>
  <c r="A721" i="13"/>
  <c r="A720" i="13"/>
  <c r="A828" i="13"/>
  <c r="B1216" i="13"/>
  <c r="B1215" i="13"/>
  <c r="B1214" i="13"/>
  <c r="B1213" i="13"/>
  <c r="B1211" i="13"/>
  <c r="B1210" i="13"/>
  <c r="B1209" i="13"/>
  <c r="B1208" i="13"/>
  <c r="A1236" i="13"/>
  <c r="A1233" i="13"/>
  <c r="A1232" i="13"/>
  <c r="A1231" i="13"/>
  <c r="A1230" i="13"/>
  <c r="A1229" i="13"/>
  <c r="A1228" i="13"/>
  <c r="A1227" i="13"/>
  <c r="A1226" i="13"/>
  <c r="A1224" i="13"/>
  <c r="A1216" i="13"/>
  <c r="A1215" i="13"/>
  <c r="A1214" i="13"/>
  <c r="A1213" i="13"/>
  <c r="A1212" i="13"/>
  <c r="A1211" i="13"/>
  <c r="A1210" i="13"/>
  <c r="A1209" i="13"/>
  <c r="A1208" i="13"/>
  <c r="A1207" i="13"/>
  <c r="A1206" i="13"/>
  <c r="A1205" i="13"/>
  <c r="A1204" i="13"/>
  <c r="A1203" i="13"/>
  <c r="A1202" i="13"/>
  <c r="A1201" i="13"/>
  <c r="A1200" i="13"/>
  <c r="A1199" i="13"/>
  <c r="B1197" i="13"/>
  <c r="B1196" i="13"/>
  <c r="A1198" i="13"/>
  <c r="A1197" i="13"/>
  <c r="A1196" i="13"/>
  <c r="A1195" i="13"/>
  <c r="A1194" i="13"/>
  <c r="B1245" i="13"/>
  <c r="B1244" i="13"/>
  <c r="B1243" i="13"/>
  <c r="B1251" i="13"/>
  <c r="B1250" i="13"/>
  <c r="B1249" i="13"/>
  <c r="B1248" i="13"/>
  <c r="B1247" i="13"/>
  <c r="B1257" i="13"/>
  <c r="B1256" i="13"/>
  <c r="B1255" i="13"/>
  <c r="B1254" i="13"/>
  <c r="B1253" i="13"/>
  <c r="B1263" i="13"/>
  <c r="B1262" i="13"/>
  <c r="B1261" i="13"/>
  <c r="B1260" i="13"/>
  <c r="B1259"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70" i="13"/>
  <c r="A1269" i="13"/>
  <c r="A1268" i="13"/>
  <c r="A1267" i="13"/>
  <c r="A1266" i="13"/>
  <c r="A1265" i="13"/>
  <c r="B1269" i="13"/>
  <c r="B1268" i="13"/>
  <c r="B1267" i="13"/>
  <c r="B1266" i="13"/>
  <c r="B1265" i="13"/>
  <c r="B1275" i="13"/>
  <c r="B1274" i="13"/>
  <c r="B1273" i="13"/>
  <c r="B1272" i="13"/>
  <c r="B1271" i="13"/>
  <c r="B1281" i="13"/>
  <c r="B1280" i="13"/>
  <c r="B1279" i="13"/>
  <c r="B1278" i="13"/>
  <c r="B1277" i="13"/>
  <c r="B1287" i="13"/>
  <c r="B1286" i="13"/>
  <c r="B1285" i="13"/>
  <c r="B1284" i="13"/>
  <c r="B1283" i="13"/>
  <c r="B1294" i="13"/>
  <c r="B1293" i="13"/>
  <c r="B1292" i="13"/>
  <c r="B1291" i="13"/>
  <c r="B1290" i="13"/>
  <c r="B1289" i="13"/>
  <c r="B1296" i="13"/>
  <c r="M620" i="13"/>
  <c r="L620" i="13"/>
  <c r="K620" i="13"/>
  <c r="J620" i="13"/>
  <c r="I620" i="13"/>
  <c r="H620" i="13"/>
  <c r="G620" i="13"/>
  <c r="D12" i="41" l="1"/>
  <c r="M24" i="46"/>
  <c r="D28" i="41"/>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3" i="13"/>
  <c r="A1084"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7" i="13"/>
  <c r="A466" i="13"/>
  <c r="A468" i="13"/>
  <c r="B470" i="13"/>
  <c r="B469" i="13"/>
  <c r="B468" i="13"/>
  <c r="B476" i="13"/>
  <c r="B475" i="13"/>
  <c r="B474" i="13"/>
  <c r="B473" i="13"/>
  <c r="B472" i="13"/>
  <c r="B482" i="13"/>
  <c r="B481" i="13"/>
  <c r="B480" i="13"/>
  <c r="B479" i="13"/>
  <c r="B478" i="13"/>
  <c r="B488" i="13"/>
  <c r="B487" i="13"/>
  <c r="B486" i="13"/>
  <c r="B485" i="13"/>
  <c r="B484" i="13"/>
  <c r="B494" i="13"/>
  <c r="B493" i="13"/>
  <c r="B492" i="13"/>
  <c r="B491" i="13"/>
  <c r="B490" i="13"/>
  <c r="B500" i="13"/>
  <c r="B499" i="13"/>
  <c r="B498" i="13"/>
  <c r="B497" i="13"/>
  <c r="B496" i="13"/>
  <c r="B506" i="13"/>
  <c r="B505" i="13"/>
  <c r="B504" i="13"/>
  <c r="B503" i="13"/>
  <c r="B502" i="13"/>
  <c r="B512" i="13"/>
  <c r="B511" i="13"/>
  <c r="B510" i="13"/>
  <c r="B509" i="13"/>
  <c r="B508" i="13"/>
  <c r="B519" i="13"/>
  <c r="B518" i="13"/>
  <c r="B517" i="13"/>
  <c r="B516" i="13"/>
  <c r="B515" i="13"/>
  <c r="B514" i="13"/>
  <c r="B521"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B325" i="13"/>
  <c r="B623" i="13" s="1"/>
  <c r="B324" i="13"/>
  <c r="B622" i="13" s="1"/>
  <c r="B323" i="13"/>
  <c r="B621" i="13" s="1"/>
  <c r="B331" i="13"/>
  <c r="B629" i="13" s="1"/>
  <c r="B330" i="13"/>
  <c r="B628" i="13" s="1"/>
  <c r="B329" i="13"/>
  <c r="B627" i="13" s="1"/>
  <c r="B328" i="13"/>
  <c r="B626" i="13" s="1"/>
  <c r="B327" i="13"/>
  <c r="B625" i="13" s="1"/>
  <c r="B337" i="13"/>
  <c r="B635" i="13" s="1"/>
  <c r="B336" i="13"/>
  <c r="B634" i="13" s="1"/>
  <c r="B335" i="13"/>
  <c r="B633" i="13" s="1"/>
  <c r="B334" i="13"/>
  <c r="B632" i="13" s="1"/>
  <c r="B333" i="13"/>
  <c r="B631" i="13" s="1"/>
  <c r="B343" i="13"/>
  <c r="B641" i="13" s="1"/>
  <c r="B342" i="13"/>
  <c r="B640" i="13" s="1"/>
  <c r="B341" i="13"/>
  <c r="B639" i="13" s="1"/>
  <c r="B340" i="13"/>
  <c r="B638" i="13" s="1"/>
  <c r="B339" i="13"/>
  <c r="B637" i="13" s="1"/>
  <c r="B794" i="13" l="1"/>
  <c r="B947" i="13"/>
  <c r="B787" i="13"/>
  <c r="B940" i="13"/>
  <c r="B780" i="13"/>
  <c r="B933" i="13"/>
  <c r="B928" i="13"/>
  <c r="B775" i="13"/>
  <c r="B944" i="13"/>
  <c r="B791" i="13"/>
  <c r="B948" i="13"/>
  <c r="B795" i="13"/>
  <c r="B941" i="13"/>
  <c r="B788" i="13"/>
  <c r="B934" i="13"/>
  <c r="B781" i="13"/>
  <c r="B776" i="13"/>
  <c r="B929" i="13"/>
  <c r="B945" i="13"/>
  <c r="B792" i="13"/>
  <c r="B938" i="13"/>
  <c r="B785" i="13"/>
  <c r="B942" i="13"/>
  <c r="B789" i="13"/>
  <c r="B935" i="13"/>
  <c r="B782" i="13"/>
  <c r="B777" i="13"/>
  <c r="B930" i="13"/>
  <c r="B793" i="13"/>
  <c r="B946" i="13"/>
  <c r="B786" i="13"/>
  <c r="B939" i="13"/>
  <c r="B779" i="13"/>
  <c r="B932" i="13"/>
  <c r="B783" i="13"/>
  <c r="B936"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193" i="13"/>
  <c r="A1192" i="13"/>
  <c r="A1191" i="13"/>
  <c r="A1190" i="13"/>
  <c r="A1189" i="13"/>
  <c r="A1188" i="13"/>
  <c r="A1187" i="13"/>
  <c r="A1186" i="13"/>
  <c r="A1185" i="13"/>
  <c r="A1184" i="13"/>
  <c r="A1183" i="13"/>
  <c r="A1182" i="13"/>
  <c r="A1181" i="13"/>
  <c r="A1180" i="13"/>
  <c r="B1135" i="13"/>
  <c r="B1134" i="13"/>
  <c r="B1133" i="13"/>
  <c r="B1132" i="13"/>
  <c r="B1131" i="13"/>
  <c r="B1130" i="13"/>
  <c r="B1128" i="13"/>
  <c r="B1127" i="13"/>
  <c r="B1126" i="13"/>
  <c r="B1125" i="13"/>
  <c r="B1124" i="13"/>
  <c r="B1122" i="13"/>
  <c r="B1121" i="13"/>
  <c r="B1120" i="13"/>
  <c r="B1119" i="13"/>
  <c r="B1118" i="13"/>
  <c r="B1116" i="13"/>
  <c r="B1115" i="13"/>
  <c r="B1114" i="13"/>
  <c r="B1113" i="13"/>
  <c r="B1112" i="13"/>
  <c r="B1110" i="13"/>
  <c r="B1109" i="13"/>
  <c r="B1108" i="13"/>
  <c r="B1107" i="13"/>
  <c r="B1106" i="13"/>
  <c r="B1104" i="13"/>
  <c r="B1103" i="13"/>
  <c r="B1102" i="13"/>
  <c r="B1101" i="13"/>
  <c r="B1100" i="13"/>
  <c r="B1098" i="13"/>
  <c r="B1097" i="13"/>
  <c r="B1096" i="13"/>
  <c r="B1095" i="13"/>
  <c r="B1094" i="13"/>
  <c r="B1092" i="13"/>
  <c r="B1091" i="13"/>
  <c r="B1090" i="13"/>
  <c r="B1089" i="13"/>
  <c r="B1088" i="13"/>
  <c r="B1086" i="13"/>
  <c r="B1085" i="13"/>
  <c r="B1084" i="13"/>
  <c r="B1069" i="13"/>
  <c r="A1082" i="13"/>
  <c r="A1081" i="13"/>
  <c r="A1080" i="13"/>
  <c r="A1079" i="13"/>
  <c r="A1078" i="13"/>
  <c r="A1077" i="13"/>
  <c r="A1076" i="13"/>
  <c r="A1075" i="13"/>
  <c r="A1074" i="13"/>
  <c r="A1073" i="13"/>
  <c r="A1072" i="13"/>
  <c r="A1071" i="13"/>
  <c r="A1070" i="13"/>
  <c r="A1069" i="13"/>
  <c r="A1068" i="13"/>
  <c r="B1067" i="13"/>
  <c r="A1067" i="13"/>
  <c r="B1066" i="13"/>
  <c r="A1066" i="13"/>
  <c r="B1065" i="13"/>
  <c r="A1065" i="13"/>
  <c r="B1064" i="13"/>
  <c r="A1064" i="13"/>
  <c r="A1063" i="13"/>
  <c r="A1062" i="13"/>
  <c r="A1061" i="13"/>
  <c r="A1060" i="13"/>
  <c r="A1059" i="13"/>
  <c r="A1058" i="13"/>
  <c r="A1057" i="13"/>
  <c r="A1056" i="13"/>
  <c r="A1055" i="13"/>
  <c r="A1054" i="13"/>
  <c r="B1063" i="13"/>
  <c r="B1062" i="13"/>
  <c r="B1061" i="13"/>
  <c r="B1060" i="13"/>
  <c r="B1059" i="13"/>
  <c r="B1058" i="13"/>
  <c r="B1057" i="13"/>
  <c r="B1055" i="13"/>
  <c r="B1054" i="13"/>
  <c r="B1053" i="13"/>
  <c r="A1053" i="13"/>
  <c r="A1052" i="13"/>
  <c r="A1051" i="13"/>
  <c r="A1050" i="13"/>
  <c r="A1049" i="13"/>
  <c r="A1048" i="13"/>
  <c r="A1047" i="13"/>
  <c r="A1046" i="13"/>
  <c r="B1079" i="13"/>
  <c r="B1077" i="13"/>
  <c r="B1076" i="13"/>
  <c r="B1075" i="13"/>
  <c r="B1074" i="13"/>
  <c r="B349" i="13"/>
  <c r="B647" i="13" s="1"/>
  <c r="B348" i="13"/>
  <c r="B646" i="13" s="1"/>
  <c r="B347" i="13"/>
  <c r="B645" i="13" s="1"/>
  <c r="B346" i="13"/>
  <c r="B644" i="13" s="1"/>
  <c r="B345" i="13"/>
  <c r="B643" i="13" s="1"/>
  <c r="B355" i="13"/>
  <c r="B653" i="13" s="1"/>
  <c r="B354" i="13"/>
  <c r="B652" i="13" s="1"/>
  <c r="B353" i="13"/>
  <c r="B651" i="13" s="1"/>
  <c r="B352" i="13"/>
  <c r="B650" i="13" s="1"/>
  <c r="B351" i="13"/>
  <c r="B649" i="13" s="1"/>
  <c r="B361" i="13"/>
  <c r="B659" i="13" s="1"/>
  <c r="B360" i="13"/>
  <c r="B658" i="13" s="1"/>
  <c r="B359" i="13"/>
  <c r="B657" i="13" s="1"/>
  <c r="B358" i="13"/>
  <c r="B656" i="13" s="1"/>
  <c r="B357" i="13"/>
  <c r="B655" i="13" s="1"/>
  <c r="B367" i="13"/>
  <c r="B665" i="13" s="1"/>
  <c r="B366" i="13"/>
  <c r="B664" i="13" s="1"/>
  <c r="B365" i="13"/>
  <c r="B663" i="13" s="1"/>
  <c r="B364" i="13"/>
  <c r="B662" i="13" s="1"/>
  <c r="B363" i="13"/>
  <c r="B661" i="13" s="1"/>
  <c r="B374" i="13"/>
  <c r="B672" i="13" s="1"/>
  <c r="B373" i="13"/>
  <c r="B671" i="13" s="1"/>
  <c r="B372" i="13"/>
  <c r="B670" i="13" s="1"/>
  <c r="B371" i="13"/>
  <c r="B669" i="13" s="1"/>
  <c r="B370" i="13"/>
  <c r="B668" i="13" s="1"/>
  <c r="B369" i="13"/>
  <c r="B667" i="13" s="1"/>
  <c r="B376" i="13"/>
  <c r="B674" i="13" s="1"/>
  <c r="A112" i="13"/>
  <c r="A312" i="13"/>
  <c r="A313" i="13" s="1"/>
  <c r="A314" i="13" s="1"/>
  <c r="A315" i="13" s="1"/>
  <c r="A316" i="13" s="1"/>
  <c r="A317" i="13" s="1"/>
  <c r="A318" i="13" s="1"/>
  <c r="A319" i="13" s="1"/>
  <c r="A320" i="13" s="1"/>
  <c r="A321" i="13" s="1"/>
  <c r="B321" i="13"/>
  <c r="B619" i="13" s="1"/>
  <c r="B320" i="13"/>
  <c r="B925" i="13" s="1"/>
  <c r="B319" i="13"/>
  <c r="B770" i="13" s="1"/>
  <c r="B318" i="13"/>
  <c r="B769" i="13" s="1"/>
  <c r="B317" i="13"/>
  <c r="B768" i="13" s="1"/>
  <c r="B316" i="13"/>
  <c r="B921" i="13" s="1"/>
  <c r="B315" i="13"/>
  <c r="B920" i="13" s="1"/>
  <c r="B314" i="13"/>
  <c r="B919" i="13" s="1"/>
  <c r="B313" i="13"/>
  <c r="B312" i="13"/>
  <c r="B763" i="13" s="1"/>
  <c r="B311" i="13"/>
  <c r="B762" i="13" s="1"/>
  <c r="B309" i="13"/>
  <c r="B914" i="13" s="1"/>
  <c r="A300" i="13"/>
  <c r="A301" i="13" s="1"/>
  <c r="A302" i="13" s="1"/>
  <c r="A303" i="13" s="1"/>
  <c r="A304" i="13" s="1"/>
  <c r="A305" i="13" s="1"/>
  <c r="A306" i="13" s="1"/>
  <c r="A307" i="13" s="1"/>
  <c r="A308" i="13" s="1"/>
  <c r="B617" i="13" l="1"/>
  <c r="B924" i="13"/>
  <c r="B615" i="13"/>
  <c r="B922" i="13"/>
  <c r="B616" i="13"/>
  <c r="B923" i="13"/>
  <c r="B611" i="13"/>
  <c r="B764" i="13"/>
  <c r="B613" i="13"/>
  <c r="B766" i="13"/>
  <c r="B614" i="13"/>
  <c r="B767" i="13"/>
  <c r="B612" i="13"/>
  <c r="B765" i="13"/>
  <c r="B609" i="13"/>
  <c r="B610" i="13"/>
  <c r="B607" i="13"/>
  <c r="B918" i="13"/>
  <c r="B821" i="13"/>
  <c r="B974" i="13"/>
  <c r="B817" i="13"/>
  <c r="B970" i="13"/>
  <c r="B803" i="13"/>
  <c r="B956" i="13"/>
  <c r="B800" i="13"/>
  <c r="B953" i="13"/>
  <c r="B822" i="13"/>
  <c r="B975" i="13"/>
  <c r="B826" i="13"/>
  <c r="B979" i="13"/>
  <c r="B818" i="13"/>
  <c r="B971" i="13"/>
  <c r="B811" i="13"/>
  <c r="B964" i="13"/>
  <c r="B804" i="13"/>
  <c r="B957" i="13"/>
  <c r="B797" i="13"/>
  <c r="B950" i="13"/>
  <c r="B801" i="13"/>
  <c r="B954" i="13"/>
  <c r="B916" i="13"/>
  <c r="B976" i="13"/>
  <c r="B823" i="13"/>
  <c r="B968" i="13"/>
  <c r="B815" i="13"/>
  <c r="B972" i="13"/>
  <c r="B819" i="13"/>
  <c r="B965" i="13"/>
  <c r="B812" i="13"/>
  <c r="B958" i="13"/>
  <c r="B805" i="13"/>
  <c r="B951" i="13"/>
  <c r="B798" i="13"/>
  <c r="B926" i="13"/>
  <c r="B825" i="13"/>
  <c r="B978" i="13"/>
  <c r="B810" i="13"/>
  <c r="B963" i="13"/>
  <c r="B807" i="13"/>
  <c r="B960" i="13"/>
  <c r="B917" i="13"/>
  <c r="B981" i="13"/>
  <c r="B828" i="13"/>
  <c r="B977" i="13"/>
  <c r="B824" i="13"/>
  <c r="B969" i="13"/>
  <c r="B816" i="13"/>
  <c r="B962" i="13"/>
  <c r="B809" i="13"/>
  <c r="B966" i="13"/>
  <c r="B813" i="13"/>
  <c r="B959" i="13"/>
  <c r="B806" i="13"/>
  <c r="B952" i="13"/>
  <c r="B799" i="13"/>
  <c r="B465" i="13"/>
  <c r="A465" i="13"/>
  <c r="A464" i="13"/>
  <c r="A463" i="13"/>
  <c r="A462" i="13"/>
  <c r="A461" i="13"/>
  <c r="A460" i="13"/>
  <c r="A459" i="13"/>
  <c r="A458" i="13"/>
  <c r="A457" i="13"/>
  <c r="A456" i="13"/>
  <c r="A455" i="13"/>
  <c r="B463" i="13"/>
  <c r="B462" i="13"/>
  <c r="B461" i="13"/>
  <c r="B460" i="13"/>
  <c r="B459" i="13"/>
  <c r="B458" i="13"/>
  <c r="B457" i="13"/>
  <c r="B456" i="13"/>
  <c r="B455" i="13"/>
  <c r="B453" i="13"/>
  <c r="B452" i="13"/>
  <c r="B451" i="13"/>
  <c r="B450" i="13"/>
  <c r="A454" i="13"/>
  <c r="A453" i="13"/>
  <c r="A452" i="13"/>
  <c r="A451" i="13"/>
  <c r="A450" i="13"/>
  <c r="A449" i="13"/>
  <c r="A448" i="13"/>
  <c r="A447" i="13"/>
  <c r="A446" i="13"/>
  <c r="A445" i="13"/>
  <c r="A444" i="13"/>
  <c r="A287" i="13"/>
  <c r="A288" i="13" s="1"/>
  <c r="A289" i="13" s="1"/>
  <c r="A290" i="13" s="1"/>
  <c r="A291" i="13" s="1"/>
  <c r="A292" i="13" s="1"/>
  <c r="A293" i="13" s="1"/>
  <c r="A294" i="13" s="1"/>
  <c r="A295" i="13" s="1"/>
  <c r="A296" i="13" s="1"/>
  <c r="A297" i="13" s="1"/>
  <c r="B308" i="13"/>
  <c r="B307" i="13"/>
  <c r="B306" i="13"/>
  <c r="B305" i="13"/>
  <c r="B304" i="13"/>
  <c r="B303" i="13"/>
  <c r="B302" i="13"/>
  <c r="B301" i="13"/>
  <c r="B906" i="13" s="1"/>
  <c r="B300" i="13"/>
  <c r="B905" i="13" s="1"/>
  <c r="B299" i="13"/>
  <c r="B904" i="13" s="1"/>
  <c r="B297" i="13"/>
  <c r="B902" i="13" s="1"/>
  <c r="B296" i="13"/>
  <c r="B901" i="13" s="1"/>
  <c r="B295" i="13"/>
  <c r="B900" i="13" s="1"/>
  <c r="B294" i="13"/>
  <c r="B899" i="13" s="1"/>
  <c r="B293" i="13"/>
  <c r="B898" i="13" s="1"/>
  <c r="H6" i="13"/>
  <c r="C11" i="52"/>
  <c r="A155" i="13"/>
  <c r="A151" i="13"/>
  <c r="A150" i="13"/>
  <c r="A149" i="13"/>
  <c r="A148" i="13"/>
  <c r="A147" i="13"/>
  <c r="A146" i="13"/>
  <c r="A145" i="13"/>
  <c r="A144" i="13"/>
  <c r="A143" i="13"/>
  <c r="A139" i="13"/>
  <c r="B913" i="13" l="1"/>
  <c r="B759" i="13"/>
  <c r="B910" i="13"/>
  <c r="B756" i="13"/>
  <c r="B907" i="13"/>
  <c r="B753" i="13"/>
  <c r="B911" i="13"/>
  <c r="B757" i="13"/>
  <c r="B909" i="13"/>
  <c r="B755" i="13"/>
  <c r="B908" i="13"/>
  <c r="B754" i="13"/>
  <c r="B912" i="13"/>
  <c r="B758" i="13"/>
  <c r="B594" i="13"/>
  <c r="B747" i="13"/>
  <c r="B599" i="13"/>
  <c r="B752" i="13"/>
  <c r="B603" i="13"/>
  <c r="B591" i="13"/>
  <c r="B744" i="13"/>
  <c r="B600" i="13"/>
  <c r="B592" i="13"/>
  <c r="B745" i="13"/>
  <c r="B597" i="13"/>
  <c r="B750" i="13"/>
  <c r="B601" i="13"/>
  <c r="B605" i="13"/>
  <c r="B595" i="13"/>
  <c r="B748" i="13"/>
  <c r="B604" i="13"/>
  <c r="B593" i="13"/>
  <c r="B746" i="13"/>
  <c r="B598" i="13"/>
  <c r="B751" i="13"/>
  <c r="B602" i="13"/>
  <c r="B606" i="13"/>
  <c r="H3" i="46"/>
  <c r="H2" i="46"/>
  <c r="A5" i="52"/>
  <c r="A2" i="52"/>
  <c r="F7" i="45" l="1"/>
  <c r="A14" i="47"/>
  <c r="A13" i="47"/>
  <c r="F1" i="48"/>
  <c r="R75" i="41" l="1"/>
  <c r="P75" i="41"/>
  <c r="H75" i="41"/>
  <c r="G75" i="41"/>
  <c r="R74" i="41"/>
  <c r="P74" i="41"/>
  <c r="I74" i="41"/>
  <c r="R73" i="41"/>
  <c r="P73" i="41"/>
  <c r="I73" i="41"/>
  <c r="R72" i="41"/>
  <c r="P72" i="41"/>
  <c r="I72" i="41"/>
  <c r="R71" i="41"/>
  <c r="P71" i="41"/>
  <c r="I71" i="41"/>
  <c r="R70" i="41"/>
  <c r="P70" i="41"/>
  <c r="I70" i="41"/>
  <c r="R69" i="41"/>
  <c r="P69" i="41"/>
  <c r="I69" i="41"/>
  <c r="R68" i="41"/>
  <c r="P68" i="41"/>
  <c r="I68" i="41"/>
  <c r="R67" i="41"/>
  <c r="P67" i="41"/>
  <c r="I67" i="41"/>
  <c r="R66" i="41"/>
  <c r="P66" i="41"/>
  <c r="I66" i="41"/>
  <c r="R65" i="41"/>
  <c r="P65" i="41"/>
  <c r="I65" i="41"/>
  <c r="H45" i="41"/>
  <c r="G45" i="41"/>
  <c r="Q75" i="41" l="1"/>
  <c r="O75" i="41"/>
  <c r="I75" i="41"/>
  <c r="G7" i="46"/>
  <c r="E22" i="46"/>
  <c r="E21" i="46"/>
  <c r="M21" i="46"/>
  <c r="M78" i="46" s="1"/>
  <c r="L21" i="46"/>
  <c r="L78" i="46" s="1"/>
  <c r="K21" i="46"/>
  <c r="K78" i="46" s="1"/>
  <c r="J21" i="46"/>
  <c r="J78" i="46" s="1"/>
  <c r="I21" i="46"/>
  <c r="I78" i="46" s="1"/>
  <c r="H21" i="46"/>
  <c r="F21" i="46" l="1"/>
  <c r="H78" i="46"/>
  <c r="B50" i="38" s="1"/>
  <c r="D51" i="38"/>
  <c r="G50" i="38" l="1"/>
  <c r="O50" i="38"/>
  <c r="P50" i="38"/>
  <c r="K50" i="38"/>
  <c r="L50" i="38"/>
  <c r="N50" i="38"/>
  <c r="H50" i="38"/>
  <c r="I50" i="38"/>
  <c r="J50" i="38"/>
  <c r="M50" i="38"/>
  <c r="E50" i="38"/>
  <c r="F50" i="38"/>
  <c r="M16" i="46"/>
  <c r="L16" i="46"/>
  <c r="K16" i="46"/>
  <c r="J16" i="46"/>
  <c r="I16" i="46"/>
  <c r="H16" i="46"/>
  <c r="M74" i="46"/>
  <c r="L74" i="46"/>
  <c r="K74" i="46"/>
  <c r="J74" i="46"/>
  <c r="I74" i="46"/>
  <c r="H74" i="46"/>
  <c r="B46" i="38" s="1"/>
  <c r="G46" i="38" l="1"/>
  <c r="K46" i="38"/>
  <c r="O46" i="38"/>
  <c r="H46" i="38"/>
  <c r="L46" i="38"/>
  <c r="P46" i="38"/>
  <c r="I46" i="38"/>
  <c r="M46" i="38"/>
  <c r="F46" i="38"/>
  <c r="J46" i="38"/>
  <c r="N46" i="38"/>
  <c r="F17" i="46"/>
  <c r="A38" i="47"/>
  <c r="A39" i="47"/>
  <c r="A40" i="47"/>
  <c r="A41" i="47"/>
  <c r="A42" i="47"/>
  <c r="A43" i="47"/>
  <c r="A44" i="47"/>
  <c r="A45" i="47"/>
  <c r="A46" i="47"/>
  <c r="A47" i="47"/>
  <c r="A48" i="47"/>
  <c r="A49" i="47"/>
  <c r="A50" i="47"/>
  <c r="A51" i="47"/>
  <c r="A52" i="47"/>
  <c r="A53" i="47"/>
  <c r="A54" i="47"/>
  <c r="A55" i="47"/>
  <c r="A56" i="47"/>
  <c r="A57" i="47"/>
  <c r="A168" i="13" l="1"/>
  <c r="F22" i="46" l="1"/>
  <c r="H80" i="46"/>
  <c r="B52" i="38" s="1"/>
  <c r="E52" i="38" s="1"/>
  <c r="D52" i="38" s="1"/>
  <c r="F3" i="41"/>
  <c r="B63" i="41" s="1"/>
  <c r="F2" i="41"/>
  <c r="B33" i="41" s="1"/>
  <c r="A28" i="45" l="1"/>
  <c r="A29" i="45"/>
  <c r="B28" i="38" l="1"/>
  <c r="B27" i="38"/>
  <c r="B24" i="38"/>
  <c r="B23" i="38"/>
  <c r="R45" i="41"/>
  <c r="P45" i="41"/>
  <c r="A43" i="13"/>
  <c r="A32" i="45" l="1"/>
  <c r="A31" i="45"/>
  <c r="A30" i="45"/>
  <c r="A27" i="45"/>
  <c r="A26" i="45"/>
  <c r="A25" i="45"/>
  <c r="A24" i="45"/>
  <c r="A23" i="45"/>
  <c r="A22" i="45"/>
  <c r="A21" i="45"/>
  <c r="A15" i="45"/>
  <c r="E30" i="45"/>
  <c r="A10" i="45"/>
  <c r="A11" i="45"/>
  <c r="A12" i="45"/>
  <c r="A13" i="45"/>
  <c r="A14" i="45"/>
  <c r="A16" i="45"/>
  <c r="A17" i="45"/>
  <c r="A18" i="45"/>
  <c r="A19" i="45"/>
  <c r="A20" i="45"/>
  <c r="A56" i="45"/>
  <c r="A54" i="45"/>
  <c r="A33" i="45"/>
  <c r="A34" i="45"/>
  <c r="D29" i="45" l="1"/>
  <c r="A35" i="45" l="1"/>
  <c r="E63" i="18"/>
  <c r="A58" i="47"/>
  <c r="A37" i="47"/>
  <c r="A36" i="47"/>
  <c r="A35" i="47"/>
  <c r="A34" i="47"/>
  <c r="A33" i="47"/>
  <c r="A32" i="47"/>
  <c r="A31" i="47"/>
  <c r="A30" i="47"/>
  <c r="A29" i="47"/>
  <c r="A28" i="47"/>
  <c r="A27" i="47"/>
  <c r="A26" i="47"/>
  <c r="A25" i="47"/>
  <c r="A24" i="47"/>
  <c r="A23" i="47"/>
  <c r="A22" i="47"/>
  <c r="A21" i="47"/>
  <c r="A20" i="47"/>
  <c r="A19" i="47"/>
  <c r="A18" i="47"/>
  <c r="A17" i="47"/>
  <c r="A16" i="47"/>
  <c r="A15" i="47"/>
  <c r="A12" i="47"/>
  <c r="A11" i="47"/>
  <c r="A10" i="47"/>
  <c r="A9" i="47"/>
  <c r="G1418" i="13" l="1"/>
  <c r="G1419" i="13" s="1"/>
  <c r="A32" i="13"/>
  <c r="A33" i="13"/>
  <c r="A34" i="13"/>
  <c r="A35" i="13"/>
  <c r="A36" i="13"/>
  <c r="A37" i="13"/>
  <c r="A38" i="13"/>
  <c r="A39" i="13"/>
  <c r="A40" i="13"/>
  <c r="A41" i="13"/>
  <c r="A42" i="13"/>
  <c r="A44" i="13"/>
  <c r="A45" i="13"/>
  <c r="E58" i="18"/>
  <c r="E57" i="18"/>
  <c r="E56" i="18"/>
  <c r="E55" i="18"/>
  <c r="E54" i="18"/>
  <c r="E53" i="18"/>
  <c r="E52" i="18"/>
  <c r="E50" i="18"/>
  <c r="E49" i="18"/>
  <c r="E48" i="18"/>
  <c r="E47" i="18"/>
  <c r="E46" i="18"/>
  <c r="E45" i="18"/>
  <c r="E44" i="18"/>
  <c r="E43" i="18"/>
  <c r="E42" i="18"/>
  <c r="G1447" i="13"/>
  <c r="G1449" i="13" s="1"/>
  <c r="G1451" i="13" s="1"/>
  <c r="M15" i="13"/>
  <c r="L15" i="13"/>
  <c r="K15" i="13"/>
  <c r="J15" i="13"/>
  <c r="I15" i="13"/>
  <c r="H15" i="13"/>
  <c r="E65" i="18"/>
  <c r="E67" i="18"/>
  <c r="E11" i="18"/>
  <c r="E7" i="18"/>
  <c r="E61" i="18" s="1"/>
  <c r="G1453" i="13" l="1"/>
  <c r="D28" i="38" l="1"/>
  <c r="C28" i="38" s="1"/>
  <c r="B29" i="38"/>
  <c r="L11" i="47" l="1"/>
  <c r="M11" i="47"/>
  <c r="N11" i="47"/>
  <c r="O11" i="47"/>
  <c r="P11" i="47"/>
  <c r="Q11" i="47"/>
  <c r="D25" i="38"/>
  <c r="D26" i="38"/>
  <c r="D27" i="38"/>
  <c r="C27" i="38" s="1"/>
  <c r="D29" i="38"/>
  <c r="C29" i="38" s="1"/>
  <c r="E67" i="38"/>
  <c r="H1380" i="13"/>
  <c r="H1381" i="13"/>
  <c r="H1399" i="13"/>
  <c r="H1402" i="13"/>
  <c r="H1404" i="13"/>
  <c r="H1412" i="13"/>
  <c r="H1413" i="13"/>
  <c r="H1424" i="13"/>
  <c r="H1422" i="13"/>
  <c r="G79" i="13"/>
  <c r="G1350" i="13"/>
  <c r="G1354" i="13"/>
  <c r="G1358" i="13"/>
  <c r="G1362" i="13"/>
  <c r="G1366" i="13"/>
  <c r="G1374" i="13"/>
  <c r="G1426" i="13"/>
  <c r="G1435" i="13"/>
  <c r="G1439" i="13"/>
  <c r="G1464" i="13"/>
  <c r="G1581" i="13"/>
  <c r="J11" i="47" l="1"/>
  <c r="G1593" i="13"/>
  <c r="E51" i="18"/>
  <c r="E59" i="18" s="1"/>
  <c r="F67" i="38"/>
  <c r="E68" i="38"/>
  <c r="E69" i="38" s="1"/>
  <c r="E68" i="18"/>
  <c r="E69" i="18"/>
  <c r="C37" i="18"/>
  <c r="G1437" i="13"/>
  <c r="G1592" i="13" s="1"/>
  <c r="G1368" i="13"/>
  <c r="D66" i="38"/>
  <c r="D65" i="38"/>
  <c r="D64" i="38"/>
  <c r="N44" i="48"/>
  <c r="M44" i="48"/>
  <c r="L44" i="48"/>
  <c r="K44" i="48"/>
  <c r="J44" i="48"/>
  <c r="I44" i="48"/>
  <c r="A31" i="48"/>
  <c r="A30" i="48"/>
  <c r="A29" i="48"/>
  <c r="A28" i="48"/>
  <c r="A27" i="48"/>
  <c r="A26" i="48"/>
  <c r="A25" i="48"/>
  <c r="A24" i="48"/>
  <c r="A23" i="48"/>
  <c r="A22" i="48"/>
  <c r="A21" i="48"/>
  <c r="A20" i="48"/>
  <c r="A19" i="48"/>
  <c r="A18" i="48"/>
  <c r="A17" i="48"/>
  <c r="A16" i="48"/>
  <c r="A15" i="48"/>
  <c r="A14" i="48"/>
  <c r="A13" i="48"/>
  <c r="I12" i="48"/>
  <c r="I13" i="48" s="1"/>
  <c r="I35" i="48" s="1"/>
  <c r="A12" i="48"/>
  <c r="F2" i="48"/>
  <c r="A5" i="48"/>
  <c r="A2" i="48"/>
  <c r="F67" i="18" l="1"/>
  <c r="G44" i="48"/>
  <c r="N45" i="48" s="1"/>
  <c r="B45" i="38"/>
  <c r="J67" i="18"/>
  <c r="I67" i="18"/>
  <c r="G67" i="18"/>
  <c r="K67" i="18"/>
  <c r="H67" i="18"/>
  <c r="G67" i="38"/>
  <c r="F68" i="38"/>
  <c r="F69" i="38" s="1"/>
  <c r="E64" i="18"/>
  <c r="H12" i="48"/>
  <c r="J12" i="48"/>
  <c r="J13" i="48" s="1"/>
  <c r="H13" i="48"/>
  <c r="H35" i="48" s="1"/>
  <c r="F45" i="38" l="1"/>
  <c r="E45" i="38"/>
  <c r="L45" i="48"/>
  <c r="K12" i="48"/>
  <c r="K13" i="48" s="1"/>
  <c r="J35" i="48"/>
  <c r="C67" i="18"/>
  <c r="G45" i="48"/>
  <c r="H45" i="48"/>
  <c r="K45" i="48"/>
  <c r="I45" i="48"/>
  <c r="J45" i="48"/>
  <c r="M45" i="48"/>
  <c r="H67" i="38"/>
  <c r="G68" i="38"/>
  <c r="G69" i="38" s="1"/>
  <c r="H1572" i="13"/>
  <c r="I1572" i="13" s="1"/>
  <c r="J1572" i="13" s="1"/>
  <c r="K1572" i="13" s="1"/>
  <c r="L1572" i="13" s="1"/>
  <c r="M1572" i="13" s="1"/>
  <c r="H1573" i="13"/>
  <c r="I1573" i="13" s="1"/>
  <c r="J1573" i="13" s="1"/>
  <c r="K1573" i="13" s="1"/>
  <c r="L1573" i="13" s="1"/>
  <c r="M1573" i="13" s="1"/>
  <c r="H1574" i="13"/>
  <c r="I1574" i="13" s="1"/>
  <c r="J1574" i="13" s="1"/>
  <c r="K1574" i="13" s="1"/>
  <c r="L1574" i="13" s="1"/>
  <c r="M1574" i="13" s="1"/>
  <c r="H1575" i="13"/>
  <c r="I1575" i="13" s="1"/>
  <c r="J1575" i="13" s="1"/>
  <c r="K1575" i="13" s="1"/>
  <c r="L1575" i="13" s="1"/>
  <c r="M1575" i="13" s="1"/>
  <c r="H1576" i="13"/>
  <c r="I1576" i="13" s="1"/>
  <c r="J1576" i="13" s="1"/>
  <c r="K1576" i="13" s="1"/>
  <c r="L1576" i="13" s="1"/>
  <c r="M1576" i="13" s="1"/>
  <c r="H1577" i="13"/>
  <c r="I1577" i="13" s="1"/>
  <c r="J1577" i="13" s="1"/>
  <c r="K1577" i="13" s="1"/>
  <c r="L1577" i="13" s="1"/>
  <c r="M1577" i="13" s="1"/>
  <c r="H1578" i="13"/>
  <c r="I1578" i="13" s="1"/>
  <c r="J1578" i="13" s="1"/>
  <c r="K1578" i="13" s="1"/>
  <c r="L1578" i="13" s="1"/>
  <c r="M1578" i="13" s="1"/>
  <c r="H1579" i="13"/>
  <c r="I1579" i="13" s="1"/>
  <c r="J1579" i="13" s="1"/>
  <c r="K1579" i="13" s="1"/>
  <c r="L1579" i="13" s="1"/>
  <c r="M1579" i="13" s="1"/>
  <c r="H1571" i="13"/>
  <c r="I1571" i="13" s="1"/>
  <c r="J1571" i="13" s="1"/>
  <c r="K1571" i="13" s="1"/>
  <c r="L1571" i="13" s="1"/>
  <c r="M1571" i="13" s="1"/>
  <c r="L12" i="48" l="1"/>
  <c r="L13" i="48" s="1"/>
  <c r="K35" i="48"/>
  <c r="I67" i="38"/>
  <c r="H68" i="38"/>
  <c r="H69" i="38" s="1"/>
  <c r="H58" i="46"/>
  <c r="I58" i="46"/>
  <c r="H57" i="46"/>
  <c r="I57" i="46"/>
  <c r="H46" i="34"/>
  <c r="H26" i="34"/>
  <c r="H28" i="34" s="1"/>
  <c r="H42" i="34"/>
  <c r="I42" i="34"/>
  <c r="H41" i="34"/>
  <c r="I41" i="34"/>
  <c r="H34" i="34"/>
  <c r="H36" i="34" s="1"/>
  <c r="I36" i="34" s="1"/>
  <c r="J36" i="34" s="1"/>
  <c r="K36" i="34" s="1"/>
  <c r="L36" i="34" s="1"/>
  <c r="M36" i="34" s="1"/>
  <c r="H33" i="34"/>
  <c r="J26" i="34"/>
  <c r="M27" i="34" s="1"/>
  <c r="K26" i="34"/>
  <c r="L26" i="34"/>
  <c r="M26" i="34"/>
  <c r="I26" i="34"/>
  <c r="L27" i="34" s="1"/>
  <c r="M12" i="48" l="1"/>
  <c r="M13" i="48" s="1"/>
  <c r="L35" i="48"/>
  <c r="J67" i="38"/>
  <c r="I68" i="38"/>
  <c r="I69" i="38" s="1"/>
  <c r="M35" i="34"/>
  <c r="I28" i="34"/>
  <c r="J28" i="34" s="1"/>
  <c r="K27" i="34"/>
  <c r="F59" i="47"/>
  <c r="Q58" i="47"/>
  <c r="P58" i="47"/>
  <c r="O58" i="47"/>
  <c r="N58" i="47"/>
  <c r="M58" i="47"/>
  <c r="L58" i="47"/>
  <c r="J36" i="47"/>
  <c r="J34" i="47"/>
  <c r="J32" i="47"/>
  <c r="J30" i="47"/>
  <c r="J28" i="47"/>
  <c r="J26" i="47"/>
  <c r="J24" i="47"/>
  <c r="J22" i="47"/>
  <c r="Q12" i="47"/>
  <c r="P12" i="47"/>
  <c r="O12" i="47"/>
  <c r="N12" i="47"/>
  <c r="M12" i="47"/>
  <c r="L12" i="47"/>
  <c r="Q10" i="47"/>
  <c r="P10" i="47"/>
  <c r="O10" i="47"/>
  <c r="N10" i="47"/>
  <c r="M10" i="47"/>
  <c r="L10" i="47"/>
  <c r="Q9" i="47"/>
  <c r="P9" i="47"/>
  <c r="O9" i="47"/>
  <c r="N9" i="47"/>
  <c r="M9" i="47"/>
  <c r="L9" i="47"/>
  <c r="M7" i="47"/>
  <c r="N7" i="47" s="1"/>
  <c r="O7" i="47" s="1"/>
  <c r="P7" i="47" s="1"/>
  <c r="Q7" i="47" s="1"/>
  <c r="A5" i="47"/>
  <c r="A2" i="47"/>
  <c r="M58" i="46"/>
  <c r="L58" i="46"/>
  <c r="K58" i="46"/>
  <c r="J58" i="46"/>
  <c r="M57" i="46"/>
  <c r="L57" i="46"/>
  <c r="K57" i="46"/>
  <c r="J57" i="46"/>
  <c r="C42" i="46"/>
  <c r="C38" i="46"/>
  <c r="M20" i="46"/>
  <c r="M77" i="46" s="1"/>
  <c r="L20" i="46"/>
  <c r="L77" i="46" s="1"/>
  <c r="K20" i="46"/>
  <c r="K77" i="46" s="1"/>
  <c r="J20" i="46"/>
  <c r="J77" i="46" s="1"/>
  <c r="I20" i="46"/>
  <c r="I77" i="46" s="1"/>
  <c r="H20" i="46"/>
  <c r="H77" i="46" s="1"/>
  <c r="B49" i="38" s="1"/>
  <c r="E20" i="46"/>
  <c r="M19" i="46"/>
  <c r="M76" i="46" s="1"/>
  <c r="L19" i="46"/>
  <c r="L76" i="46" s="1"/>
  <c r="K19" i="46"/>
  <c r="K76" i="46" s="1"/>
  <c r="J19" i="46"/>
  <c r="J76" i="46" s="1"/>
  <c r="I19" i="46"/>
  <c r="I76" i="46" s="1"/>
  <c r="H19" i="46"/>
  <c r="H76" i="46" s="1"/>
  <c r="B48" i="38" s="1"/>
  <c r="E19" i="46"/>
  <c r="M18" i="46"/>
  <c r="L18" i="46"/>
  <c r="K18" i="46"/>
  <c r="J18" i="46"/>
  <c r="I18" i="46"/>
  <c r="H18" i="46"/>
  <c r="E18" i="46"/>
  <c r="M7" i="46"/>
  <c r="L7" i="46"/>
  <c r="K7" i="46"/>
  <c r="J7" i="46"/>
  <c r="I7" i="46"/>
  <c r="H7" i="46"/>
  <c r="A5" i="46"/>
  <c r="A2" i="46"/>
  <c r="M48" i="38" l="1"/>
  <c r="G48" i="38"/>
  <c r="H48" i="38"/>
  <c r="E48" i="38"/>
  <c r="K48" i="38"/>
  <c r="F48" i="38"/>
  <c r="N48" i="38"/>
  <c r="O48" i="38"/>
  <c r="P48" i="38"/>
  <c r="I48" i="38"/>
  <c r="J48" i="38"/>
  <c r="L48" i="38"/>
  <c r="J49" i="38"/>
  <c r="L49" i="38"/>
  <c r="M49" i="38"/>
  <c r="F49" i="38"/>
  <c r="G49" i="38"/>
  <c r="E49" i="38"/>
  <c r="P49" i="38"/>
  <c r="I49" i="38"/>
  <c r="K49" i="38"/>
  <c r="N49" i="38"/>
  <c r="O49" i="38"/>
  <c r="H49" i="38"/>
  <c r="J58" i="47"/>
  <c r="N12" i="48"/>
  <c r="N13" i="48" s="1"/>
  <c r="N35" i="48" s="1"/>
  <c r="M35" i="48"/>
  <c r="J21" i="47"/>
  <c r="J23" i="47"/>
  <c r="J27" i="47"/>
  <c r="J29" i="47"/>
  <c r="J31" i="47"/>
  <c r="J33" i="47"/>
  <c r="J37" i="47"/>
  <c r="J20" i="47"/>
  <c r="J12" i="47"/>
  <c r="J16" i="47"/>
  <c r="J18" i="47"/>
  <c r="J19" i="47"/>
  <c r="J25" i="47"/>
  <c r="J15" i="47"/>
  <c r="J17" i="47"/>
  <c r="J10" i="47"/>
  <c r="M26" i="46"/>
  <c r="M67" i="46" s="1"/>
  <c r="I26" i="46"/>
  <c r="I67" i="46" s="1"/>
  <c r="J26" i="46"/>
  <c r="J67" i="46" s="1"/>
  <c r="K26" i="46"/>
  <c r="K67" i="46" s="1"/>
  <c r="H26" i="46"/>
  <c r="H67" i="46" s="1"/>
  <c r="L26" i="46"/>
  <c r="L67" i="46" s="1"/>
  <c r="H75" i="46"/>
  <c r="B47" i="38" s="1"/>
  <c r="H25" i="46"/>
  <c r="H66" i="46" s="1"/>
  <c r="K64" i="46"/>
  <c r="J64" i="46"/>
  <c r="M64" i="46"/>
  <c r="I64" i="46"/>
  <c r="L64" i="46"/>
  <c r="H64" i="46"/>
  <c r="I75" i="46"/>
  <c r="I25" i="46"/>
  <c r="M75" i="46"/>
  <c r="M25" i="46"/>
  <c r="L75" i="46"/>
  <c r="L25" i="46"/>
  <c r="J75" i="46"/>
  <c r="J25" i="46"/>
  <c r="K75" i="46"/>
  <c r="K25" i="46"/>
  <c r="J35" i="47"/>
  <c r="J9" i="47"/>
  <c r="F20" i="46"/>
  <c r="F18" i="46"/>
  <c r="K67" i="38"/>
  <c r="J68" i="38"/>
  <c r="J69" i="38" s="1"/>
  <c r="M59" i="47"/>
  <c r="G70" i="18" s="1"/>
  <c r="Q59" i="47"/>
  <c r="K70" i="18" s="1"/>
  <c r="L59" i="47"/>
  <c r="P59" i="47"/>
  <c r="J70" i="18" s="1"/>
  <c r="N59" i="47"/>
  <c r="H70" i="18" s="1"/>
  <c r="O59" i="47"/>
  <c r="I70" i="18" s="1"/>
  <c r="H61" i="46"/>
  <c r="K28" i="34"/>
  <c r="L28" i="34" s="1"/>
  <c r="M28" i="34" s="1"/>
  <c r="C44" i="46"/>
  <c r="C48" i="46" s="1"/>
  <c r="H47" i="38" l="1"/>
  <c r="P47" i="38"/>
  <c r="L47" i="38"/>
  <c r="M47" i="38"/>
  <c r="O47" i="38"/>
  <c r="I47" i="38"/>
  <c r="J47" i="38"/>
  <c r="K47" i="38"/>
  <c r="E47" i="38"/>
  <c r="F47" i="38"/>
  <c r="N47" i="38"/>
  <c r="G47" i="38"/>
  <c r="M27" i="46"/>
  <c r="I27" i="46"/>
  <c r="C53" i="46"/>
  <c r="C54" i="46" s="1"/>
  <c r="L27" i="46"/>
  <c r="H27" i="46"/>
  <c r="E67" i="46"/>
  <c r="K27" i="46"/>
  <c r="G25" i="46"/>
  <c r="G66" i="46" s="1"/>
  <c r="J27" i="46"/>
  <c r="G68" i="46"/>
  <c r="F19" i="46"/>
  <c r="L67" i="38"/>
  <c r="K68" i="38"/>
  <c r="K69" i="38" s="1"/>
  <c r="F70" i="18"/>
  <c r="B54" i="38"/>
  <c r="J59" i="47"/>
  <c r="I54" i="38" l="1"/>
  <c r="E54" i="38"/>
  <c r="J54" i="38"/>
  <c r="K54" i="38"/>
  <c r="L54" i="38"/>
  <c r="F54" i="38"/>
  <c r="O54" i="38"/>
  <c r="H54" i="38"/>
  <c r="M54" i="38"/>
  <c r="N54" i="38"/>
  <c r="G54" i="38"/>
  <c r="P54" i="38"/>
  <c r="H54" i="46"/>
  <c r="C55" i="46"/>
  <c r="H55" i="46" s="1"/>
  <c r="H68" i="46" s="1"/>
  <c r="H69" i="46" s="1"/>
  <c r="G27" i="46"/>
  <c r="E66" i="18"/>
  <c r="G69" i="46"/>
  <c r="M67" i="38"/>
  <c r="L68" i="38"/>
  <c r="L69" i="38" s="1"/>
  <c r="C70" i="18"/>
  <c r="F66" i="18" l="1"/>
  <c r="H63" i="46"/>
  <c r="F24" i="46"/>
  <c r="N67" i="38"/>
  <c r="M68" i="38"/>
  <c r="M69" i="38" s="1"/>
  <c r="A52" i="45"/>
  <c r="A53" i="45"/>
  <c r="A55" i="45"/>
  <c r="A57" i="45"/>
  <c r="O67" i="38" l="1"/>
  <c r="N68" i="38"/>
  <c r="N69" i="38" s="1"/>
  <c r="A47" i="45"/>
  <c r="A46" i="45"/>
  <c r="A45" i="45"/>
  <c r="A44" i="45"/>
  <c r="A43" i="45"/>
  <c r="A42" i="45"/>
  <c r="P67" i="38" l="1"/>
  <c r="P68" i="38" s="1"/>
  <c r="P69" i="38" s="1"/>
  <c r="O68" i="38"/>
  <c r="O69" i="38" s="1"/>
  <c r="D69" i="38" s="1"/>
  <c r="D68" i="38" l="1"/>
  <c r="A58" i="45"/>
  <c r="A51" i="45"/>
  <c r="A50" i="45"/>
  <c r="A49" i="45"/>
  <c r="A48" i="45"/>
  <c r="A41" i="45"/>
  <c r="A40" i="45"/>
  <c r="A39" i="45"/>
  <c r="A38" i="45"/>
  <c r="A37" i="45"/>
  <c r="A36" i="45"/>
  <c r="K17" i="45"/>
  <c r="J17" i="45"/>
  <c r="I17" i="45"/>
  <c r="H17" i="45"/>
  <c r="G17" i="45"/>
  <c r="F17" i="45"/>
  <c r="F11" i="45"/>
  <c r="F12" i="45" s="1"/>
  <c r="F8" i="45"/>
  <c r="A5" i="45"/>
  <c r="A2" i="45"/>
  <c r="E11" i="45" l="1"/>
  <c r="E12" i="45"/>
  <c r="G11" i="45"/>
  <c r="G12" i="45" s="1"/>
  <c r="H11" i="45" s="1"/>
  <c r="H12" i="45" s="1"/>
  <c r="I11" i="45" s="1"/>
  <c r="I12" i="45" s="1"/>
  <c r="J11" i="45" s="1"/>
  <c r="J12" i="45" s="1"/>
  <c r="K11" i="45" s="1"/>
  <c r="K12" i="45" s="1"/>
  <c r="C411" i="13"/>
  <c r="C405" i="13"/>
  <c r="C399" i="13"/>
  <c r="C393" i="13"/>
  <c r="C387" i="13"/>
  <c r="C381" i="13"/>
  <c r="C375" i="13"/>
  <c r="C368" i="13"/>
  <c r="C362" i="13"/>
  <c r="C356" i="13"/>
  <c r="C350" i="13"/>
  <c r="C344" i="13"/>
  <c r="C338" i="13"/>
  <c r="C332" i="13"/>
  <c r="C326" i="13"/>
  <c r="C74" i="13"/>
  <c r="C73" i="13"/>
  <c r="C72" i="13"/>
  <c r="C69" i="13"/>
  <c r="C68" i="13"/>
  <c r="P44" i="41" l="1"/>
  <c r="P43" i="41"/>
  <c r="P42" i="41"/>
  <c r="P41" i="41"/>
  <c r="P40" i="41"/>
  <c r="P39" i="41"/>
  <c r="P38" i="41"/>
  <c r="P37" i="41"/>
  <c r="P36" i="41"/>
  <c r="P35" i="41"/>
  <c r="O45" i="41" l="1"/>
  <c r="G26" i="35" l="1"/>
  <c r="G25" i="35"/>
  <c r="G24" i="35"/>
  <c r="G23" i="35"/>
  <c r="G22" i="35"/>
  <c r="G21" i="35"/>
  <c r="G20" i="35"/>
  <c r="G19" i="35"/>
  <c r="G18" i="35"/>
  <c r="G17" i="35"/>
  <c r="G16" i="35"/>
  <c r="G15" i="35"/>
  <c r="G14" i="35"/>
  <c r="G13" i="35"/>
  <c r="G11" i="35"/>
  <c r="K16" i="35" l="1"/>
  <c r="J16" i="35"/>
  <c r="K20" i="35"/>
  <c r="J20" i="35"/>
  <c r="K17" i="35"/>
  <c r="J17" i="35"/>
  <c r="J15" i="35"/>
  <c r="K15" i="35"/>
  <c r="J19" i="35"/>
  <c r="K19" i="35"/>
  <c r="J23" i="35"/>
  <c r="K23" i="35"/>
  <c r="K24" i="35"/>
  <c r="J24" i="35"/>
  <c r="K25" i="35"/>
  <c r="J25" i="35"/>
  <c r="K11" i="35"/>
  <c r="J11" i="35"/>
  <c r="K13" i="35"/>
  <c r="J13" i="35"/>
  <c r="J21" i="35"/>
  <c r="K21" i="35"/>
  <c r="K14" i="35"/>
  <c r="J14" i="35"/>
  <c r="K18" i="35"/>
  <c r="J18" i="35"/>
  <c r="K22" i="35"/>
  <c r="J22" i="35"/>
  <c r="K26" i="35"/>
  <c r="J26" i="35"/>
  <c r="D24" i="38" l="1"/>
  <c r="C24" i="38" s="1"/>
  <c r="R44" i="41" l="1"/>
  <c r="R43" i="41"/>
  <c r="R42" i="41"/>
  <c r="R41" i="41"/>
  <c r="R40" i="41"/>
  <c r="R39" i="41"/>
  <c r="R38" i="41"/>
  <c r="R37" i="41"/>
  <c r="R36" i="41"/>
  <c r="R35" i="41"/>
  <c r="Q45" i="41" l="1"/>
  <c r="A2" i="35" l="1"/>
  <c r="A5" i="35"/>
  <c r="A2" i="38"/>
  <c r="A5" i="38"/>
  <c r="A2" i="41"/>
  <c r="A5" i="41"/>
  <c r="A2" i="18"/>
  <c r="A5" i="18"/>
  <c r="A2" i="13"/>
  <c r="A5" i="13"/>
  <c r="A2" i="34"/>
  <c r="A5" i="34"/>
  <c r="K58" i="18"/>
  <c r="K57" i="18"/>
  <c r="K55" i="18"/>
  <c r="K53" i="18"/>
  <c r="K52" i="18"/>
  <c r="I44" i="41"/>
  <c r="I43" i="41"/>
  <c r="I42" i="41"/>
  <c r="I41" i="41"/>
  <c r="I40" i="41"/>
  <c r="I39" i="41"/>
  <c r="I38" i="41"/>
  <c r="I37" i="41"/>
  <c r="I36" i="41"/>
  <c r="I35" i="41"/>
  <c r="M6" i="34"/>
  <c r="L6" i="34"/>
  <c r="K6" i="34"/>
  <c r="J6" i="34"/>
  <c r="I6" i="34"/>
  <c r="H6" i="34"/>
  <c r="J27" i="41"/>
  <c r="N30" i="48" s="1"/>
  <c r="I27" i="41"/>
  <c r="M30" i="48" s="1"/>
  <c r="H27" i="41"/>
  <c r="L30" i="48" s="1"/>
  <c r="G27" i="41"/>
  <c r="K30" i="48" s="1"/>
  <c r="F27" i="41"/>
  <c r="J30" i="48" s="1"/>
  <c r="E27" i="41"/>
  <c r="I30" i="48" s="1"/>
  <c r="J26" i="41"/>
  <c r="N29" i="48" s="1"/>
  <c r="I26" i="41"/>
  <c r="M29" i="48" s="1"/>
  <c r="H26" i="41"/>
  <c r="L29" i="48" s="1"/>
  <c r="G26" i="41"/>
  <c r="K29" i="48" s="1"/>
  <c r="F26" i="41"/>
  <c r="J29" i="48" s="1"/>
  <c r="E26" i="41"/>
  <c r="I29" i="48" s="1"/>
  <c r="J25" i="41"/>
  <c r="N28" i="48" s="1"/>
  <c r="I25" i="41"/>
  <c r="M28" i="48" s="1"/>
  <c r="H25" i="41"/>
  <c r="L28" i="48" s="1"/>
  <c r="G25" i="41"/>
  <c r="K28" i="48" s="1"/>
  <c r="F25" i="41"/>
  <c r="J28" i="48" s="1"/>
  <c r="E25" i="41"/>
  <c r="I28" i="48" s="1"/>
  <c r="J24" i="41"/>
  <c r="N27" i="48" s="1"/>
  <c r="I24" i="41"/>
  <c r="M27" i="48" s="1"/>
  <c r="H24" i="41"/>
  <c r="L27" i="48" s="1"/>
  <c r="G24" i="41"/>
  <c r="K27" i="48" s="1"/>
  <c r="F24" i="41"/>
  <c r="J27" i="48" s="1"/>
  <c r="E24" i="41"/>
  <c r="I27" i="48" s="1"/>
  <c r="J23" i="41"/>
  <c r="N26" i="48" s="1"/>
  <c r="I23" i="41"/>
  <c r="M26" i="48" s="1"/>
  <c r="H23" i="41"/>
  <c r="L26" i="48" s="1"/>
  <c r="G23" i="41"/>
  <c r="K26" i="48" s="1"/>
  <c r="F23" i="41"/>
  <c r="J26" i="48" s="1"/>
  <c r="E23" i="41"/>
  <c r="I26" i="48" s="1"/>
  <c r="J22" i="41"/>
  <c r="N25" i="48" s="1"/>
  <c r="I22" i="41"/>
  <c r="M25" i="48" s="1"/>
  <c r="H22" i="41"/>
  <c r="L25" i="48" s="1"/>
  <c r="G22" i="41"/>
  <c r="K25" i="48" s="1"/>
  <c r="F22" i="41"/>
  <c r="J25" i="48" s="1"/>
  <c r="E22" i="41"/>
  <c r="I25" i="48" s="1"/>
  <c r="J21" i="41"/>
  <c r="N24" i="48" s="1"/>
  <c r="I21" i="41"/>
  <c r="M24" i="48" s="1"/>
  <c r="H21" i="41"/>
  <c r="L24" i="48" s="1"/>
  <c r="G21" i="41"/>
  <c r="K24" i="48" s="1"/>
  <c r="F21" i="41"/>
  <c r="J24" i="48" s="1"/>
  <c r="E21" i="41"/>
  <c r="I24" i="48" s="1"/>
  <c r="J20" i="41"/>
  <c r="N23" i="48" s="1"/>
  <c r="I20" i="41"/>
  <c r="M23" i="48" s="1"/>
  <c r="H20" i="41"/>
  <c r="L23" i="48" s="1"/>
  <c r="G20" i="41"/>
  <c r="K23" i="48" s="1"/>
  <c r="F20" i="41"/>
  <c r="J23" i="48" s="1"/>
  <c r="E20" i="41"/>
  <c r="I23" i="48" s="1"/>
  <c r="J19" i="41"/>
  <c r="N22" i="48" s="1"/>
  <c r="I19" i="41"/>
  <c r="M22" i="48" s="1"/>
  <c r="H19" i="41"/>
  <c r="L22" i="48" s="1"/>
  <c r="G19" i="41"/>
  <c r="K22" i="48" s="1"/>
  <c r="F19" i="41"/>
  <c r="J22" i="48" s="1"/>
  <c r="E19" i="41"/>
  <c r="I22" i="48" s="1"/>
  <c r="J18" i="41"/>
  <c r="N21" i="48" s="1"/>
  <c r="I18" i="41"/>
  <c r="M21" i="48" s="1"/>
  <c r="H18" i="41"/>
  <c r="L21" i="48" s="1"/>
  <c r="G18" i="41"/>
  <c r="K21" i="48" s="1"/>
  <c r="F18" i="41"/>
  <c r="J21" i="48" s="1"/>
  <c r="E18" i="41"/>
  <c r="I21" i="48" s="1"/>
  <c r="J17" i="41"/>
  <c r="N20" i="48" s="1"/>
  <c r="I17" i="41"/>
  <c r="M20" i="48" s="1"/>
  <c r="H17" i="41"/>
  <c r="L20" i="48" s="1"/>
  <c r="K20" i="48"/>
  <c r="F17" i="41"/>
  <c r="J20" i="48" s="1"/>
  <c r="E17" i="41"/>
  <c r="I20" i="48" s="1"/>
  <c r="J16" i="41"/>
  <c r="N19" i="48" s="1"/>
  <c r="I16" i="41"/>
  <c r="M19" i="48" s="1"/>
  <c r="H16" i="41"/>
  <c r="L19" i="48" s="1"/>
  <c r="G16" i="41"/>
  <c r="K19" i="48" s="1"/>
  <c r="F16" i="41"/>
  <c r="J19" i="48" s="1"/>
  <c r="E16" i="41"/>
  <c r="I19" i="48" s="1"/>
  <c r="J15" i="41"/>
  <c r="N18" i="48" s="1"/>
  <c r="I15" i="41"/>
  <c r="M18" i="48" s="1"/>
  <c r="H15" i="41"/>
  <c r="L18" i="48" s="1"/>
  <c r="G15" i="41"/>
  <c r="F15" i="41"/>
  <c r="J18" i="48" s="1"/>
  <c r="E15" i="41"/>
  <c r="I18" i="48" s="1"/>
  <c r="K7" i="18"/>
  <c r="K61" i="18" s="1"/>
  <c r="G12" i="41" l="1"/>
  <c r="I45" i="41"/>
  <c r="J45" i="41" s="1"/>
  <c r="K18" i="48"/>
  <c r="J15" i="48"/>
  <c r="J31" i="48"/>
  <c r="N15" i="48"/>
  <c r="N31" i="48"/>
  <c r="L15" i="48"/>
  <c r="L31" i="48"/>
  <c r="I31" i="48"/>
  <c r="I15" i="48"/>
  <c r="M15" i="48"/>
  <c r="M31" i="48"/>
  <c r="H12" i="41"/>
  <c r="E12" i="41"/>
  <c r="I12" i="41"/>
  <c r="F12" i="41"/>
  <c r="J12" i="41"/>
  <c r="H28" i="41"/>
  <c r="F28" i="41"/>
  <c r="J28" i="41"/>
  <c r="G28" i="41"/>
  <c r="E28" i="41"/>
  <c r="I28" i="41"/>
  <c r="E7" i="39"/>
  <c r="E8" i="39" s="1"/>
  <c r="E17" i="39"/>
  <c r="E16" i="39"/>
  <c r="E15" i="39"/>
  <c r="E14" i="39"/>
  <c r="K31" i="48" l="1"/>
  <c r="K15" i="48"/>
  <c r="G13" i="45"/>
  <c r="I13" i="45"/>
  <c r="H13" i="45"/>
  <c r="J13" i="45"/>
  <c r="F13" i="45"/>
  <c r="K13" i="45"/>
  <c r="F58" i="18"/>
  <c r="F57" i="18"/>
  <c r="F55" i="18"/>
  <c r="F53" i="18"/>
  <c r="F52" i="18"/>
  <c r="F7" i="18"/>
  <c r="F61" i="18" s="1"/>
  <c r="A13" i="13"/>
  <c r="A1442" i="13"/>
  <c r="A1377" i="13"/>
  <c r="A1378" i="13"/>
  <c r="A14" i="13"/>
  <c r="D19" i="45" l="1"/>
  <c r="D20" i="45"/>
  <c r="A1585" i="13" l="1"/>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89" i="13"/>
  <c r="A1388" i="13"/>
  <c r="A1387" i="13"/>
  <c r="A1386" i="13"/>
  <c r="A1385" i="13"/>
  <c r="A1384" i="13"/>
  <c r="A1383" i="13"/>
  <c r="A1382" i="13"/>
  <c r="A1381" i="13"/>
  <c r="A1380" i="13"/>
  <c r="A1379"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044" i="13"/>
  <c r="A1043" i="13"/>
  <c r="A1042" i="13"/>
  <c r="A1041" i="13"/>
  <c r="A1040" i="13"/>
  <c r="A1039" i="13"/>
  <c r="A1038" i="13"/>
  <c r="A1037" i="13"/>
  <c r="A1036" i="13"/>
  <c r="A1035" i="13"/>
  <c r="A1034" i="13"/>
  <c r="A1033" i="13"/>
  <c r="A1032" i="13"/>
  <c r="A1031" i="13"/>
  <c r="A1030" i="13"/>
  <c r="A1029" i="13"/>
  <c r="A1028"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584" i="13"/>
  <c r="A583" i="13"/>
  <c r="A582" i="13"/>
  <c r="A581" i="13"/>
  <c r="A580" i="13"/>
  <c r="A579" i="13"/>
  <c r="A578" i="13"/>
  <c r="A577" i="13"/>
  <c r="A576" i="13"/>
  <c r="A575" i="13"/>
  <c r="A574" i="13"/>
  <c r="A573" i="13"/>
  <c r="A572" i="13"/>
  <c r="A571" i="13"/>
  <c r="A570" i="13"/>
  <c r="A569" i="13"/>
  <c r="A568" i="13"/>
  <c r="A420" i="13"/>
  <c r="A419" i="13"/>
  <c r="A418"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7" i="13"/>
  <c r="A166" i="13"/>
  <c r="A165" i="13"/>
  <c r="A164" i="13"/>
  <c r="A163" i="13"/>
  <c r="A162" i="13"/>
  <c r="A161" i="13"/>
  <c r="A160" i="13"/>
  <c r="A159" i="13"/>
  <c r="A158" i="13"/>
  <c r="A157" i="13"/>
  <c r="A156"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1"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31" i="13"/>
  <c r="A30" i="13"/>
  <c r="A29" i="13"/>
  <c r="A28" i="13"/>
  <c r="A27" i="13"/>
  <c r="A26" i="13"/>
  <c r="A25" i="13"/>
  <c r="A24" i="13"/>
  <c r="A23" i="13"/>
  <c r="A22" i="13"/>
  <c r="A21" i="13"/>
  <c r="A20" i="13"/>
  <c r="A19" i="13"/>
  <c r="A18" i="13"/>
  <c r="A17" i="13"/>
  <c r="A16" i="13"/>
  <c r="A15" i="13"/>
  <c r="E18" i="39"/>
  <c r="E13" i="39"/>
  <c r="E12" i="39"/>
  <c r="E11" i="39"/>
  <c r="A5" i="39"/>
  <c r="E19" i="39" l="1"/>
  <c r="G75" i="13"/>
  <c r="H7" i="13"/>
  <c r="H10" i="13"/>
  <c r="M1439" i="13"/>
  <c r="M1433" i="13"/>
  <c r="M1432" i="13"/>
  <c r="M1416" i="13"/>
  <c r="M1415" i="13"/>
  <c r="M1414" i="13"/>
  <c r="M1413" i="13"/>
  <c r="M1412" i="13"/>
  <c r="M1404" i="13"/>
  <c r="M1402" i="13"/>
  <c r="M1399" i="13"/>
  <c r="M1381" i="13"/>
  <c r="M1380" i="13"/>
  <c r="M1374" i="13"/>
  <c r="M1366" i="13"/>
  <c r="M1362" i="13"/>
  <c r="M1354" i="13"/>
  <c r="M1350" i="13"/>
  <c r="M79" i="13"/>
  <c r="M31" i="13"/>
  <c r="M32" i="13" s="1"/>
  <c r="M10" i="46" l="1"/>
  <c r="M4" i="53"/>
  <c r="E9" i="41"/>
  <c r="E10" i="41" s="1"/>
  <c r="F9" i="41" s="1"/>
  <c r="F10" i="41" s="1"/>
  <c r="G9" i="41" s="1"/>
  <c r="G10" i="41" s="1"/>
  <c r="H9" i="41" s="1"/>
  <c r="H10" i="41" s="1"/>
  <c r="I9" i="41" s="1"/>
  <c r="H2" i="53"/>
  <c r="H3" i="53" s="1"/>
  <c r="I2" i="53" s="1"/>
  <c r="I3" i="53" s="1"/>
  <c r="J2" i="53" s="1"/>
  <c r="J3" i="53" s="1"/>
  <c r="K2" i="53" s="1"/>
  <c r="K3" i="53" s="1"/>
  <c r="L2" i="53" s="1"/>
  <c r="L3" i="53" s="1"/>
  <c r="M2" i="53" s="1"/>
  <c r="M3" i="53" s="1"/>
  <c r="M37" i="13"/>
  <c r="M39" i="13"/>
  <c r="M34" i="13"/>
  <c r="M41" i="13"/>
  <c r="M43" i="13" s="1"/>
  <c r="H8" i="46"/>
  <c r="G8" i="46" s="1"/>
  <c r="G10" i="13"/>
  <c r="G7" i="34" s="1"/>
  <c r="M18" i="34"/>
  <c r="M11" i="46"/>
  <c r="M65" i="13"/>
  <c r="K48" i="18" s="1"/>
  <c r="K11" i="18"/>
  <c r="H7" i="34"/>
  <c r="F8" i="18"/>
  <c r="E22" i="39"/>
  <c r="E21" i="39"/>
  <c r="D170" i="13"/>
  <c r="C111" i="13"/>
  <c r="D7" i="38"/>
  <c r="H11" i="13"/>
  <c r="M63" i="13"/>
  <c r="K46" i="18" s="1"/>
  <c r="M70" i="13"/>
  <c r="K56" i="18" s="1"/>
  <c r="M64" i="13"/>
  <c r="K47" i="18" s="1"/>
  <c r="M67" i="13"/>
  <c r="K50" i="18" s="1"/>
  <c r="M1581" i="13"/>
  <c r="M62" i="13"/>
  <c r="K45" i="18" s="1"/>
  <c r="M1430" i="13"/>
  <c r="M1406" i="13"/>
  <c r="M1401" i="13"/>
  <c r="M1392" i="13"/>
  <c r="M1387" i="13"/>
  <c r="M1407" i="13"/>
  <c r="M1386" i="13"/>
  <c r="M1431" i="13"/>
  <c r="M1405" i="13"/>
  <c r="M1396" i="13"/>
  <c r="M1385" i="13"/>
  <c r="M1403" i="13"/>
  <c r="M1394" i="13"/>
  <c r="M66" i="13"/>
  <c r="K49" i="18" s="1"/>
  <c r="M1393" i="13"/>
  <c r="M61" i="13"/>
  <c r="K44" i="18" s="1"/>
  <c r="M71" i="13"/>
  <c r="M1395" i="13"/>
  <c r="M1457" i="13"/>
  <c r="M1458" i="13" s="1"/>
  <c r="M5" i="53" l="1"/>
  <c r="M6" i="53" s="1"/>
  <c r="N16" i="48"/>
  <c r="N32" i="48" s="1"/>
  <c r="J13" i="41"/>
  <c r="J29" i="41" s="1"/>
  <c r="K20" i="18"/>
  <c r="E8" i="18"/>
  <c r="D9" i="41"/>
  <c r="D10" i="41" s="1"/>
  <c r="G11" i="13"/>
  <c r="K8" i="47" s="1"/>
  <c r="K54" i="18"/>
  <c r="K162" i="18"/>
  <c r="K163" i="18"/>
  <c r="K155" i="18"/>
  <c r="K161" i="18"/>
  <c r="G80" i="13"/>
  <c r="G1440" i="13"/>
  <c r="G1375" i="13"/>
  <c r="H9" i="46"/>
  <c r="G9" i="46" s="1"/>
  <c r="L8" i="47"/>
  <c r="K38" i="18"/>
  <c r="H8" i="34"/>
  <c r="F9" i="18"/>
  <c r="I10" i="41"/>
  <c r="E25" i="39"/>
  <c r="E43" i="39" s="1"/>
  <c r="D8" i="38"/>
  <c r="D12" i="38" s="1"/>
  <c r="I10" i="13"/>
  <c r="I8" i="46" s="1"/>
  <c r="M1462" i="13"/>
  <c r="M1435" i="13"/>
  <c r="E52" i="39" l="1"/>
  <c r="E73" i="18"/>
  <c r="C73" i="18" s="1"/>
  <c r="E9" i="18"/>
  <c r="G8" i="34"/>
  <c r="G1376" i="13"/>
  <c r="G1441" i="13"/>
  <c r="G81" i="13"/>
  <c r="G198" i="13" s="1"/>
  <c r="I54" i="46"/>
  <c r="I55" i="46"/>
  <c r="I11" i="13"/>
  <c r="I7" i="34"/>
  <c r="J9" i="41"/>
  <c r="G186" i="13" l="1"/>
  <c r="G1257" i="13" s="1"/>
  <c r="G202" i="13"/>
  <c r="G353" i="13" s="1"/>
  <c r="G215" i="13"/>
  <c r="G366" i="13" s="1"/>
  <c r="G195" i="13"/>
  <c r="G1107" i="13" s="1"/>
  <c r="G139" i="13"/>
  <c r="G1210" i="13" s="1"/>
  <c r="G162" i="13"/>
  <c r="G158" i="13"/>
  <c r="G1229" i="13" s="1"/>
  <c r="G151" i="13"/>
  <c r="G1222" i="13" s="1"/>
  <c r="G147" i="13"/>
  <c r="G143" i="13"/>
  <c r="G135" i="13"/>
  <c r="G131" i="13"/>
  <c r="G160" i="13"/>
  <c r="G1231" i="13" s="1"/>
  <c r="G156" i="13"/>
  <c r="G1227" i="13" s="1"/>
  <c r="G149" i="13"/>
  <c r="G145" i="13"/>
  <c r="G133" i="13"/>
  <c r="G163" i="13"/>
  <c r="G1234" i="13" s="1"/>
  <c r="G159" i="13"/>
  <c r="G1230" i="13" s="1"/>
  <c r="G155" i="13"/>
  <c r="G1226" i="13" s="1"/>
  <c r="G148" i="13"/>
  <c r="G144" i="13"/>
  <c r="G136" i="13"/>
  <c r="G132" i="13"/>
  <c r="G137" i="13"/>
  <c r="G157" i="13"/>
  <c r="G1228" i="13" s="1"/>
  <c r="G134" i="13"/>
  <c r="G138" i="13"/>
  <c r="G150" i="13"/>
  <c r="G1221" i="13" s="1"/>
  <c r="G161" i="13"/>
  <c r="G1232" i="13" s="1"/>
  <c r="G146" i="13"/>
  <c r="G182" i="13"/>
  <c r="G333" i="13" s="1"/>
  <c r="G263" i="13"/>
  <c r="G1334" i="13" s="1"/>
  <c r="G258" i="13"/>
  <c r="G409" i="13" s="1"/>
  <c r="G253" i="13"/>
  <c r="G404" i="13" s="1"/>
  <c r="G249" i="13"/>
  <c r="G1320" i="13" s="1"/>
  <c r="G244" i="13"/>
  <c r="G1315" i="13" s="1"/>
  <c r="G239" i="13"/>
  <c r="G1310" i="13" s="1"/>
  <c r="G234" i="13"/>
  <c r="G385" i="13" s="1"/>
  <c r="G229" i="13"/>
  <c r="G380" i="13" s="1"/>
  <c r="G225" i="13"/>
  <c r="G1296" i="13" s="1"/>
  <c r="G252" i="13"/>
  <c r="G247" i="13"/>
  <c r="G1318" i="13" s="1"/>
  <c r="G238" i="13"/>
  <c r="G1150" i="13" s="1"/>
  <c r="G228" i="13"/>
  <c r="G379" i="13" s="1"/>
  <c r="G264" i="13"/>
  <c r="G1176" i="13" s="1"/>
  <c r="G259" i="13"/>
  <c r="G410" i="13" s="1"/>
  <c r="G255" i="13"/>
  <c r="G1326" i="13" s="1"/>
  <c r="G250" i="13"/>
  <c r="G1321" i="13" s="1"/>
  <c r="G245" i="13"/>
  <c r="G396" i="13" s="1"/>
  <c r="G240" i="13"/>
  <c r="G1152" i="13" s="1"/>
  <c r="G235" i="13"/>
  <c r="G386" i="13" s="1"/>
  <c r="G231" i="13"/>
  <c r="G382" i="13" s="1"/>
  <c r="G226" i="13"/>
  <c r="G1297" i="13" s="1"/>
  <c r="G227" i="13"/>
  <c r="G1298" i="13" s="1"/>
  <c r="G262" i="13"/>
  <c r="G1333" i="13" s="1"/>
  <c r="G257" i="13"/>
  <c r="G408" i="13" s="1"/>
  <c r="G233" i="13"/>
  <c r="G1304" i="13" s="1"/>
  <c r="G265" i="13"/>
  <c r="G1336" i="13" s="1"/>
  <c r="G261" i="13"/>
  <c r="G1173" i="13" s="1"/>
  <c r="G256" i="13"/>
  <c r="G1168" i="13" s="1"/>
  <c r="G251" i="13"/>
  <c r="G402" i="13" s="1"/>
  <c r="G246" i="13"/>
  <c r="G1158" i="13" s="1"/>
  <c r="G241" i="13"/>
  <c r="G1153" i="13" s="1"/>
  <c r="G237" i="13"/>
  <c r="G1149" i="13" s="1"/>
  <c r="G232" i="13"/>
  <c r="G383" i="13" s="1"/>
  <c r="G243" i="13"/>
  <c r="G1314" i="13" s="1"/>
  <c r="G125" i="13"/>
  <c r="G282" i="13" s="1"/>
  <c r="G179" i="13"/>
  <c r="G1091" i="13" s="1"/>
  <c r="G221" i="13"/>
  <c r="G1133" i="13" s="1"/>
  <c r="G115" i="13"/>
  <c r="G1188" i="13" s="1"/>
  <c r="G118" i="13"/>
  <c r="G1035" i="13" s="1"/>
  <c r="G220" i="13"/>
  <c r="G1291" i="13" s="1"/>
  <c r="G200" i="13"/>
  <c r="G351" i="13" s="1"/>
  <c r="G218" i="13"/>
  <c r="G369" i="13" s="1"/>
  <c r="G183" i="13"/>
  <c r="G1095" i="13" s="1"/>
  <c r="G196" i="13"/>
  <c r="G347" i="13" s="1"/>
  <c r="G1164" i="13"/>
  <c r="G172" i="13"/>
  <c r="G323" i="13" s="1"/>
  <c r="G190" i="13"/>
  <c r="G1102" i="13" s="1"/>
  <c r="G213" i="13"/>
  <c r="G1125" i="13" s="1"/>
  <c r="G194" i="13"/>
  <c r="G1106" i="13" s="1"/>
  <c r="G174" i="13"/>
  <c r="G325" i="13" s="1"/>
  <c r="G123" i="13"/>
  <c r="G1194" i="13" s="1"/>
  <c r="G197" i="13"/>
  <c r="G1109" i="13" s="1"/>
  <c r="G206" i="13"/>
  <c r="G1118" i="13" s="1"/>
  <c r="G177" i="13"/>
  <c r="G328" i="13" s="1"/>
  <c r="G223" i="13"/>
  <c r="G1135" i="13" s="1"/>
  <c r="G201" i="13"/>
  <c r="G352" i="13" s="1"/>
  <c r="G219" i="13"/>
  <c r="G1290" i="13" s="1"/>
  <c r="G180" i="13"/>
  <c r="G1251" i="13" s="1"/>
  <c r="G208" i="13"/>
  <c r="G1120" i="13" s="1"/>
  <c r="G189" i="13"/>
  <c r="G1260" i="13" s="1"/>
  <c r="G116" i="13"/>
  <c r="G1189" i="13" s="1"/>
  <c r="G212" i="13"/>
  <c r="G363" i="13" s="1"/>
  <c r="G192" i="13"/>
  <c r="G1104" i="13" s="1"/>
  <c r="G173" i="13"/>
  <c r="G324" i="13" s="1"/>
  <c r="G204" i="13"/>
  <c r="G1116" i="13" s="1"/>
  <c r="G176" i="13"/>
  <c r="G1247" i="13" s="1"/>
  <c r="G210" i="13"/>
  <c r="G361" i="13" s="1"/>
  <c r="G114" i="13"/>
  <c r="G1031" i="13" s="1"/>
  <c r="G124" i="13"/>
  <c r="G1039" i="13" s="1"/>
  <c r="G216" i="13"/>
  <c r="G1287" i="13" s="1"/>
  <c r="G178" i="13"/>
  <c r="G1090" i="13" s="1"/>
  <c r="G185" i="13"/>
  <c r="G336" i="13" s="1"/>
  <c r="G214" i="13"/>
  <c r="G1285" i="13" s="1"/>
  <c r="G117" i="13"/>
  <c r="G1190" i="13" s="1"/>
  <c r="G191" i="13"/>
  <c r="G342" i="13" s="1"/>
  <c r="G209" i="13"/>
  <c r="G1280" i="13" s="1"/>
  <c r="G222" i="13"/>
  <c r="G1293" i="13" s="1"/>
  <c r="G203" i="13"/>
  <c r="G1274" i="13" s="1"/>
  <c r="G184" i="13"/>
  <c r="G1096" i="13" s="1"/>
  <c r="G207" i="13"/>
  <c r="G1119" i="13" s="1"/>
  <c r="G188" i="13"/>
  <c r="G1259" i="13" s="1"/>
  <c r="G126" i="13"/>
  <c r="G1197" i="13" s="1"/>
  <c r="J10" i="13"/>
  <c r="J8" i="46" s="1"/>
  <c r="J54" i="46" s="1"/>
  <c r="G349" i="13"/>
  <c r="G1110" i="13"/>
  <c r="G1269" i="13"/>
  <c r="I68" i="46"/>
  <c r="I63" i="46"/>
  <c r="I66" i="46" s="1"/>
  <c r="I9" i="46"/>
  <c r="M8" i="47"/>
  <c r="I8" i="34"/>
  <c r="G9" i="18"/>
  <c r="J10" i="41"/>
  <c r="K166" i="18"/>
  <c r="G1303" i="13" l="1"/>
  <c r="G1075" i="13"/>
  <c r="G1233" i="13"/>
  <c r="G1235" i="13" s="1"/>
  <c r="G1060" i="13"/>
  <c r="G1216" i="13"/>
  <c r="G1061" i="13"/>
  <c r="G1217" i="13"/>
  <c r="G1064" i="13"/>
  <c r="G1220" i="13"/>
  <c r="G1059" i="13"/>
  <c r="G1215" i="13"/>
  <c r="G1058" i="13"/>
  <c r="G1214" i="13"/>
  <c r="G1065" i="13"/>
  <c r="G1063" i="13"/>
  <c r="G1219" i="13"/>
  <c r="G1062" i="13"/>
  <c r="G1218" i="13"/>
  <c r="G1114" i="13"/>
  <c r="G377" i="13"/>
  <c r="G675" i="13" s="1"/>
  <c r="G1098" i="13"/>
  <c r="G337" i="13"/>
  <c r="G942" i="13" s="1"/>
  <c r="G391" i="13"/>
  <c r="G689" i="13" s="1"/>
  <c r="G1244" i="13"/>
  <c r="G360" i="13"/>
  <c r="G812" i="13" s="1"/>
  <c r="G1286" i="13"/>
  <c r="G1139" i="13"/>
  <c r="G1155" i="13"/>
  <c r="G274" i="13"/>
  <c r="G726" i="13" s="1"/>
  <c r="G1209" i="13"/>
  <c r="G1053" i="13"/>
  <c r="G1203" i="13"/>
  <c r="G1047" i="13"/>
  <c r="G1202" i="13"/>
  <c r="G1046" i="13"/>
  <c r="G308" i="13"/>
  <c r="G1066" i="13"/>
  <c r="G1205" i="13"/>
  <c r="G1049" i="13"/>
  <c r="G1207" i="13"/>
  <c r="G1051" i="13"/>
  <c r="G1072" i="13"/>
  <c r="G1206" i="13"/>
  <c r="G1050" i="13"/>
  <c r="G1071" i="13"/>
  <c r="G1243" i="13"/>
  <c r="G1074" i="13"/>
  <c r="G1070" i="13"/>
  <c r="G1079" i="13"/>
  <c r="G1076" i="13"/>
  <c r="G1127" i="13"/>
  <c r="G1208" i="13"/>
  <c r="G1052" i="13"/>
  <c r="G1204" i="13"/>
  <c r="G1048" i="13"/>
  <c r="G1073" i="13"/>
  <c r="G280" i="13"/>
  <c r="G732" i="13" s="1"/>
  <c r="G320" i="13"/>
  <c r="G313" i="13"/>
  <c r="G1089" i="13"/>
  <c r="G335" i="13"/>
  <c r="G633" i="13" s="1"/>
  <c r="G388" i="13"/>
  <c r="G840" i="13" s="1"/>
  <c r="G1312" i="13"/>
  <c r="G1115" i="13"/>
  <c r="G66" i="18"/>
  <c r="I69" i="46"/>
  <c r="G1289" i="13"/>
  <c r="G1165" i="13"/>
  <c r="G371" i="13"/>
  <c r="G976" i="13" s="1"/>
  <c r="G346" i="13"/>
  <c r="G798" i="13" s="1"/>
  <c r="G412" i="13"/>
  <c r="G1017" i="13" s="1"/>
  <c r="G330" i="13"/>
  <c r="G782" i="13" s="1"/>
  <c r="G334" i="13"/>
  <c r="G786" i="13" s="1"/>
  <c r="G1262" i="13"/>
  <c r="G1263" i="13"/>
  <c r="G1327" i="13"/>
  <c r="G1266" i="13"/>
  <c r="G414" i="13"/>
  <c r="G1019" i="13" s="1"/>
  <c r="G1175" i="13"/>
  <c r="G367" i="13"/>
  <c r="G665" i="13" s="1"/>
  <c r="G1134" i="13"/>
  <c r="G1140" i="13"/>
  <c r="G1250" i="13"/>
  <c r="G407" i="13"/>
  <c r="G859" i="13" s="1"/>
  <c r="G376" i="13"/>
  <c r="G981" i="13" s="1"/>
  <c r="G359" i="13"/>
  <c r="G811" i="13" s="1"/>
  <c r="G406" i="13"/>
  <c r="G858" i="13" s="1"/>
  <c r="G1273" i="13"/>
  <c r="G1309" i="13"/>
  <c r="G339" i="13"/>
  <c r="G791" i="13" s="1"/>
  <c r="G400" i="13"/>
  <c r="G852" i="13" s="1"/>
  <c r="G1151" i="13"/>
  <c r="G1112" i="13"/>
  <c r="G331" i="13"/>
  <c r="G936" i="13" s="1"/>
  <c r="G1144" i="13"/>
  <c r="G275" i="13"/>
  <c r="G880" i="13" s="1"/>
  <c r="G390" i="13"/>
  <c r="G688" i="13" s="1"/>
  <c r="G1038" i="13"/>
  <c r="G1248" i="13"/>
  <c r="G1132" i="13"/>
  <c r="G1131" i="13"/>
  <c r="G1335" i="13"/>
  <c r="G401" i="13"/>
  <c r="G853" i="13" s="1"/>
  <c r="G1308" i="13"/>
  <c r="G1329" i="13"/>
  <c r="G372" i="13"/>
  <c r="G977" i="13" s="1"/>
  <c r="G365" i="13"/>
  <c r="G970" i="13" s="1"/>
  <c r="G1316" i="13"/>
  <c r="G370" i="13"/>
  <c r="G975" i="13" s="1"/>
  <c r="G374" i="13"/>
  <c r="G672" i="13" s="1"/>
  <c r="G1108" i="13"/>
  <c r="G1128" i="13"/>
  <c r="G327" i="13"/>
  <c r="G625" i="13" s="1"/>
  <c r="G1174" i="13"/>
  <c r="G1094" i="13"/>
  <c r="G1088" i="13"/>
  <c r="G1196" i="13"/>
  <c r="G1167" i="13"/>
  <c r="G277" i="13"/>
  <c r="G729" i="13" s="1"/>
  <c r="G357" i="13"/>
  <c r="G809" i="13" s="1"/>
  <c r="G1254" i="13"/>
  <c r="G295" i="13"/>
  <c r="G746" i="13" s="1"/>
  <c r="G302" i="13"/>
  <c r="G394" i="13"/>
  <c r="G692" i="13" s="1"/>
  <c r="G343" i="13"/>
  <c r="G795" i="13" s="1"/>
  <c r="G1130" i="13"/>
  <c r="G1330" i="13"/>
  <c r="G378" i="13"/>
  <c r="G676" i="13" s="1"/>
  <c r="G1097" i="13"/>
  <c r="G1253" i="13"/>
  <c r="G303" i="13"/>
  <c r="G754" i="13" s="1"/>
  <c r="G291" i="13"/>
  <c r="G589" i="13" s="1"/>
  <c r="G293" i="13"/>
  <c r="G898" i="13" s="1"/>
  <c r="G316" i="13"/>
  <c r="G306" i="13"/>
  <c r="G757" i="13" s="1"/>
  <c r="G292" i="13"/>
  <c r="G590" i="13" s="1"/>
  <c r="G315" i="13"/>
  <c r="G920" i="13" s="1"/>
  <c r="G289" i="13"/>
  <c r="G587" i="13" s="1"/>
  <c r="G164" i="13"/>
  <c r="G312" i="13"/>
  <c r="G763" i="13" s="1"/>
  <c r="G140" i="13"/>
  <c r="G288" i="13"/>
  <c r="G893" i="13" s="1"/>
  <c r="G1032" i="13"/>
  <c r="G1033" i="13"/>
  <c r="G1311" i="13"/>
  <c r="G1171" i="13"/>
  <c r="G397" i="13"/>
  <c r="G695" i="13" s="1"/>
  <c r="G1113" i="13"/>
  <c r="G1256" i="13"/>
  <c r="G1284" i="13"/>
  <c r="G318" i="13"/>
  <c r="G314" i="13"/>
  <c r="G301" i="13"/>
  <c r="G300" i="13"/>
  <c r="G751" i="13" s="1"/>
  <c r="G152" i="13"/>
  <c r="G319" i="13"/>
  <c r="G329" i="13"/>
  <c r="G781" i="13" s="1"/>
  <c r="G307" i="13"/>
  <c r="G758" i="13" s="1"/>
  <c r="G294" i="13"/>
  <c r="G745" i="13" s="1"/>
  <c r="G305" i="13"/>
  <c r="G756" i="13" s="1"/>
  <c r="G290" i="13"/>
  <c r="G588" i="13" s="1"/>
  <c r="G317" i="13"/>
  <c r="G304" i="13"/>
  <c r="G755" i="13" s="1"/>
  <c r="G296" i="13"/>
  <c r="G1268" i="13"/>
  <c r="G354" i="13"/>
  <c r="G652" i="13" s="1"/>
  <c r="G1103" i="13"/>
  <c r="G1191" i="13"/>
  <c r="G1157" i="13"/>
  <c r="G1084" i="13"/>
  <c r="G1040" i="13"/>
  <c r="G1086" i="13"/>
  <c r="G1294" i="13"/>
  <c r="G389" i="13"/>
  <c r="G994" i="13" s="1"/>
  <c r="G1170" i="13"/>
  <c r="G1249" i="13"/>
  <c r="G1195" i="13"/>
  <c r="G1277" i="13"/>
  <c r="G1163" i="13"/>
  <c r="G1085" i="13"/>
  <c r="G1138" i="13"/>
  <c r="G1122" i="13"/>
  <c r="G128" i="13"/>
  <c r="G100" i="13" s="1"/>
  <c r="G281" i="13"/>
  <c r="G1271" i="13"/>
  <c r="G413" i="13"/>
  <c r="G865" i="13" s="1"/>
  <c r="G1169" i="13"/>
  <c r="G415" i="13"/>
  <c r="G867" i="13" s="1"/>
  <c r="G1324" i="13"/>
  <c r="G1124" i="13"/>
  <c r="G1141" i="13"/>
  <c r="G1121" i="13"/>
  <c r="G1300" i="13"/>
  <c r="G1161" i="13"/>
  <c r="G1292" i="13"/>
  <c r="G1317" i="13"/>
  <c r="G1328" i="13"/>
  <c r="G1100" i="13"/>
  <c r="G1245" i="13"/>
  <c r="G1322" i="13"/>
  <c r="G1283" i="13"/>
  <c r="G348" i="13"/>
  <c r="G646" i="13" s="1"/>
  <c r="G373" i="13"/>
  <c r="G671" i="13" s="1"/>
  <c r="G1261" i="13"/>
  <c r="G384" i="13"/>
  <c r="G682" i="13" s="1"/>
  <c r="G120" i="13"/>
  <c r="G99" i="13" s="1"/>
  <c r="G1147" i="13"/>
  <c r="G1278" i="13"/>
  <c r="G1265" i="13"/>
  <c r="G1156" i="13"/>
  <c r="G398" i="13"/>
  <c r="G1003" i="13" s="1"/>
  <c r="G276" i="13"/>
  <c r="G881" i="13" s="1"/>
  <c r="G355" i="13"/>
  <c r="G807" i="13" s="1"/>
  <c r="G1101" i="13"/>
  <c r="G1177" i="13"/>
  <c r="G1146" i="13"/>
  <c r="G403" i="13"/>
  <c r="G855" i="13" s="1"/>
  <c r="G1267" i="13"/>
  <c r="G1306" i="13"/>
  <c r="G392" i="13"/>
  <c r="G997" i="13" s="1"/>
  <c r="G358" i="13"/>
  <c r="G656" i="13" s="1"/>
  <c r="G345" i="13"/>
  <c r="G950" i="13" s="1"/>
  <c r="G416" i="13"/>
  <c r="G714" i="13" s="1"/>
  <c r="G1145" i="13"/>
  <c r="G1305" i="13"/>
  <c r="G341" i="13"/>
  <c r="G793" i="13" s="1"/>
  <c r="G1255" i="13"/>
  <c r="G1332" i="13"/>
  <c r="G1159" i="13"/>
  <c r="G1034" i="13"/>
  <c r="G1126" i="13"/>
  <c r="G1299" i="13"/>
  <c r="G395" i="13"/>
  <c r="G1000" i="13" s="1"/>
  <c r="G1302" i="13"/>
  <c r="G1137" i="13"/>
  <c r="G1279" i="13"/>
  <c r="G1092" i="13"/>
  <c r="G1272" i="13"/>
  <c r="G364" i="13"/>
  <c r="G969" i="13" s="1"/>
  <c r="G1187" i="13"/>
  <c r="G1281" i="13"/>
  <c r="G1323" i="13"/>
  <c r="G1162" i="13"/>
  <c r="G1143" i="13"/>
  <c r="G1275" i="13"/>
  <c r="G340" i="13"/>
  <c r="G638" i="13" s="1"/>
  <c r="G267" i="13"/>
  <c r="G273" i="13"/>
  <c r="G725" i="13" s="1"/>
  <c r="J7" i="34"/>
  <c r="J11" i="13"/>
  <c r="J8" i="34" s="1"/>
  <c r="J55" i="46"/>
  <c r="J68" i="46" s="1"/>
  <c r="G640" i="13"/>
  <c r="G794" i="13"/>
  <c r="G947" i="13"/>
  <c r="G694" i="13"/>
  <c r="G1001" i="13"/>
  <c r="G848" i="13"/>
  <c r="G677" i="13"/>
  <c r="G831" i="13"/>
  <c r="G984" i="13"/>
  <c r="G680" i="13"/>
  <c r="G987" i="13"/>
  <c r="G834" i="13"/>
  <c r="G706" i="13"/>
  <c r="G1013" i="13"/>
  <c r="G860" i="13"/>
  <c r="G621" i="13"/>
  <c r="G775" i="13"/>
  <c r="G928" i="13"/>
  <c r="G683" i="13"/>
  <c r="G837" i="13"/>
  <c r="G990" i="13"/>
  <c r="G661" i="13"/>
  <c r="G968" i="13"/>
  <c r="G815" i="13"/>
  <c r="G684" i="13"/>
  <c r="G991" i="13"/>
  <c r="G838" i="13"/>
  <c r="G681" i="13"/>
  <c r="G988" i="13"/>
  <c r="G835" i="13"/>
  <c r="G659" i="13"/>
  <c r="G813" i="13"/>
  <c r="G966" i="13"/>
  <c r="G702" i="13"/>
  <c r="G856" i="13"/>
  <c r="G1009" i="13"/>
  <c r="G631" i="13"/>
  <c r="G785" i="13"/>
  <c r="G938" i="13"/>
  <c r="G707" i="13"/>
  <c r="G861" i="13"/>
  <c r="G1014" i="13"/>
  <c r="G678" i="13"/>
  <c r="G832" i="13"/>
  <c r="G985" i="13"/>
  <c r="G664" i="13"/>
  <c r="G818" i="13"/>
  <c r="G971" i="13"/>
  <c r="G667" i="13"/>
  <c r="G974" i="13"/>
  <c r="G821" i="13"/>
  <c r="G734" i="13"/>
  <c r="G580" i="13"/>
  <c r="G887" i="13"/>
  <c r="G651" i="13"/>
  <c r="G958" i="13"/>
  <c r="G805" i="13"/>
  <c r="G829" i="13"/>
  <c r="G700" i="13"/>
  <c r="G1007" i="13"/>
  <c r="G854" i="13"/>
  <c r="G626" i="13"/>
  <c r="G933" i="13"/>
  <c r="G780" i="13"/>
  <c r="G649" i="13"/>
  <c r="G803" i="13"/>
  <c r="G956" i="13"/>
  <c r="G708" i="13"/>
  <c r="G1015" i="13"/>
  <c r="G862" i="13"/>
  <c r="G650" i="13"/>
  <c r="G804" i="13"/>
  <c r="G957" i="13"/>
  <c r="G776" i="13"/>
  <c r="G622" i="13"/>
  <c r="G929" i="13"/>
  <c r="G647" i="13"/>
  <c r="G954" i="13"/>
  <c r="G801" i="13"/>
  <c r="G788" i="13"/>
  <c r="G941" i="13"/>
  <c r="G634" i="13"/>
  <c r="G777" i="13"/>
  <c r="G623" i="13"/>
  <c r="G930" i="13"/>
  <c r="G645" i="13"/>
  <c r="G799" i="13"/>
  <c r="G952" i="13"/>
  <c r="G843" i="13" l="1"/>
  <c r="G996" i="13"/>
  <c r="G1211" i="13"/>
  <c r="G1223" i="13"/>
  <c r="G1077" i="13"/>
  <c r="G923" i="13"/>
  <c r="G769" i="13"/>
  <c r="G921" i="13"/>
  <c r="G767" i="13"/>
  <c r="G924" i="13"/>
  <c r="G770" i="13"/>
  <c r="G922" i="13"/>
  <c r="G768" i="13"/>
  <c r="G925" i="13"/>
  <c r="G771" i="13"/>
  <c r="G765" i="13"/>
  <c r="G919" i="13"/>
  <c r="G918" i="13"/>
  <c r="G764" i="13"/>
  <c r="G766" i="13"/>
  <c r="G913" i="13"/>
  <c r="G759" i="13"/>
  <c r="G789" i="13"/>
  <c r="G635" i="13"/>
  <c r="G982" i="13"/>
  <c r="G658" i="13"/>
  <c r="G879" i="13"/>
  <c r="G727" i="13"/>
  <c r="G899" i="13"/>
  <c r="G885" i="13"/>
  <c r="G940" i="13"/>
  <c r="G578" i="13"/>
  <c r="G283" i="13"/>
  <c r="G965" i="13"/>
  <c r="G823" i="13"/>
  <c r="E17" i="18"/>
  <c r="G102" i="13"/>
  <c r="G993" i="13"/>
  <c r="G686" i="13"/>
  <c r="G644" i="13"/>
  <c r="G572" i="13"/>
  <c r="G1011" i="13"/>
  <c r="G850" i="13"/>
  <c r="G787" i="13"/>
  <c r="G897" i="13"/>
  <c r="G828" i="13"/>
  <c r="G744" i="13"/>
  <c r="G662" i="13"/>
  <c r="G978" i="13"/>
  <c r="G629" i="13"/>
  <c r="G699" i="13"/>
  <c r="G866" i="13"/>
  <c r="G663" i="13"/>
  <c r="G864" i="13"/>
  <c r="E16" i="18"/>
  <c r="G1067" i="13"/>
  <c r="G704" i="13"/>
  <c r="G1006" i="13"/>
  <c r="G882" i="13"/>
  <c r="G698" i="13"/>
  <c r="G979" i="13"/>
  <c r="G964" i="13"/>
  <c r="G1005" i="13"/>
  <c r="G710" i="13"/>
  <c r="G611" i="13"/>
  <c r="G574" i="13"/>
  <c r="G278" i="13"/>
  <c r="G711" i="13"/>
  <c r="G959" i="13"/>
  <c r="G830" i="13"/>
  <c r="G797" i="13"/>
  <c r="G670" i="13"/>
  <c r="G935" i="13"/>
  <c r="G1012" i="13"/>
  <c r="G628" i="13"/>
  <c r="G819" i="13"/>
  <c r="G669" i="13"/>
  <c r="G939" i="13"/>
  <c r="G822" i="13"/>
  <c r="G868" i="13"/>
  <c r="G817" i="13"/>
  <c r="G825" i="13"/>
  <c r="G1018" i="13"/>
  <c r="G806" i="13"/>
  <c r="G946" i="13"/>
  <c r="G783" i="13"/>
  <c r="G951" i="13"/>
  <c r="G643" i="13"/>
  <c r="G592" i="13"/>
  <c r="G712" i="13"/>
  <c r="G944" i="13"/>
  <c r="G657" i="13"/>
  <c r="G900" i="13"/>
  <c r="G639" i="13"/>
  <c r="G826" i="13"/>
  <c r="G637" i="13"/>
  <c r="G824" i="13"/>
  <c r="G632" i="13"/>
  <c r="G593" i="13"/>
  <c r="G779" i="13"/>
  <c r="G972" i="13"/>
  <c r="G705" i="13"/>
  <c r="H66" i="18"/>
  <c r="G594" i="13"/>
  <c r="G747" i="13"/>
  <c r="G917" i="13"/>
  <c r="G910" i="13"/>
  <c r="G909" i="13"/>
  <c r="G753" i="13"/>
  <c r="G906" i="13"/>
  <c r="G752" i="13"/>
  <c r="G1008" i="13"/>
  <c r="G960" i="13"/>
  <c r="G948" i="13"/>
  <c r="G591" i="13"/>
  <c r="G995" i="13"/>
  <c r="G1199" i="13"/>
  <c r="G1002" i="13"/>
  <c r="G573" i="13"/>
  <c r="G641" i="13"/>
  <c r="G743" i="13"/>
  <c r="G989" i="13"/>
  <c r="G932" i="13"/>
  <c r="G842" i="13"/>
  <c r="G668" i="13"/>
  <c r="G849" i="13"/>
  <c r="G674" i="13"/>
  <c r="G655" i="13"/>
  <c r="G999" i="13"/>
  <c r="G934" i="13"/>
  <c r="G733" i="13"/>
  <c r="G742" i="13"/>
  <c r="G901" i="13"/>
  <c r="G741" i="13"/>
  <c r="G579" i="13"/>
  <c r="G728" i="13"/>
  <c r="G627" i="13"/>
  <c r="G739" i="13"/>
  <c r="G962" i="13"/>
  <c r="G983" i="13"/>
  <c r="G846" i="13"/>
  <c r="G740" i="13"/>
  <c r="G896" i="13"/>
  <c r="G895" i="13"/>
  <c r="G894" i="13"/>
  <c r="G844" i="13"/>
  <c r="G886" i="13"/>
  <c r="G575" i="13"/>
  <c r="G800" i="13"/>
  <c r="G321" i="13"/>
  <c r="G926" i="13" s="1"/>
  <c r="G907" i="13"/>
  <c r="G600" i="13"/>
  <c r="E24" i="18"/>
  <c r="G878" i="13"/>
  <c r="G836" i="13"/>
  <c r="G309" i="13"/>
  <c r="G687" i="13"/>
  <c r="G847" i="13"/>
  <c r="G604" i="13"/>
  <c r="G603" i="13"/>
  <c r="G945" i="13"/>
  <c r="G297" i="13"/>
  <c r="G616" i="13"/>
  <c r="G166" i="13"/>
  <c r="E15" i="18"/>
  <c r="G614" i="13"/>
  <c r="G615" i="13"/>
  <c r="G586" i="13"/>
  <c r="G1020" i="13"/>
  <c r="G617" i="13"/>
  <c r="G610" i="13"/>
  <c r="G613" i="13"/>
  <c r="G911" i="13"/>
  <c r="G602" i="13"/>
  <c r="G599" i="13"/>
  <c r="G908" i="13"/>
  <c r="G690" i="13"/>
  <c r="G816" i="13"/>
  <c r="G653" i="13"/>
  <c r="G601" i="13"/>
  <c r="G841" i="13"/>
  <c r="G713" i="13"/>
  <c r="G598" i="13"/>
  <c r="G1043" i="13"/>
  <c r="G418" i="13"/>
  <c r="G571" i="13"/>
  <c r="G953" i="13"/>
  <c r="G1021" i="13"/>
  <c r="E21" i="18"/>
  <c r="E22" i="18" s="1"/>
  <c r="G905" i="13"/>
  <c r="G1179" i="13"/>
  <c r="G701" i="13"/>
  <c r="G810" i="13"/>
  <c r="G696" i="13"/>
  <c r="G693" i="13"/>
  <c r="G963" i="13"/>
  <c r="G792" i="13"/>
  <c r="J9" i="46"/>
  <c r="H9" i="18"/>
  <c r="N8" i="47"/>
  <c r="K10" i="13"/>
  <c r="K8" i="46" s="1"/>
  <c r="K54" i="46" s="1"/>
  <c r="J63" i="46"/>
  <c r="J66" i="46" s="1"/>
  <c r="G1237" i="13" l="1"/>
  <c r="G1338" i="13" s="1"/>
  <c r="G1341" i="13" s="1"/>
  <c r="G101" i="13"/>
  <c r="G748" i="13"/>
  <c r="G285" i="13"/>
  <c r="G421" i="13" s="1"/>
  <c r="G1370" i="13" s="1"/>
  <c r="G268" i="13"/>
  <c r="G736" i="13"/>
  <c r="J69" i="46"/>
  <c r="G583" i="13"/>
  <c r="G890" i="13"/>
  <c r="G1023" i="13"/>
  <c r="G595" i="13"/>
  <c r="G902" i="13"/>
  <c r="G619" i="13"/>
  <c r="G716" i="13" s="1"/>
  <c r="K11" i="13"/>
  <c r="O8" i="47" s="1"/>
  <c r="K55" i="46"/>
  <c r="K63" i="46" s="1"/>
  <c r="K66" i="46" s="1"/>
  <c r="K7" i="34"/>
  <c r="K8" i="34" l="1"/>
  <c r="L10" i="13"/>
  <c r="L8" i="46" s="1"/>
  <c r="L55" i="46" s="1"/>
  <c r="K9" i="46"/>
  <c r="G870" i="13"/>
  <c r="I9" i="18"/>
  <c r="K68" i="46"/>
  <c r="D23" i="38"/>
  <c r="C23" i="38" s="1"/>
  <c r="L54" i="46" l="1"/>
  <c r="L63" i="46" s="1"/>
  <c r="L66" i="46" s="1"/>
  <c r="I66" i="18"/>
  <c r="K69" i="46"/>
  <c r="L7" i="34"/>
  <c r="L11" i="13"/>
  <c r="M10" i="13" s="1"/>
  <c r="M8" i="46" s="1"/>
  <c r="L68" i="46"/>
  <c r="D20" i="38"/>
  <c r="L8" i="34" l="1"/>
  <c r="J66" i="18"/>
  <c r="L69" i="46"/>
  <c r="P8" i="47"/>
  <c r="J9" i="18"/>
  <c r="L9" i="46"/>
  <c r="M54" i="46"/>
  <c r="M55" i="46"/>
  <c r="M11" i="13"/>
  <c r="M7" i="34"/>
  <c r="K8" i="18"/>
  <c r="M1375" i="13"/>
  <c r="M1440" i="13"/>
  <c r="M80" i="13"/>
  <c r="M68" i="46" l="1"/>
  <c r="E68" i="46" s="1"/>
  <c r="M63" i="46"/>
  <c r="M66" i="46" s="1"/>
  <c r="E66" i="46" s="1"/>
  <c r="M9" i="46"/>
  <c r="Q8" i="47"/>
  <c r="K9" i="18"/>
  <c r="M8" i="34"/>
  <c r="L31" i="13"/>
  <c r="L32" i="13" s="1"/>
  <c r="L10" i="46" l="1"/>
  <c r="L4" i="53"/>
  <c r="J20" i="18"/>
  <c r="K66" i="18"/>
  <c r="K159" i="18" s="1"/>
  <c r="M69" i="46"/>
  <c r="L41" i="13"/>
  <c r="L43" i="13" s="1"/>
  <c r="L37" i="13"/>
  <c r="L39" i="13"/>
  <c r="L34" i="13"/>
  <c r="L18" i="34"/>
  <c r="L11" i="46"/>
  <c r="M52" i="34"/>
  <c r="M1400" i="13"/>
  <c r="M1383" i="13"/>
  <c r="H1374" i="13"/>
  <c r="J1422" i="13"/>
  <c r="K1422" i="13" s="1"/>
  <c r="L5" i="53" l="1"/>
  <c r="L6" i="53" s="1"/>
  <c r="M16" i="48"/>
  <c r="M32" i="48" s="1"/>
  <c r="I13" i="41"/>
  <c r="I29" i="41" s="1"/>
  <c r="M37" i="34"/>
  <c r="C66" i="18"/>
  <c r="L1422" i="13"/>
  <c r="M1422" i="13"/>
  <c r="J58" i="18" l="1"/>
  <c r="J57" i="18"/>
  <c r="J55" i="18"/>
  <c r="J53" i="18"/>
  <c r="J52" i="18"/>
  <c r="J8" i="18"/>
  <c r="J7" i="18"/>
  <c r="J61" i="18" s="1"/>
  <c r="I58" i="18"/>
  <c r="I57" i="18"/>
  <c r="I55" i="18"/>
  <c r="I53" i="18"/>
  <c r="I52" i="18"/>
  <c r="I8" i="18"/>
  <c r="I7" i="18"/>
  <c r="I61" i="18" s="1"/>
  <c r="M46" i="34"/>
  <c r="M42" i="34"/>
  <c r="M41" i="34"/>
  <c r="L46" i="34"/>
  <c r="L42" i="34"/>
  <c r="L41" i="34"/>
  <c r="L1440" i="13"/>
  <c r="L1439" i="13"/>
  <c r="L1433" i="13"/>
  <c r="L1432" i="13"/>
  <c r="L1416" i="13"/>
  <c r="L1415" i="13"/>
  <c r="L1414" i="13"/>
  <c r="L1413" i="13"/>
  <c r="L1412" i="13"/>
  <c r="L1404" i="13"/>
  <c r="L1402" i="13"/>
  <c r="L1399" i="13"/>
  <c r="L1381" i="13"/>
  <c r="L1380" i="13"/>
  <c r="L1375" i="13"/>
  <c r="L1374" i="13"/>
  <c r="L1366" i="13"/>
  <c r="L1362" i="13"/>
  <c r="L1354" i="13"/>
  <c r="L1350" i="13"/>
  <c r="L80" i="13"/>
  <c r="L79" i="13"/>
  <c r="L71" i="13"/>
  <c r="K1440" i="13"/>
  <c r="K1439" i="13"/>
  <c r="K1433" i="13"/>
  <c r="K1432" i="13"/>
  <c r="K1416" i="13"/>
  <c r="K1415" i="13"/>
  <c r="K1414" i="13"/>
  <c r="K1413" i="13"/>
  <c r="K1412" i="13"/>
  <c r="K1404" i="13"/>
  <c r="K1402" i="13"/>
  <c r="K1399" i="13"/>
  <c r="K1381" i="13"/>
  <c r="K1380" i="13"/>
  <c r="K1375" i="13"/>
  <c r="K1374" i="13"/>
  <c r="K1366" i="13"/>
  <c r="K1362" i="13"/>
  <c r="K1354" i="13"/>
  <c r="K1350" i="13"/>
  <c r="K80" i="13"/>
  <c r="K79" i="13"/>
  <c r="K31" i="13"/>
  <c r="K32" i="13" s="1"/>
  <c r="K10" i="46" l="1"/>
  <c r="K4" i="53"/>
  <c r="I20" i="18"/>
  <c r="K41" i="13"/>
  <c r="K43" i="13" s="1"/>
  <c r="K37" i="13"/>
  <c r="K34" i="13"/>
  <c r="K39" i="13"/>
  <c r="K18" i="34"/>
  <c r="K11" i="46"/>
  <c r="L52" i="34"/>
  <c r="K71" i="13"/>
  <c r="K64" i="13"/>
  <c r="I47" i="18" s="1"/>
  <c r="K63" i="13"/>
  <c r="I46" i="18" s="1"/>
  <c r="K1581" i="13"/>
  <c r="I69" i="18" s="1"/>
  <c r="L65" i="13"/>
  <c r="J48" i="18" s="1"/>
  <c r="L63" i="13"/>
  <c r="J46" i="18" s="1"/>
  <c r="L1581" i="13"/>
  <c r="J69" i="18" s="1"/>
  <c r="I11" i="18"/>
  <c r="K67" i="13"/>
  <c r="I50" i="18" s="1"/>
  <c r="L40" i="34"/>
  <c r="L67" i="13"/>
  <c r="J50" i="18" s="1"/>
  <c r="L61" i="13"/>
  <c r="J44" i="18" s="1"/>
  <c r="K62" i="13"/>
  <c r="I45" i="18" s="1"/>
  <c r="K61" i="13"/>
  <c r="I44" i="18" s="1"/>
  <c r="J11" i="18"/>
  <c r="L62" i="13"/>
  <c r="J45" i="18" s="1"/>
  <c r="L64" i="13"/>
  <c r="J47" i="18" s="1"/>
  <c r="L1457" i="13"/>
  <c r="L1458" i="13" s="1"/>
  <c r="M1459" i="13" s="1"/>
  <c r="L1431" i="13"/>
  <c r="L1407" i="13"/>
  <c r="L1403" i="13"/>
  <c r="L1395" i="13"/>
  <c r="L1385" i="13"/>
  <c r="L1430" i="13"/>
  <c r="L1406" i="13"/>
  <c r="L1394" i="13"/>
  <c r="L1405" i="13"/>
  <c r="L1401" i="13"/>
  <c r="L1393" i="13"/>
  <c r="L1387" i="13"/>
  <c r="L1383" i="13"/>
  <c r="L1400" i="13"/>
  <c r="L1396" i="13"/>
  <c r="L1392" i="13"/>
  <c r="L1386" i="13"/>
  <c r="L66" i="13"/>
  <c r="J49" i="18" s="1"/>
  <c r="L70" i="13"/>
  <c r="J56" i="18" s="1"/>
  <c r="K1457" i="13"/>
  <c r="K1458" i="13" s="1"/>
  <c r="K1431" i="13"/>
  <c r="K1407" i="13"/>
  <c r="K1403" i="13"/>
  <c r="K1395" i="13"/>
  <c r="K1385" i="13"/>
  <c r="K1430" i="13"/>
  <c r="K1406" i="13"/>
  <c r="K1394" i="13"/>
  <c r="K1405" i="13"/>
  <c r="K1401" i="13"/>
  <c r="K1393" i="13"/>
  <c r="K1387" i="13"/>
  <c r="K1396" i="13"/>
  <c r="K1392" i="13"/>
  <c r="K1386" i="13"/>
  <c r="K65" i="13"/>
  <c r="I48" i="18" s="1"/>
  <c r="K70" i="13"/>
  <c r="I56" i="18" s="1"/>
  <c r="K66" i="13"/>
  <c r="I49" i="18" s="1"/>
  <c r="L9" i="53" l="1"/>
  <c r="M29" i="53" s="1"/>
  <c r="K5" i="53"/>
  <c r="K6" i="53" s="1"/>
  <c r="L11" i="53" s="1"/>
  <c r="L16" i="48"/>
  <c r="L32" i="48" s="1"/>
  <c r="H13" i="41"/>
  <c r="H29" i="41" s="1"/>
  <c r="L37" i="34"/>
  <c r="J147" i="18"/>
  <c r="J14" i="18"/>
  <c r="K14" i="18"/>
  <c r="I155" i="18"/>
  <c r="I163" i="18"/>
  <c r="I162" i="18"/>
  <c r="I161" i="18"/>
  <c r="I159" i="18"/>
  <c r="I158" i="18"/>
  <c r="J163" i="18"/>
  <c r="J162" i="18"/>
  <c r="J155" i="18"/>
  <c r="J161" i="18"/>
  <c r="J159" i="18"/>
  <c r="J158" i="18"/>
  <c r="I136" i="18"/>
  <c r="I141" i="18"/>
  <c r="J135" i="18"/>
  <c r="J137" i="18"/>
  <c r="J144" i="18"/>
  <c r="I144" i="18"/>
  <c r="I147" i="18"/>
  <c r="I140" i="18"/>
  <c r="J136" i="18"/>
  <c r="J138" i="18"/>
  <c r="I139" i="18"/>
  <c r="J141" i="18"/>
  <c r="J139" i="18"/>
  <c r="I148" i="18"/>
  <c r="J146" i="18"/>
  <c r="I135" i="18"/>
  <c r="J140" i="18"/>
  <c r="I149" i="18"/>
  <c r="I38" i="18"/>
  <c r="J149" i="18"/>
  <c r="J148" i="18"/>
  <c r="J38" i="18"/>
  <c r="I137" i="18"/>
  <c r="I138" i="18"/>
  <c r="J143" i="18"/>
  <c r="I146" i="18"/>
  <c r="I143" i="18"/>
  <c r="K143" i="18"/>
  <c r="K69" i="18"/>
  <c r="K158" i="18" s="1"/>
  <c r="J54" i="18"/>
  <c r="J145" i="18" s="1"/>
  <c r="I54" i="18"/>
  <c r="I145" i="18" s="1"/>
  <c r="L20" i="34"/>
  <c r="L21" i="34" s="1"/>
  <c r="L22" i="34"/>
  <c r="M40" i="34"/>
  <c r="M22" i="34"/>
  <c r="M20" i="34"/>
  <c r="M21" i="34" s="1"/>
  <c r="L1435" i="13"/>
  <c r="K1435" i="13"/>
  <c r="L1459" i="13"/>
  <c r="L1462" i="13"/>
  <c r="K1462" i="13"/>
  <c r="L15" i="53" l="1"/>
  <c r="M15" i="53" s="1"/>
  <c r="M35" i="53" s="1"/>
  <c r="M36" i="53" s="1"/>
  <c r="M37" i="53" s="1"/>
  <c r="M38" i="53" s="1"/>
  <c r="K139" i="18"/>
  <c r="K138" i="18"/>
  <c r="K149" i="18"/>
  <c r="K147" i="18"/>
  <c r="K136" i="18"/>
  <c r="K135" i="18"/>
  <c r="K137" i="18"/>
  <c r="K148" i="18"/>
  <c r="K141" i="18"/>
  <c r="K140" i="18"/>
  <c r="K144" i="18"/>
  <c r="K146" i="18"/>
  <c r="K145" i="18"/>
  <c r="G55" i="18"/>
  <c r="H55" i="18"/>
  <c r="C55" i="18" l="1"/>
  <c r="K81" i="13" l="1"/>
  <c r="K1441" i="13"/>
  <c r="K139" i="13" l="1"/>
  <c r="K1210" i="13" s="1"/>
  <c r="K162" i="13"/>
  <c r="K158" i="13"/>
  <c r="K1229" i="13" s="1"/>
  <c r="K151" i="13"/>
  <c r="K1222" i="13" s="1"/>
  <c r="K147" i="13"/>
  <c r="K143" i="13"/>
  <c r="K135" i="13"/>
  <c r="K131" i="13"/>
  <c r="K137" i="13"/>
  <c r="K163" i="13"/>
  <c r="K1234" i="13" s="1"/>
  <c r="K159" i="13"/>
  <c r="K1230" i="13" s="1"/>
  <c r="K155" i="13"/>
  <c r="K148" i="13"/>
  <c r="K144" i="13"/>
  <c r="K136" i="13"/>
  <c r="K132" i="13"/>
  <c r="K160" i="13"/>
  <c r="K1231" i="13" s="1"/>
  <c r="K156" i="13"/>
  <c r="K1227" i="13" s="1"/>
  <c r="K149" i="13"/>
  <c r="K145" i="13"/>
  <c r="K133" i="13"/>
  <c r="K161" i="13"/>
  <c r="K1232" i="13" s="1"/>
  <c r="K138" i="13"/>
  <c r="K157" i="13"/>
  <c r="K1228" i="13" s="1"/>
  <c r="K134" i="13"/>
  <c r="K146" i="13"/>
  <c r="K150" i="13"/>
  <c r="K1221" i="13" s="1"/>
  <c r="K263" i="13"/>
  <c r="K258" i="13"/>
  <c r="K253" i="13"/>
  <c r="K249" i="13"/>
  <c r="K244" i="13"/>
  <c r="K239" i="13"/>
  <c r="K234" i="13"/>
  <c r="K229" i="13"/>
  <c r="K225" i="13"/>
  <c r="K262" i="13"/>
  <c r="K233" i="13"/>
  <c r="K264" i="13"/>
  <c r="K259" i="13"/>
  <c r="K255" i="13"/>
  <c r="K250" i="13"/>
  <c r="K245" i="13"/>
  <c r="K240" i="13"/>
  <c r="K235" i="13"/>
  <c r="K231" i="13"/>
  <c r="K226" i="13"/>
  <c r="K257" i="13"/>
  <c r="K252" i="13"/>
  <c r="K247" i="13"/>
  <c r="K243" i="13"/>
  <c r="K228" i="13"/>
  <c r="K265" i="13"/>
  <c r="K261" i="13"/>
  <c r="K256" i="13"/>
  <c r="K251" i="13"/>
  <c r="K246" i="13"/>
  <c r="K241" i="13"/>
  <c r="K237" i="13"/>
  <c r="K232" i="13"/>
  <c r="K227" i="13"/>
  <c r="K238" i="13"/>
  <c r="K1376" i="13"/>
  <c r="K212" i="13"/>
  <c r="K192" i="13"/>
  <c r="K173" i="13"/>
  <c r="K223" i="13"/>
  <c r="K204" i="13"/>
  <c r="K185" i="13"/>
  <c r="K124" i="13"/>
  <c r="K174" i="13"/>
  <c r="K213" i="13"/>
  <c r="K196" i="13"/>
  <c r="K198" i="13"/>
  <c r="K125" i="13"/>
  <c r="K182" i="13"/>
  <c r="K220" i="13"/>
  <c r="K197" i="13"/>
  <c r="K203" i="13"/>
  <c r="K189" i="13"/>
  <c r="K172" i="13"/>
  <c r="K207" i="13"/>
  <c r="K188" i="13"/>
  <c r="K219" i="13"/>
  <c r="K200" i="13"/>
  <c r="K180" i="13"/>
  <c r="K117" i="13"/>
  <c r="K184" i="13"/>
  <c r="K222" i="13"/>
  <c r="K206" i="13"/>
  <c r="K208" i="13"/>
  <c r="K191" i="13"/>
  <c r="K216" i="13"/>
  <c r="K115" i="13"/>
  <c r="K209" i="13"/>
  <c r="K179" i="13"/>
  <c r="K114" i="13"/>
  <c r="K210" i="13"/>
  <c r="K221" i="13"/>
  <c r="K202" i="13"/>
  <c r="K183" i="13"/>
  <c r="K126" i="13"/>
  <c r="K1197" i="13" s="1"/>
  <c r="K214" i="13"/>
  <c r="K195" i="13"/>
  <c r="K176" i="13"/>
  <c r="K116" i="13"/>
  <c r="K194" i="13"/>
  <c r="K118" i="13"/>
  <c r="K177" i="13"/>
  <c r="K215" i="13"/>
  <c r="K218" i="13"/>
  <c r="K201" i="13"/>
  <c r="K178" i="13"/>
  <c r="K190" i="13"/>
  <c r="K186" i="13"/>
  <c r="K123" i="13"/>
  <c r="B277" i="13"/>
  <c r="B276" i="13"/>
  <c r="B275" i="13"/>
  <c r="D11" i="35"/>
  <c r="D12" i="35"/>
  <c r="D13" i="35"/>
  <c r="D14" i="35"/>
  <c r="D15" i="35"/>
  <c r="D16" i="35"/>
  <c r="D17" i="35"/>
  <c r="D18" i="35"/>
  <c r="D19" i="35"/>
  <c r="D20" i="35"/>
  <c r="D21" i="35"/>
  <c r="D22" i="35"/>
  <c r="D23" i="35"/>
  <c r="D24" i="35"/>
  <c r="D25" i="35"/>
  <c r="D26" i="35"/>
  <c r="D10" i="35"/>
  <c r="M60" i="13" l="1"/>
  <c r="K43" i="18" s="1"/>
  <c r="L60" i="13"/>
  <c r="J43" i="18" s="1"/>
  <c r="J134" i="18" s="1"/>
  <c r="K60" i="13"/>
  <c r="I43" i="18" s="1"/>
  <c r="I134" i="18" s="1"/>
  <c r="K312" i="13"/>
  <c r="K763" i="13" s="1"/>
  <c r="V763" i="13" s="1"/>
  <c r="K1226" i="13"/>
  <c r="K1075" i="13"/>
  <c r="K1233" i="13"/>
  <c r="K1061" i="13"/>
  <c r="K1217" i="13"/>
  <c r="K1059" i="13"/>
  <c r="K1215" i="13"/>
  <c r="K1058" i="13"/>
  <c r="K1214" i="13"/>
  <c r="K1060" i="13"/>
  <c r="K1216" i="13"/>
  <c r="K1065" i="13"/>
  <c r="K1064" i="13"/>
  <c r="K1220" i="13"/>
  <c r="K1063" i="13"/>
  <c r="K1219" i="13"/>
  <c r="K1062" i="13"/>
  <c r="K1218" i="13"/>
  <c r="K1070" i="13"/>
  <c r="K1203" i="13"/>
  <c r="K1047" i="13"/>
  <c r="K308" i="13"/>
  <c r="K1066" i="13"/>
  <c r="K1209" i="13"/>
  <c r="K1053" i="13"/>
  <c r="K1207" i="13"/>
  <c r="K1051" i="13"/>
  <c r="K1072" i="13"/>
  <c r="K1206" i="13"/>
  <c r="K1050" i="13"/>
  <c r="K1071" i="13"/>
  <c r="K1074" i="13"/>
  <c r="K1079" i="13"/>
  <c r="K1076" i="13"/>
  <c r="K1202" i="13"/>
  <c r="K1046" i="13"/>
  <c r="K1205" i="13"/>
  <c r="K1049" i="13"/>
  <c r="K1204" i="13"/>
  <c r="K1048" i="13"/>
  <c r="K1073" i="13"/>
  <c r="K1208" i="13"/>
  <c r="K1052" i="13"/>
  <c r="K313" i="13"/>
  <c r="K320" i="13"/>
  <c r="K771" i="13" s="1"/>
  <c r="V771" i="13" s="1"/>
  <c r="K314" i="13"/>
  <c r="K288" i="13"/>
  <c r="K307" i="13"/>
  <c r="K758" i="13" s="1"/>
  <c r="V758" i="13" s="1"/>
  <c r="K306" i="13"/>
  <c r="K757" i="13" s="1"/>
  <c r="V757" i="13" s="1"/>
  <c r="K316" i="13"/>
  <c r="K292" i="13"/>
  <c r="K303" i="13"/>
  <c r="K754" i="13" s="1"/>
  <c r="V754" i="13" s="1"/>
  <c r="K318" i="13"/>
  <c r="K301" i="13"/>
  <c r="K752" i="13" s="1"/>
  <c r="V752" i="13" s="1"/>
  <c r="K300" i="13"/>
  <c r="K751" i="13" s="1"/>
  <c r="K319" i="13"/>
  <c r="K302" i="13"/>
  <c r="K753" i="13" s="1"/>
  <c r="V753" i="13" s="1"/>
  <c r="K289" i="13"/>
  <c r="K295" i="13"/>
  <c r="K293" i="13"/>
  <c r="K315" i="13"/>
  <c r="K920" i="13" s="1"/>
  <c r="K291" i="13"/>
  <c r="K290" i="13"/>
  <c r="K317" i="13"/>
  <c r="K305" i="13"/>
  <c r="K756" i="13" s="1"/>
  <c r="V756" i="13" s="1"/>
  <c r="K294" i="13"/>
  <c r="K304" i="13"/>
  <c r="K755" i="13" s="1"/>
  <c r="V755" i="13" s="1"/>
  <c r="K296" i="13"/>
  <c r="K747" i="13" s="1"/>
  <c r="V747" i="13" s="1"/>
  <c r="K267" i="13"/>
  <c r="F25" i="35"/>
  <c r="H25" i="35"/>
  <c r="I25" i="35"/>
  <c r="F21" i="35"/>
  <c r="H21" i="35"/>
  <c r="I21" i="35"/>
  <c r="F17" i="35"/>
  <c r="H17" i="35"/>
  <c r="I17" i="35"/>
  <c r="F13" i="35"/>
  <c r="H13" i="35"/>
  <c r="I13" i="35"/>
  <c r="F26" i="35"/>
  <c r="I26" i="35"/>
  <c r="H26" i="35"/>
  <c r="F22" i="35"/>
  <c r="I22" i="35"/>
  <c r="H22" i="35"/>
  <c r="F18" i="35"/>
  <c r="I18" i="35"/>
  <c r="H18" i="35"/>
  <c r="F14" i="35"/>
  <c r="I14" i="35"/>
  <c r="H14" i="35"/>
  <c r="F24" i="35"/>
  <c r="I24" i="35"/>
  <c r="H24" i="35"/>
  <c r="F20" i="35"/>
  <c r="I20" i="35"/>
  <c r="H20" i="35"/>
  <c r="F16" i="35"/>
  <c r="I16" i="35"/>
  <c r="H16" i="35"/>
  <c r="C45" i="13"/>
  <c r="M59" i="13" s="1"/>
  <c r="H12" i="35"/>
  <c r="I12" i="35"/>
  <c r="F10" i="35"/>
  <c r="G10" i="35" s="1"/>
  <c r="I10" i="35"/>
  <c r="H10" i="35"/>
  <c r="F23" i="35"/>
  <c r="I23" i="35"/>
  <c r="H23" i="35"/>
  <c r="F19" i="35"/>
  <c r="I19" i="35"/>
  <c r="H19" i="35"/>
  <c r="F15" i="35"/>
  <c r="I15" i="35"/>
  <c r="H15" i="35"/>
  <c r="F11" i="35"/>
  <c r="I11" i="35"/>
  <c r="H11" i="35"/>
  <c r="L81" i="13"/>
  <c r="L1376" i="13"/>
  <c r="L1441" i="13"/>
  <c r="M1441" i="13"/>
  <c r="M81" i="13"/>
  <c r="K1167" i="13"/>
  <c r="K406" i="13"/>
  <c r="K1326" i="13"/>
  <c r="K1106" i="13"/>
  <c r="K345" i="13"/>
  <c r="K1265" i="13"/>
  <c r="K1292" i="13"/>
  <c r="K1133" i="13"/>
  <c r="K372" i="13"/>
  <c r="K1188" i="13"/>
  <c r="K274" i="13"/>
  <c r="K1032" i="13"/>
  <c r="K1290" i="13"/>
  <c r="K370" i="13"/>
  <c r="K1131" i="13"/>
  <c r="K340" i="13"/>
  <c r="K1260" i="13"/>
  <c r="K1101" i="13"/>
  <c r="K1146" i="13"/>
  <c r="K385" i="13"/>
  <c r="K1305" i="13"/>
  <c r="K1256" i="13"/>
  <c r="K336" i="13"/>
  <c r="K1097" i="13"/>
  <c r="K1124" i="13"/>
  <c r="K363" i="13"/>
  <c r="K1283" i="13"/>
  <c r="K1194" i="13"/>
  <c r="K1038" i="13"/>
  <c r="K128" i="13"/>
  <c r="K100" i="13" s="1"/>
  <c r="K280" i="13"/>
  <c r="K1299" i="13"/>
  <c r="K379" i="13"/>
  <c r="K1140" i="13"/>
  <c r="K390" i="13"/>
  <c r="K1310" i="13"/>
  <c r="K1151" i="13"/>
  <c r="K1130" i="13"/>
  <c r="K369" i="13"/>
  <c r="K1289" i="13"/>
  <c r="K1089" i="13"/>
  <c r="K328" i="13"/>
  <c r="K1248" i="13"/>
  <c r="K1189" i="13"/>
  <c r="K1033" i="13"/>
  <c r="K275" i="13"/>
  <c r="K1126" i="13"/>
  <c r="K1285" i="13"/>
  <c r="K365" i="13"/>
  <c r="K1152" i="13"/>
  <c r="K391" i="13"/>
  <c r="K1311" i="13"/>
  <c r="K1091" i="13"/>
  <c r="K330" i="13"/>
  <c r="K1250" i="13"/>
  <c r="K1153" i="13"/>
  <c r="K392" i="13"/>
  <c r="K1312" i="13"/>
  <c r="K1128" i="13"/>
  <c r="K367" i="13"/>
  <c r="K1287" i="13"/>
  <c r="K342" i="13"/>
  <c r="K1262" i="13"/>
  <c r="K1103" i="13"/>
  <c r="K1173" i="13"/>
  <c r="K412" i="13"/>
  <c r="K1332" i="13"/>
  <c r="K1309" i="13"/>
  <c r="K389" i="13"/>
  <c r="K1150" i="13"/>
  <c r="K1259" i="13"/>
  <c r="K339" i="13"/>
  <c r="K1100" i="13"/>
  <c r="K1176" i="13"/>
  <c r="K415" i="13"/>
  <c r="K1335" i="13"/>
  <c r="K1115" i="13"/>
  <c r="K354" i="13"/>
  <c r="K1274" i="13"/>
  <c r="K1170" i="13"/>
  <c r="K409" i="13"/>
  <c r="K1329" i="13"/>
  <c r="K1149" i="13"/>
  <c r="K388" i="13"/>
  <c r="K1308" i="13"/>
  <c r="K1108" i="13"/>
  <c r="K347" i="13"/>
  <c r="K1267" i="13"/>
  <c r="K1086" i="13"/>
  <c r="K325" i="13"/>
  <c r="K1245" i="13"/>
  <c r="K1275" i="13"/>
  <c r="K355" i="13"/>
  <c r="K1116" i="13"/>
  <c r="K1143" i="13"/>
  <c r="K382" i="13"/>
  <c r="K1302" i="13"/>
  <c r="K416" i="13"/>
  <c r="K1336" i="13"/>
  <c r="K1177" i="13"/>
  <c r="K1168" i="13"/>
  <c r="K407" i="13"/>
  <c r="K1327" i="13"/>
  <c r="K1266" i="13"/>
  <c r="K346" i="13"/>
  <c r="K1107" i="13"/>
  <c r="K273" i="13"/>
  <c r="K1031" i="13"/>
  <c r="K120" i="13"/>
  <c r="K99" i="13" s="1"/>
  <c r="K1187" i="13"/>
  <c r="K359" i="13"/>
  <c r="K1120" i="13"/>
  <c r="K1279" i="13"/>
  <c r="K1196" i="13"/>
  <c r="K282" i="13"/>
  <c r="K1040" i="13"/>
  <c r="K337" i="13"/>
  <c r="K1257" i="13"/>
  <c r="K1098" i="13"/>
  <c r="K352" i="13"/>
  <c r="K1272" i="13"/>
  <c r="K1113" i="13"/>
  <c r="K1035" i="13"/>
  <c r="K277" i="13"/>
  <c r="K1191" i="13"/>
  <c r="K1304" i="13"/>
  <c r="K384" i="13"/>
  <c r="K1145" i="13"/>
  <c r="K1095" i="13"/>
  <c r="K1254" i="13"/>
  <c r="K334" i="13"/>
  <c r="K1330" i="13"/>
  <c r="K1171" i="13"/>
  <c r="K410" i="13"/>
  <c r="K414" i="13"/>
  <c r="K1334" i="13"/>
  <c r="K1175" i="13"/>
  <c r="K1147" i="13"/>
  <c r="K386" i="13"/>
  <c r="K1306" i="13"/>
  <c r="K1156" i="13"/>
  <c r="K395" i="13"/>
  <c r="K1315" i="13"/>
  <c r="K1134" i="13"/>
  <c r="K373" i="13"/>
  <c r="K1293" i="13"/>
  <c r="K1251" i="13"/>
  <c r="K331" i="13"/>
  <c r="K1092" i="13"/>
  <c r="K1328" i="13"/>
  <c r="K408" i="13"/>
  <c r="K1169" i="13"/>
  <c r="K1119" i="13"/>
  <c r="K358" i="13"/>
  <c r="K1278" i="13"/>
  <c r="K1243" i="13"/>
  <c r="K323" i="13"/>
  <c r="V774" i="13" s="1"/>
  <c r="K1084" i="13"/>
  <c r="K1132" i="13"/>
  <c r="K371" i="13"/>
  <c r="K1291" i="13"/>
  <c r="K1110" i="13"/>
  <c r="K349" i="13"/>
  <c r="K1269" i="13"/>
  <c r="K1039" i="13"/>
  <c r="K281" i="13"/>
  <c r="K1195" i="13"/>
  <c r="K1294" i="13"/>
  <c r="K374" i="13"/>
  <c r="K1135" i="13"/>
  <c r="K1244" i="13"/>
  <c r="K324" i="13"/>
  <c r="K1085" i="13"/>
  <c r="K1162" i="13"/>
  <c r="K401" i="13"/>
  <c r="K1321" i="13"/>
  <c r="K1261" i="13"/>
  <c r="K341" i="13"/>
  <c r="K1102" i="13"/>
  <c r="K1127" i="13"/>
  <c r="K366" i="13"/>
  <c r="K1286" i="13"/>
  <c r="K380" i="13"/>
  <c r="K1300" i="13"/>
  <c r="K1141" i="13"/>
  <c r="K1190" i="13"/>
  <c r="K276" i="13"/>
  <c r="K1034" i="13"/>
  <c r="K1157" i="13"/>
  <c r="K396" i="13"/>
  <c r="K1316" i="13"/>
  <c r="K1109" i="13"/>
  <c r="K348" i="13"/>
  <c r="K1268" i="13"/>
  <c r="K1125" i="13"/>
  <c r="K364" i="13"/>
  <c r="K1284" i="13"/>
  <c r="K1333" i="13"/>
  <c r="K413" i="13"/>
  <c r="K1174" i="13"/>
  <c r="K400" i="13"/>
  <c r="K1320" i="13"/>
  <c r="K1161" i="13"/>
  <c r="K1249" i="13"/>
  <c r="K329" i="13"/>
  <c r="K1090" i="13"/>
  <c r="K1324" i="13"/>
  <c r="K1165" i="13"/>
  <c r="K404" i="13"/>
  <c r="K1144" i="13"/>
  <c r="K383" i="13"/>
  <c r="K1303" i="13"/>
  <c r="K1088" i="13"/>
  <c r="K1247" i="13"/>
  <c r="K327" i="13"/>
  <c r="V778" i="13" s="1"/>
  <c r="K1323" i="13"/>
  <c r="K403" i="13"/>
  <c r="K1164" i="13"/>
  <c r="K1114" i="13"/>
  <c r="K353" i="13"/>
  <c r="K1273" i="13"/>
  <c r="K361" i="13"/>
  <c r="K1281" i="13"/>
  <c r="K1122" i="13"/>
  <c r="K376" i="13"/>
  <c r="K1296" i="13"/>
  <c r="K1137" i="13"/>
  <c r="K1280" i="13"/>
  <c r="K360" i="13"/>
  <c r="K1121" i="13"/>
  <c r="K1158" i="13"/>
  <c r="K397" i="13"/>
  <c r="K1317" i="13"/>
  <c r="K1118" i="13"/>
  <c r="K357" i="13"/>
  <c r="K1277" i="13"/>
  <c r="K1096" i="13"/>
  <c r="K335" i="13"/>
  <c r="K1255" i="13"/>
  <c r="K1271" i="13"/>
  <c r="K351" i="13"/>
  <c r="K1112" i="13"/>
  <c r="K1138" i="13"/>
  <c r="K377" i="13"/>
  <c r="K1297" i="13"/>
  <c r="K378" i="13"/>
  <c r="K1298" i="13"/>
  <c r="K1139" i="13"/>
  <c r="K1318" i="13"/>
  <c r="K398" i="13"/>
  <c r="K1159" i="13"/>
  <c r="K1094" i="13"/>
  <c r="K333" i="13"/>
  <c r="K1253" i="13"/>
  <c r="K1163" i="13"/>
  <c r="K402" i="13"/>
  <c r="K1322" i="13"/>
  <c r="K1314" i="13"/>
  <c r="K394" i="13"/>
  <c r="K1155" i="13"/>
  <c r="K1263" i="13"/>
  <c r="K343" i="13"/>
  <c r="K1104" i="13"/>
  <c r="F12" i="35"/>
  <c r="G12" i="35" s="1"/>
  <c r="K12" i="35" s="1"/>
  <c r="D45" i="38"/>
  <c r="C45" i="38" s="1"/>
  <c r="D48" i="38"/>
  <c r="C48" i="38" s="1"/>
  <c r="D49" i="38"/>
  <c r="C49" i="38" s="1"/>
  <c r="D50" i="38"/>
  <c r="C50" i="38" s="1"/>
  <c r="D54" i="38"/>
  <c r="C54" i="38" s="1"/>
  <c r="D19" i="38"/>
  <c r="E27" i="35"/>
  <c r="K917" i="13" l="1"/>
  <c r="K610" i="13"/>
  <c r="K1223" i="13"/>
  <c r="K1235" i="13"/>
  <c r="K1211" i="13"/>
  <c r="K922" i="13"/>
  <c r="K768" i="13"/>
  <c r="V768" i="13" s="1"/>
  <c r="K924" i="13"/>
  <c r="K770" i="13"/>
  <c r="V770" i="13" s="1"/>
  <c r="K923" i="13"/>
  <c r="K769" i="13"/>
  <c r="V769" i="13" s="1"/>
  <c r="K921" i="13"/>
  <c r="K767" i="13"/>
  <c r="K925" i="13"/>
  <c r="K765" i="13"/>
  <c r="V765" i="13" s="1"/>
  <c r="K919" i="13"/>
  <c r="K913" i="13"/>
  <c r="K759" i="13"/>
  <c r="V759" i="13" s="1"/>
  <c r="K766" i="13"/>
  <c r="V766" i="13" s="1"/>
  <c r="V751" i="13"/>
  <c r="K918" i="13"/>
  <c r="K764" i="13"/>
  <c r="J10" i="35"/>
  <c r="K10" i="35"/>
  <c r="I17" i="18"/>
  <c r="K102" i="13"/>
  <c r="K611" i="13"/>
  <c r="K613" i="13"/>
  <c r="K614" i="13"/>
  <c r="M160" i="13"/>
  <c r="M1231" i="13" s="1"/>
  <c r="M156" i="13"/>
  <c r="M1227" i="13" s="1"/>
  <c r="M149" i="13"/>
  <c r="M145" i="13"/>
  <c r="M137" i="13"/>
  <c r="M133" i="13"/>
  <c r="M1048" i="13" s="1"/>
  <c r="M139" i="13"/>
  <c r="M1210" i="13" s="1"/>
  <c r="M162" i="13"/>
  <c r="M151" i="13"/>
  <c r="M1222" i="13" s="1"/>
  <c r="M143" i="13"/>
  <c r="M135" i="13"/>
  <c r="M131" i="13"/>
  <c r="M161" i="13"/>
  <c r="M1232" i="13" s="1"/>
  <c r="M157" i="13"/>
  <c r="M1228" i="13" s="1"/>
  <c r="M150" i="13"/>
  <c r="M1221" i="13" s="1"/>
  <c r="M146" i="13"/>
  <c r="M138" i="13"/>
  <c r="M134" i="13"/>
  <c r="M158" i="13"/>
  <c r="M1229" i="13" s="1"/>
  <c r="M147" i="13"/>
  <c r="M163" i="13"/>
  <c r="M1234" i="13" s="1"/>
  <c r="M144" i="13"/>
  <c r="M155" i="13"/>
  <c r="M159" i="13"/>
  <c r="M1230" i="13" s="1"/>
  <c r="M136" i="13"/>
  <c r="M148" i="13"/>
  <c r="M132" i="13"/>
  <c r="L163" i="13"/>
  <c r="L1234" i="13" s="1"/>
  <c r="L159" i="13"/>
  <c r="L1230" i="13" s="1"/>
  <c r="L155" i="13"/>
  <c r="L1226" i="13" s="1"/>
  <c r="L148" i="13"/>
  <c r="L144" i="13"/>
  <c r="L136" i="13"/>
  <c r="L132" i="13"/>
  <c r="L161" i="13"/>
  <c r="L1232" i="13" s="1"/>
  <c r="L150" i="13"/>
  <c r="L1221" i="13" s="1"/>
  <c r="L138" i="13"/>
  <c r="L139" i="13"/>
  <c r="L1210" i="13" s="1"/>
  <c r="L160" i="13"/>
  <c r="L1231" i="13" s="1"/>
  <c r="L156" i="13"/>
  <c r="L1227" i="13" s="1"/>
  <c r="L149" i="13"/>
  <c r="L145" i="13"/>
  <c r="L137" i="13"/>
  <c r="L133" i="13"/>
  <c r="L157" i="13"/>
  <c r="L1228" i="13" s="1"/>
  <c r="L146" i="13"/>
  <c r="L134" i="13"/>
  <c r="L151" i="13"/>
  <c r="L131" i="13"/>
  <c r="L162" i="13"/>
  <c r="L143" i="13"/>
  <c r="L147" i="13"/>
  <c r="L158" i="13"/>
  <c r="L1229" i="13" s="1"/>
  <c r="L135" i="13"/>
  <c r="K615" i="13"/>
  <c r="K617" i="13"/>
  <c r="K616" i="13"/>
  <c r="L264" i="13"/>
  <c r="L415" i="13" s="1"/>
  <c r="L259" i="13"/>
  <c r="L1171" i="13" s="1"/>
  <c r="L255" i="13"/>
  <c r="L406" i="13" s="1"/>
  <c r="L250" i="13"/>
  <c r="L401" i="13" s="1"/>
  <c r="L245" i="13"/>
  <c r="L396" i="13" s="1"/>
  <c r="L240" i="13"/>
  <c r="L1152" i="13" s="1"/>
  <c r="L235" i="13"/>
  <c r="L1147" i="13" s="1"/>
  <c r="L231" i="13"/>
  <c r="L382" i="13" s="1"/>
  <c r="L226" i="13"/>
  <c r="L1297" i="13" s="1"/>
  <c r="L258" i="13"/>
  <c r="L409" i="13" s="1"/>
  <c r="L253" i="13"/>
  <c r="L404" i="13" s="1"/>
  <c r="L249" i="13"/>
  <c r="L1320" i="13" s="1"/>
  <c r="L239" i="13"/>
  <c r="L390" i="13" s="1"/>
  <c r="L229" i="13"/>
  <c r="L1300" i="13" s="1"/>
  <c r="L265" i="13"/>
  <c r="L1336" i="13" s="1"/>
  <c r="L261" i="13"/>
  <c r="L412" i="13" s="1"/>
  <c r="L256" i="13"/>
  <c r="L1327" i="13" s="1"/>
  <c r="L251" i="13"/>
  <c r="L402" i="13" s="1"/>
  <c r="L246" i="13"/>
  <c r="L1158" i="13" s="1"/>
  <c r="L241" i="13"/>
  <c r="L392" i="13" s="1"/>
  <c r="L237" i="13"/>
  <c r="L1308" i="13" s="1"/>
  <c r="L232" i="13"/>
  <c r="L1144" i="13" s="1"/>
  <c r="L227" i="13"/>
  <c r="L1298" i="13" s="1"/>
  <c r="L263" i="13"/>
  <c r="L414" i="13" s="1"/>
  <c r="L244" i="13"/>
  <c r="L1156" i="13" s="1"/>
  <c r="L234" i="13"/>
  <c r="L1305" i="13" s="1"/>
  <c r="L262" i="13"/>
  <c r="L413" i="13" s="1"/>
  <c r="L257" i="13"/>
  <c r="L1328" i="13" s="1"/>
  <c r="L252" i="13"/>
  <c r="L1164" i="13" s="1"/>
  <c r="L247" i="13"/>
  <c r="L398" i="13" s="1"/>
  <c r="L243" i="13"/>
  <c r="L394" i="13" s="1"/>
  <c r="L238" i="13"/>
  <c r="L389" i="13" s="1"/>
  <c r="L233" i="13"/>
  <c r="L384" i="13" s="1"/>
  <c r="L228" i="13"/>
  <c r="L1299" i="13" s="1"/>
  <c r="L225" i="13"/>
  <c r="M265" i="13"/>
  <c r="M261" i="13"/>
  <c r="M256" i="13"/>
  <c r="M251" i="13"/>
  <c r="M246" i="13"/>
  <c r="M241" i="13"/>
  <c r="M237" i="13"/>
  <c r="M232" i="13"/>
  <c r="M227" i="13"/>
  <c r="M262" i="13"/>
  <c r="M257" i="13"/>
  <c r="M252" i="13"/>
  <c r="M247" i="13"/>
  <c r="M243" i="13"/>
  <c r="M238" i="13"/>
  <c r="M233" i="13"/>
  <c r="M228" i="13"/>
  <c r="M225" i="13"/>
  <c r="M250" i="13"/>
  <c r="M245" i="13"/>
  <c r="M240" i="13"/>
  <c r="M263" i="13"/>
  <c r="M258" i="13"/>
  <c r="M253" i="13"/>
  <c r="M249" i="13"/>
  <c r="M244" i="13"/>
  <c r="M239" i="13"/>
  <c r="M234" i="13"/>
  <c r="M229" i="13"/>
  <c r="M264" i="13"/>
  <c r="M259" i="13"/>
  <c r="M255" i="13"/>
  <c r="M235" i="13"/>
  <c r="M231" i="13"/>
  <c r="M226" i="13"/>
  <c r="K321" i="13"/>
  <c r="K926" i="13" s="1"/>
  <c r="K309" i="13"/>
  <c r="K297" i="13"/>
  <c r="L189" i="13"/>
  <c r="L340" i="13" s="1"/>
  <c r="M75" i="13"/>
  <c r="M1390" i="13" s="1"/>
  <c r="J12" i="35"/>
  <c r="M1388" i="13"/>
  <c r="K42" i="18"/>
  <c r="M1389" i="13"/>
  <c r="L212" i="13"/>
  <c r="L363" i="13" s="1"/>
  <c r="L116" i="13"/>
  <c r="L1189" i="13" s="1"/>
  <c r="L126" i="13"/>
  <c r="L1197" i="13" s="1"/>
  <c r="L179" i="13"/>
  <c r="L1250" i="13" s="1"/>
  <c r="L218" i="13"/>
  <c r="L1289" i="13" s="1"/>
  <c r="L203" i="13"/>
  <c r="L354" i="13" s="1"/>
  <c r="L192" i="13"/>
  <c r="L343" i="13" s="1"/>
  <c r="L202" i="13"/>
  <c r="L353" i="13" s="1"/>
  <c r="L197" i="13"/>
  <c r="L1109" i="13" s="1"/>
  <c r="L117" i="13"/>
  <c r="L276" i="13" s="1"/>
  <c r="L214" i="13"/>
  <c r="L365" i="13" s="1"/>
  <c r="L209" i="13"/>
  <c r="L360" i="13" s="1"/>
  <c r="L194" i="13"/>
  <c r="L1106" i="13" s="1"/>
  <c r="L182" i="13"/>
  <c r="L333" i="13" s="1"/>
  <c r="L195" i="13"/>
  <c r="L1266" i="13" s="1"/>
  <c r="L219" i="13"/>
  <c r="L1290" i="13" s="1"/>
  <c r="L191" i="13"/>
  <c r="L1103" i="13" s="1"/>
  <c r="L208" i="13"/>
  <c r="L359" i="13" s="1"/>
  <c r="L220" i="13"/>
  <c r="L371" i="13" s="1"/>
  <c r="L178" i="13"/>
  <c r="L1090" i="13" s="1"/>
  <c r="L213" i="13"/>
  <c r="L1125" i="13" s="1"/>
  <c r="L172" i="13"/>
  <c r="L198" i="13"/>
  <c r="L1269" i="13" s="1"/>
  <c r="L176" i="13"/>
  <c r="L1088" i="13" s="1"/>
  <c r="L118" i="13"/>
  <c r="L1191" i="13" s="1"/>
  <c r="L184" i="13"/>
  <c r="L335" i="13" s="1"/>
  <c r="L185" i="13"/>
  <c r="L1256" i="13" s="1"/>
  <c r="L201" i="13"/>
  <c r="L1113" i="13" s="1"/>
  <c r="L206" i="13"/>
  <c r="L1118" i="13" s="1"/>
  <c r="L174" i="13"/>
  <c r="L1086" i="13" s="1"/>
  <c r="L115" i="13"/>
  <c r="L1188" i="13" s="1"/>
  <c r="L183" i="13"/>
  <c r="L1095" i="13" s="1"/>
  <c r="L210" i="13"/>
  <c r="L1122" i="13" s="1"/>
  <c r="L177" i="13"/>
  <c r="L328" i="13" s="1"/>
  <c r="L222" i="13"/>
  <c r="L373" i="13" s="1"/>
  <c r="L216" i="13"/>
  <c r="L1128" i="13" s="1"/>
  <c r="L221" i="13"/>
  <c r="L1133" i="13" s="1"/>
  <c r="L124" i="13"/>
  <c r="L281" i="13" s="1"/>
  <c r="L196" i="13"/>
  <c r="L1267" i="13" s="1"/>
  <c r="L188" i="13"/>
  <c r="L339" i="13" s="1"/>
  <c r="L190" i="13"/>
  <c r="L1261" i="13" s="1"/>
  <c r="L207" i="13"/>
  <c r="L1278" i="13" s="1"/>
  <c r="L173" i="13"/>
  <c r="L1085" i="13" s="1"/>
  <c r="L180" i="13"/>
  <c r="L1251" i="13" s="1"/>
  <c r="L186" i="13"/>
  <c r="L337" i="13" s="1"/>
  <c r="L204" i="13"/>
  <c r="L355" i="13" s="1"/>
  <c r="L114" i="13"/>
  <c r="L1187" i="13" s="1"/>
  <c r="L200" i="13"/>
  <c r="L351" i="13" s="1"/>
  <c r="L123" i="13"/>
  <c r="L1038" i="13" s="1"/>
  <c r="M1376" i="13"/>
  <c r="K134" i="18"/>
  <c r="L223" i="13"/>
  <c r="L374" i="13" s="1"/>
  <c r="L125" i="13"/>
  <c r="L1196" i="13" s="1"/>
  <c r="L215" i="13"/>
  <c r="L1286" i="13" s="1"/>
  <c r="M198" i="13"/>
  <c r="M223" i="13"/>
  <c r="M203" i="13"/>
  <c r="M172" i="13"/>
  <c r="M190" i="13"/>
  <c r="M221" i="13"/>
  <c r="M192" i="13"/>
  <c r="M189" i="13"/>
  <c r="M207" i="13"/>
  <c r="M216" i="13"/>
  <c r="M214" i="13"/>
  <c r="M117" i="13"/>
  <c r="M194" i="13"/>
  <c r="M209" i="13"/>
  <c r="M188" i="13"/>
  <c r="M184" i="13"/>
  <c r="M115" i="13"/>
  <c r="M178" i="13"/>
  <c r="M195" i="13"/>
  <c r="M174" i="13"/>
  <c r="M220" i="13"/>
  <c r="M125" i="13"/>
  <c r="M177" i="13"/>
  <c r="M118" i="13"/>
  <c r="M196" i="13"/>
  <c r="M179" i="13"/>
  <c r="M202" i="13"/>
  <c r="M185" i="13"/>
  <c r="M210" i="13"/>
  <c r="M114" i="13"/>
  <c r="M173" i="13"/>
  <c r="M215" i="13"/>
  <c r="M124" i="13"/>
  <c r="M176" i="13"/>
  <c r="M201" i="13"/>
  <c r="M183" i="13"/>
  <c r="M186" i="13"/>
  <c r="M180" i="13"/>
  <c r="M197" i="13"/>
  <c r="M126" i="13"/>
  <c r="M1197" i="13" s="1"/>
  <c r="M218" i="13"/>
  <c r="M123" i="13"/>
  <c r="M222" i="13"/>
  <c r="M116" i="13"/>
  <c r="M191" i="13"/>
  <c r="M200" i="13"/>
  <c r="M206" i="13"/>
  <c r="M212" i="13"/>
  <c r="M208" i="13"/>
  <c r="M213" i="13"/>
  <c r="M182" i="13"/>
  <c r="M219" i="13"/>
  <c r="M204" i="13"/>
  <c r="K283" i="13"/>
  <c r="V735" i="13" s="1"/>
  <c r="I24" i="18"/>
  <c r="I21" i="18"/>
  <c r="K278" i="13"/>
  <c r="V730" i="13" s="1"/>
  <c r="K847" i="13"/>
  <c r="V847" i="13" s="1"/>
  <c r="K1000" i="13"/>
  <c r="K693" i="13"/>
  <c r="K939" i="13"/>
  <c r="K632" i="13"/>
  <c r="K786" i="13"/>
  <c r="V786" i="13" s="1"/>
  <c r="K680" i="13"/>
  <c r="K987" i="13"/>
  <c r="K834" i="13"/>
  <c r="V834" i="13" s="1"/>
  <c r="K653" i="13"/>
  <c r="K807" i="13"/>
  <c r="V807" i="13" s="1"/>
  <c r="K960" i="13"/>
  <c r="K713" i="13"/>
  <c r="K1020" i="13"/>
  <c r="K867" i="13"/>
  <c r="V867" i="13" s="1"/>
  <c r="K994" i="13"/>
  <c r="K687" i="13"/>
  <c r="K841" i="13"/>
  <c r="V841" i="13" s="1"/>
  <c r="K794" i="13"/>
  <c r="V794" i="13" s="1"/>
  <c r="K640" i="13"/>
  <c r="K947" i="13"/>
  <c r="K690" i="13"/>
  <c r="K997" i="13"/>
  <c r="K844" i="13"/>
  <c r="V844" i="13" s="1"/>
  <c r="K600" i="13"/>
  <c r="K907" i="13"/>
  <c r="K821" i="13"/>
  <c r="V821" i="13" s="1"/>
  <c r="K974" i="13"/>
  <c r="K667" i="13"/>
  <c r="K831" i="13"/>
  <c r="V831" i="13" s="1"/>
  <c r="K677" i="13"/>
  <c r="K984" i="13"/>
  <c r="K700" i="13"/>
  <c r="K1007" i="13"/>
  <c r="K854" i="13"/>
  <c r="V854" i="13" s="1"/>
  <c r="K589" i="13"/>
  <c r="K896" i="13"/>
  <c r="K742" i="13"/>
  <c r="V742" i="13" s="1"/>
  <c r="K785" i="13"/>
  <c r="V785" i="13" s="1"/>
  <c r="K938" i="13"/>
  <c r="K631" i="13"/>
  <c r="K787" i="13"/>
  <c r="V787" i="13" s="1"/>
  <c r="K940" i="13"/>
  <c r="K633" i="13"/>
  <c r="K962" i="13"/>
  <c r="K809" i="13"/>
  <c r="V809" i="13" s="1"/>
  <c r="K655" i="13"/>
  <c r="K1002" i="13"/>
  <c r="K849" i="13"/>
  <c r="V849" i="13" s="1"/>
  <c r="K695" i="13"/>
  <c r="K779" i="13"/>
  <c r="V779" i="13" s="1"/>
  <c r="K932" i="13"/>
  <c r="K625" i="13"/>
  <c r="K681" i="13"/>
  <c r="K988" i="13"/>
  <c r="K835" i="13"/>
  <c r="V835" i="13" s="1"/>
  <c r="K969" i="13"/>
  <c r="K662" i="13"/>
  <c r="K816" i="13"/>
  <c r="V816" i="13" s="1"/>
  <c r="K818" i="13"/>
  <c r="V818" i="13" s="1"/>
  <c r="K664" i="13"/>
  <c r="K971" i="13"/>
  <c r="K586" i="13"/>
  <c r="K739" i="13"/>
  <c r="K893" i="13"/>
  <c r="K656" i="13"/>
  <c r="K963" i="13"/>
  <c r="K810" i="13"/>
  <c r="V810" i="13" s="1"/>
  <c r="K706" i="13"/>
  <c r="K860" i="13"/>
  <c r="V860" i="13" s="1"/>
  <c r="K1013" i="13"/>
  <c r="K783" i="13"/>
  <c r="V783" i="13" s="1"/>
  <c r="K936" i="13"/>
  <c r="K629" i="13"/>
  <c r="K744" i="13"/>
  <c r="V744" i="13" s="1"/>
  <c r="K898" i="13"/>
  <c r="K591" i="13"/>
  <c r="K838" i="13"/>
  <c r="V838" i="13" s="1"/>
  <c r="K684" i="13"/>
  <c r="K991" i="13"/>
  <c r="K712" i="13"/>
  <c r="K866" i="13"/>
  <c r="V866" i="13" s="1"/>
  <c r="K1019" i="13"/>
  <c r="K682" i="13"/>
  <c r="K836" i="13"/>
  <c r="V836" i="13" s="1"/>
  <c r="K989" i="13"/>
  <c r="K743" i="13"/>
  <c r="V743" i="13" s="1"/>
  <c r="K897" i="13"/>
  <c r="K590" i="13"/>
  <c r="V767" i="13"/>
  <c r="K912" i="13"/>
  <c r="K605" i="13"/>
  <c r="K804" i="13"/>
  <c r="V804" i="13" s="1"/>
  <c r="K650" i="13"/>
  <c r="K957" i="13"/>
  <c r="K789" i="13"/>
  <c r="V789" i="13" s="1"/>
  <c r="K942" i="13"/>
  <c r="K635" i="13"/>
  <c r="K887" i="13"/>
  <c r="K734" i="13"/>
  <c r="V734" i="13" s="1"/>
  <c r="K580" i="13"/>
  <c r="K911" i="13"/>
  <c r="K604" i="13"/>
  <c r="K964" i="13"/>
  <c r="K811" i="13"/>
  <c r="V811" i="13" s="1"/>
  <c r="K657" i="13"/>
  <c r="K1009" i="13"/>
  <c r="K856" i="13"/>
  <c r="V856" i="13" s="1"/>
  <c r="K702" i="13"/>
  <c r="K825" i="13"/>
  <c r="V825" i="13" s="1"/>
  <c r="K978" i="13"/>
  <c r="K671" i="13"/>
  <c r="K899" i="13"/>
  <c r="K745" i="13"/>
  <c r="V745" i="13" s="1"/>
  <c r="K592" i="13"/>
  <c r="K806" i="13"/>
  <c r="V806" i="13" s="1"/>
  <c r="K959" i="13"/>
  <c r="K652" i="13"/>
  <c r="K791" i="13"/>
  <c r="V791" i="13" s="1"/>
  <c r="K637" i="13"/>
  <c r="K944" i="13"/>
  <c r="K594" i="13"/>
  <c r="K901" i="13"/>
  <c r="K972" i="13"/>
  <c r="K819" i="13"/>
  <c r="V819" i="13" s="1"/>
  <c r="K665" i="13"/>
  <c r="K843" i="13"/>
  <c r="V843" i="13" s="1"/>
  <c r="K996" i="13"/>
  <c r="K689" i="13"/>
  <c r="K688" i="13"/>
  <c r="K842" i="13"/>
  <c r="V842" i="13" s="1"/>
  <c r="K995" i="13"/>
  <c r="K795" i="13"/>
  <c r="V795" i="13" s="1"/>
  <c r="K948" i="13"/>
  <c r="K641" i="13"/>
  <c r="K676" i="13"/>
  <c r="K830" i="13"/>
  <c r="V830" i="13" s="1"/>
  <c r="K983" i="13"/>
  <c r="K956" i="13"/>
  <c r="K649" i="13"/>
  <c r="K803" i="13"/>
  <c r="V803" i="13" s="1"/>
  <c r="K908" i="13"/>
  <c r="K601" i="13"/>
  <c r="K966" i="13"/>
  <c r="K659" i="13"/>
  <c r="K813" i="13"/>
  <c r="V813" i="13" s="1"/>
  <c r="K1008" i="13"/>
  <c r="K701" i="13"/>
  <c r="K855" i="13"/>
  <c r="V855" i="13" s="1"/>
  <c r="K906" i="13"/>
  <c r="K599" i="13"/>
  <c r="K627" i="13"/>
  <c r="K781" i="13"/>
  <c r="V781" i="13" s="1"/>
  <c r="K934" i="13"/>
  <c r="K746" i="13"/>
  <c r="V746" i="13" s="1"/>
  <c r="K900" i="13"/>
  <c r="K593" i="13"/>
  <c r="K852" i="13"/>
  <c r="V852" i="13" s="1"/>
  <c r="K1005" i="13"/>
  <c r="K698" i="13"/>
  <c r="K1018" i="13"/>
  <c r="K711" i="13"/>
  <c r="K865" i="13"/>
  <c r="V865" i="13" s="1"/>
  <c r="K800" i="13"/>
  <c r="V800" i="13" s="1"/>
  <c r="K646" i="13"/>
  <c r="K953" i="13"/>
  <c r="K848" i="13"/>
  <c r="V848" i="13" s="1"/>
  <c r="K1001" i="13"/>
  <c r="K694" i="13"/>
  <c r="K881" i="13"/>
  <c r="K728" i="13"/>
  <c r="V728" i="13" s="1"/>
  <c r="K574" i="13"/>
  <c r="K678" i="13"/>
  <c r="K832" i="13"/>
  <c r="V832" i="13" s="1"/>
  <c r="K985" i="13"/>
  <c r="K587" i="13"/>
  <c r="K740" i="13"/>
  <c r="V740" i="13" s="1"/>
  <c r="K894" i="13"/>
  <c r="K946" i="13"/>
  <c r="K639" i="13"/>
  <c r="K793" i="13"/>
  <c r="V793" i="13" s="1"/>
  <c r="K579" i="13"/>
  <c r="K886" i="13"/>
  <c r="K733" i="13"/>
  <c r="V733" i="13" s="1"/>
  <c r="K954" i="13"/>
  <c r="K801" i="13"/>
  <c r="V801" i="13" s="1"/>
  <c r="K647" i="13"/>
  <c r="K823" i="13"/>
  <c r="V823" i="13" s="1"/>
  <c r="K669" i="13"/>
  <c r="K976" i="13"/>
  <c r="K1179" i="13"/>
  <c r="K909" i="13"/>
  <c r="K602" i="13"/>
  <c r="K1043" i="13"/>
  <c r="K644" i="13"/>
  <c r="K951" i="13"/>
  <c r="K798" i="13"/>
  <c r="V798" i="13" s="1"/>
  <c r="K705" i="13"/>
  <c r="K859" i="13"/>
  <c r="V859" i="13" s="1"/>
  <c r="K1012" i="13"/>
  <c r="K1021" i="13"/>
  <c r="K868" i="13"/>
  <c r="V868" i="13" s="1"/>
  <c r="K714" i="13"/>
  <c r="K573" i="13"/>
  <c r="K727" i="13"/>
  <c r="V727" i="13" s="1"/>
  <c r="K880" i="13"/>
  <c r="K732" i="13"/>
  <c r="V732" i="13" s="1"/>
  <c r="K885" i="13"/>
  <c r="K578" i="13"/>
  <c r="K990" i="13"/>
  <c r="K837" i="13"/>
  <c r="V837" i="13" s="1"/>
  <c r="K683" i="13"/>
  <c r="K603" i="13"/>
  <c r="K910" i="13"/>
  <c r="K670" i="13"/>
  <c r="K824" i="13"/>
  <c r="V824" i="13" s="1"/>
  <c r="K977" i="13"/>
  <c r="K797" i="13"/>
  <c r="V797" i="13" s="1"/>
  <c r="K643" i="13"/>
  <c r="K950" i="13"/>
  <c r="K862" i="13"/>
  <c r="V862" i="13" s="1"/>
  <c r="K1015" i="13"/>
  <c r="K708" i="13"/>
  <c r="K729" i="13"/>
  <c r="V729" i="13" s="1"/>
  <c r="K882" i="13"/>
  <c r="K575" i="13"/>
  <c r="K999" i="13"/>
  <c r="K692" i="13"/>
  <c r="K846" i="13"/>
  <c r="V846" i="13" s="1"/>
  <c r="K696" i="13"/>
  <c r="K850" i="13"/>
  <c r="V850" i="13" s="1"/>
  <c r="K1003" i="13"/>
  <c r="K675" i="13"/>
  <c r="K982" i="13"/>
  <c r="K829" i="13"/>
  <c r="V829" i="13" s="1"/>
  <c r="K588" i="13"/>
  <c r="K741" i="13"/>
  <c r="V741" i="13" s="1"/>
  <c r="K895" i="13"/>
  <c r="K965" i="13"/>
  <c r="K658" i="13"/>
  <c r="K812" i="13"/>
  <c r="V812" i="13" s="1"/>
  <c r="K828" i="13"/>
  <c r="V828" i="13" s="1"/>
  <c r="K981" i="13"/>
  <c r="K674" i="13"/>
  <c r="K651" i="13"/>
  <c r="K958" i="13"/>
  <c r="K805" i="13"/>
  <c r="V805" i="13" s="1"/>
  <c r="K598" i="13"/>
  <c r="K905" i="13"/>
  <c r="K853" i="13"/>
  <c r="V853" i="13" s="1"/>
  <c r="K1006" i="13"/>
  <c r="K699" i="13"/>
  <c r="K622" i="13"/>
  <c r="K776" i="13"/>
  <c r="V776" i="13" s="1"/>
  <c r="K929" i="13"/>
  <c r="K826" i="13"/>
  <c r="V826" i="13" s="1"/>
  <c r="K672" i="13"/>
  <c r="K979" i="13"/>
  <c r="K928" i="13"/>
  <c r="K775" i="13"/>
  <c r="V775" i="13" s="1"/>
  <c r="K621" i="13"/>
  <c r="K418" i="13"/>
  <c r="K1199" i="13"/>
  <c r="K571" i="13"/>
  <c r="K725" i="13"/>
  <c r="V725" i="13" s="1"/>
  <c r="K878" i="13"/>
  <c r="K930" i="13"/>
  <c r="K623" i="13"/>
  <c r="K777" i="13"/>
  <c r="V777" i="13" s="1"/>
  <c r="K952" i="13"/>
  <c r="K799" i="13"/>
  <c r="V799" i="13" s="1"/>
  <c r="K645" i="13"/>
  <c r="K993" i="13"/>
  <c r="K840" i="13"/>
  <c r="V840" i="13" s="1"/>
  <c r="K686" i="13"/>
  <c r="K707" i="13"/>
  <c r="K861" i="13"/>
  <c r="V861" i="13" s="1"/>
  <c r="K1014" i="13"/>
  <c r="K710" i="13"/>
  <c r="K1017" i="13"/>
  <c r="K864" i="13"/>
  <c r="V864" i="13" s="1"/>
  <c r="K935" i="13"/>
  <c r="K628" i="13"/>
  <c r="K782" i="13"/>
  <c r="V782" i="13" s="1"/>
  <c r="K970" i="13"/>
  <c r="K817" i="13"/>
  <c r="V817" i="13" s="1"/>
  <c r="K663" i="13"/>
  <c r="K780" i="13"/>
  <c r="V780" i="13" s="1"/>
  <c r="K933" i="13"/>
  <c r="K626" i="13"/>
  <c r="K815" i="13"/>
  <c r="V815" i="13" s="1"/>
  <c r="K661" i="13"/>
  <c r="K968" i="13"/>
  <c r="K941" i="13"/>
  <c r="K634" i="13"/>
  <c r="K788" i="13"/>
  <c r="V788" i="13" s="1"/>
  <c r="K792" i="13"/>
  <c r="V792" i="13" s="1"/>
  <c r="K945" i="13"/>
  <c r="K638" i="13"/>
  <c r="K822" i="13"/>
  <c r="V822" i="13" s="1"/>
  <c r="K975" i="13"/>
  <c r="K668" i="13"/>
  <c r="K879" i="13"/>
  <c r="K572" i="13"/>
  <c r="K726" i="13"/>
  <c r="V726" i="13" s="1"/>
  <c r="K858" i="13"/>
  <c r="V858" i="13" s="1"/>
  <c r="K1011" i="13"/>
  <c r="K704" i="13"/>
  <c r="K59" i="13"/>
  <c r="L59" i="13"/>
  <c r="F27" i="35"/>
  <c r="I1412" i="13"/>
  <c r="J1412" i="13"/>
  <c r="K1237" i="13" l="1"/>
  <c r="K760" i="13"/>
  <c r="V760" i="13" s="1"/>
  <c r="M312" i="13"/>
  <c r="M763" i="13" s="1"/>
  <c r="X763" i="13" s="1"/>
  <c r="M1226" i="13"/>
  <c r="L1075" i="13"/>
  <c r="L1233" i="13"/>
  <c r="L1235" i="13" s="1"/>
  <c r="L1066" i="13"/>
  <c r="L1222" i="13"/>
  <c r="M1075" i="13"/>
  <c r="M1233" i="13"/>
  <c r="L1058" i="13"/>
  <c r="L1214" i="13"/>
  <c r="L1063" i="13"/>
  <c r="L1219" i="13"/>
  <c r="L1060" i="13"/>
  <c r="L1216" i="13"/>
  <c r="M1063" i="13"/>
  <c r="M1219" i="13"/>
  <c r="M1058" i="13"/>
  <c r="M1214" i="13"/>
  <c r="L1064" i="13"/>
  <c r="L1220" i="13"/>
  <c r="M1065" i="13"/>
  <c r="M1064" i="13"/>
  <c r="M1220" i="13"/>
  <c r="L1061" i="13"/>
  <c r="L1217" i="13"/>
  <c r="M1059" i="13"/>
  <c r="M1215" i="13"/>
  <c r="L1062" i="13"/>
  <c r="L1218" i="13"/>
  <c r="L1065" i="13"/>
  <c r="L1059" i="13"/>
  <c r="L1215" i="13"/>
  <c r="M1062" i="13"/>
  <c r="M1218" i="13"/>
  <c r="M1061" i="13"/>
  <c r="M1217" i="13"/>
  <c r="M1060" i="13"/>
  <c r="M1216" i="13"/>
  <c r="V739" i="13"/>
  <c r="K748" i="13"/>
  <c r="K14" i="45"/>
  <c r="K23" i="45" s="1"/>
  <c r="M76" i="13"/>
  <c r="V764" i="13"/>
  <c r="K772" i="13"/>
  <c r="V772" i="13" s="1"/>
  <c r="L1208" i="13"/>
  <c r="L1052" i="13"/>
  <c r="L1074" i="13"/>
  <c r="M1071" i="13"/>
  <c r="M1206" i="13"/>
  <c r="M1050" i="13"/>
  <c r="L1206" i="13"/>
  <c r="L1050" i="13"/>
  <c r="L1203" i="13"/>
  <c r="L1047" i="13"/>
  <c r="M1205" i="13"/>
  <c r="M1049" i="13"/>
  <c r="M1070" i="13"/>
  <c r="L1071" i="13"/>
  <c r="L1202" i="13"/>
  <c r="L1046" i="13"/>
  <c r="L1070" i="13"/>
  <c r="L1209" i="13"/>
  <c r="L1053" i="13"/>
  <c r="L1207" i="13"/>
  <c r="L1051" i="13"/>
  <c r="L1072" i="13"/>
  <c r="M1207" i="13"/>
  <c r="M1051" i="13"/>
  <c r="M1079" i="13"/>
  <c r="M1076" i="13"/>
  <c r="M1209" i="13"/>
  <c r="M1053" i="13"/>
  <c r="M1074" i="13"/>
  <c r="M308" i="13"/>
  <c r="M1066" i="13"/>
  <c r="M1208" i="13"/>
  <c r="M1052" i="13"/>
  <c r="M1073" i="13"/>
  <c r="L1205" i="13"/>
  <c r="L1049" i="13"/>
  <c r="L1073" i="13"/>
  <c r="M1203" i="13"/>
  <c r="M1047" i="13"/>
  <c r="L1204" i="13"/>
  <c r="L1048" i="13"/>
  <c r="L1079" i="13"/>
  <c r="L1076" i="13"/>
  <c r="M1072" i="13"/>
  <c r="M1202" i="13"/>
  <c r="M1046" i="13"/>
  <c r="M1204" i="13"/>
  <c r="M313" i="13"/>
  <c r="M320" i="13"/>
  <c r="K902" i="13"/>
  <c r="K914" i="13" s="1"/>
  <c r="K1023" i="13"/>
  <c r="L308" i="13"/>
  <c r="L290" i="13"/>
  <c r="L895" i="13" s="1"/>
  <c r="L301" i="13"/>
  <c r="L752" i="13" s="1"/>
  <c r="W752" i="13" s="1"/>
  <c r="M316" i="13"/>
  <c r="M288" i="13"/>
  <c r="L300" i="13"/>
  <c r="L152" i="13"/>
  <c r="L291" i="13"/>
  <c r="L742" i="13" s="1"/>
  <c r="W742" i="13" s="1"/>
  <c r="L294" i="13"/>
  <c r="L899" i="13" s="1"/>
  <c r="L317" i="13"/>
  <c r="L318" i="13"/>
  <c r="L305" i="13"/>
  <c r="L756" i="13" s="1"/>
  <c r="W756" i="13" s="1"/>
  <c r="M289" i="13"/>
  <c r="M315" i="13"/>
  <c r="M920" i="13" s="1"/>
  <c r="M307" i="13"/>
  <c r="M758" i="13" s="1"/>
  <c r="X758" i="13" s="1"/>
  <c r="M292" i="13"/>
  <c r="M296" i="13"/>
  <c r="M747" i="13" s="1"/>
  <c r="X747" i="13" s="1"/>
  <c r="M306" i="13"/>
  <c r="M757" i="13" s="1"/>
  <c r="X757" i="13" s="1"/>
  <c r="L307" i="13"/>
  <c r="L758" i="13" s="1"/>
  <c r="W758" i="13" s="1"/>
  <c r="M319" i="13"/>
  <c r="L292" i="13"/>
  <c r="L590" i="13" s="1"/>
  <c r="L319" i="13"/>
  <c r="L303" i="13"/>
  <c r="L754" i="13" s="1"/>
  <c r="W754" i="13" s="1"/>
  <c r="L302" i="13"/>
  <c r="L753" i="13" s="1"/>
  <c r="W753" i="13" s="1"/>
  <c r="L296" i="13"/>
  <c r="L289" i="13"/>
  <c r="L740" i="13" s="1"/>
  <c r="W740" i="13" s="1"/>
  <c r="L312" i="13"/>
  <c r="L763" i="13" s="1"/>
  <c r="L164" i="13"/>
  <c r="M305" i="13"/>
  <c r="M756" i="13" s="1"/>
  <c r="X756" i="13" s="1"/>
  <c r="M301" i="13"/>
  <c r="M752" i="13" s="1"/>
  <c r="X752" i="13" s="1"/>
  <c r="M291" i="13"/>
  <c r="M314" i="13"/>
  <c r="M300" i="13"/>
  <c r="M751" i="13" s="1"/>
  <c r="X751" i="13" s="1"/>
  <c r="M290" i="13"/>
  <c r="L304" i="13"/>
  <c r="L755" i="13" s="1"/>
  <c r="W755" i="13" s="1"/>
  <c r="L313" i="13"/>
  <c r="L320" i="13"/>
  <c r="L771" i="13" s="1"/>
  <c r="W771" i="13" s="1"/>
  <c r="M304" i="13"/>
  <c r="M755" i="13" s="1"/>
  <c r="X755" i="13" s="1"/>
  <c r="M303" i="13"/>
  <c r="M754" i="13" s="1"/>
  <c r="X754" i="13" s="1"/>
  <c r="M302" i="13"/>
  <c r="M753" i="13" s="1"/>
  <c r="X753" i="13" s="1"/>
  <c r="K619" i="13"/>
  <c r="K716" i="13" s="1"/>
  <c r="L315" i="13"/>
  <c r="L920" i="13" s="1"/>
  <c r="L288" i="13"/>
  <c r="L140" i="13"/>
  <c r="L314" i="13"/>
  <c r="L306" i="13"/>
  <c r="L757" i="13" s="1"/>
  <c r="W757" i="13" s="1"/>
  <c r="L295" i="13"/>
  <c r="L900" i="13" s="1"/>
  <c r="L293" i="13"/>
  <c r="L591" i="13" s="1"/>
  <c r="L316" i="13"/>
  <c r="M293" i="13"/>
  <c r="M295" i="13"/>
  <c r="M318" i="13"/>
  <c r="M294" i="13"/>
  <c r="M317" i="13"/>
  <c r="M267" i="13"/>
  <c r="L1137" i="13"/>
  <c r="L267" i="13"/>
  <c r="K595" i="13"/>
  <c r="K607" i="13" s="1"/>
  <c r="L1101" i="13"/>
  <c r="L1260" i="13"/>
  <c r="M164" i="13"/>
  <c r="M152" i="13"/>
  <c r="M140" i="13"/>
  <c r="K15" i="18" s="1"/>
  <c r="L1243" i="13"/>
  <c r="L1190" i="13"/>
  <c r="L1311" i="13"/>
  <c r="L1177" i="13"/>
  <c r="I42" i="18"/>
  <c r="I133" i="18" s="1"/>
  <c r="K75" i="13"/>
  <c r="K1390" i="13" s="1"/>
  <c r="J42" i="18"/>
  <c r="J133" i="18" s="1"/>
  <c r="L75" i="13"/>
  <c r="L1390" i="13" s="1"/>
  <c r="L1124" i="13"/>
  <c r="L1335" i="13"/>
  <c r="L1170" i="13"/>
  <c r="L1317" i="13"/>
  <c r="L397" i="13"/>
  <c r="L1098" i="13"/>
  <c r="L1175" i="13"/>
  <c r="B27" i="35"/>
  <c r="F28" i="35"/>
  <c r="L1323" i="13"/>
  <c r="L391" i="13"/>
  <c r="L1292" i="13"/>
  <c r="L1176" i="13"/>
  <c r="L1279" i="13"/>
  <c r="L403" i="13"/>
  <c r="L1265" i="13"/>
  <c r="L1283" i="13"/>
  <c r="L358" i="13"/>
  <c r="L810" i="13" s="1"/>
  <c r="W810" i="13" s="1"/>
  <c r="L377" i="13"/>
  <c r="L829" i="13" s="1"/>
  <c r="W829" i="13" s="1"/>
  <c r="L1120" i="13"/>
  <c r="L1324" i="13"/>
  <c r="L1091" i="13"/>
  <c r="L329" i="13"/>
  <c r="L781" i="13" s="1"/>
  <c r="W781" i="13" s="1"/>
  <c r="L1315" i="13"/>
  <c r="L1155" i="13"/>
  <c r="L342" i="13"/>
  <c r="L400" i="13"/>
  <c r="L698" i="13" s="1"/>
  <c r="L395" i="13"/>
  <c r="L847" i="13" s="1"/>
  <c r="W847" i="13" s="1"/>
  <c r="L1314" i="13"/>
  <c r="L347" i="13"/>
  <c r="L799" i="13" s="1"/>
  <c r="W799" i="13" s="1"/>
  <c r="L1161" i="13"/>
  <c r="L1102" i="13"/>
  <c r="L1097" i="13"/>
  <c r="L1294" i="13"/>
  <c r="L341" i="13"/>
  <c r="L639" i="13" s="1"/>
  <c r="L1165" i="13"/>
  <c r="L1322" i="13"/>
  <c r="L1262" i="13"/>
  <c r="L1169" i="13"/>
  <c r="L327" i="13"/>
  <c r="L407" i="13"/>
  <c r="L705" i="13" s="1"/>
  <c r="L1332" i="13"/>
  <c r="L336" i="13"/>
  <c r="L1163" i="13"/>
  <c r="L324" i="13"/>
  <c r="L1285" i="13"/>
  <c r="L1126" i="13"/>
  <c r="L1135" i="13"/>
  <c r="L1271" i="13"/>
  <c r="L1334" i="13"/>
  <c r="L1112" i="13"/>
  <c r="L1146" i="13"/>
  <c r="L383" i="13"/>
  <c r="L681" i="13" s="1"/>
  <c r="L1039" i="13"/>
  <c r="L1257" i="13"/>
  <c r="L1303" i="13"/>
  <c r="L385" i="13"/>
  <c r="L1244" i="13"/>
  <c r="L1157" i="13"/>
  <c r="L1159" i="13"/>
  <c r="L323" i="13"/>
  <c r="L1304" i="13"/>
  <c r="L1318" i="13"/>
  <c r="L1089" i="13"/>
  <c r="L1268" i="13"/>
  <c r="L1277" i="13"/>
  <c r="L1084" i="13"/>
  <c r="L1248" i="13"/>
  <c r="L348" i="13"/>
  <c r="L357" i="13"/>
  <c r="L655" i="13" s="1"/>
  <c r="L1263" i="13"/>
  <c r="L1195" i="13"/>
  <c r="L1104" i="13"/>
  <c r="L1173" i="13"/>
  <c r="L1281" i="13"/>
  <c r="L1139" i="13"/>
  <c r="L1034" i="13"/>
  <c r="L369" i="13"/>
  <c r="L667" i="13" s="1"/>
  <c r="L1130" i="13"/>
  <c r="L1162" i="13"/>
  <c r="L275" i="13"/>
  <c r="L573" i="13" s="1"/>
  <c r="L408" i="13"/>
  <c r="L860" i="13" s="1"/>
  <c r="W860" i="13" s="1"/>
  <c r="L1033" i="13"/>
  <c r="L1275" i="13"/>
  <c r="L1138" i="13"/>
  <c r="L334" i="13"/>
  <c r="L939" i="13" s="1"/>
  <c r="L1310" i="13"/>
  <c r="L277" i="13"/>
  <c r="L729" i="13" s="1"/>
  <c r="W729" i="13" s="1"/>
  <c r="L1330" i="13"/>
  <c r="L1107" i="13"/>
  <c r="L1254" i="13"/>
  <c r="L1151" i="13"/>
  <c r="L1035" i="13"/>
  <c r="L346" i="13"/>
  <c r="L644" i="13" s="1"/>
  <c r="L1333" i="13"/>
  <c r="L1316" i="13"/>
  <c r="L410" i="13"/>
  <c r="L1015" i="13" s="1"/>
  <c r="L379" i="13"/>
  <c r="L1296" i="13"/>
  <c r="L376" i="13"/>
  <c r="L981" i="13" s="1"/>
  <c r="L372" i="13"/>
  <c r="L824" i="13" s="1"/>
  <c r="W824" i="13" s="1"/>
  <c r="L370" i="13"/>
  <c r="L822" i="13" s="1"/>
  <c r="W822" i="13" s="1"/>
  <c r="L1108" i="13"/>
  <c r="L345" i="13"/>
  <c r="L643" i="13" s="1"/>
  <c r="L352" i="13"/>
  <c r="L650" i="13" s="1"/>
  <c r="L1092" i="13"/>
  <c r="L331" i="13"/>
  <c r="L783" i="13" s="1"/>
  <c r="W783" i="13" s="1"/>
  <c r="L1119" i="13"/>
  <c r="L1255" i="13"/>
  <c r="L273" i="13"/>
  <c r="L878" i="13" s="1"/>
  <c r="L1274" i="13"/>
  <c r="L1253" i="13"/>
  <c r="L1132" i="13"/>
  <c r="L1259" i="13"/>
  <c r="L128" i="13"/>
  <c r="L100" i="13" s="1"/>
  <c r="L1031" i="13"/>
  <c r="L274" i="13"/>
  <c r="L572" i="13" s="1"/>
  <c r="L1287" i="13"/>
  <c r="L1143" i="13"/>
  <c r="L1306" i="13"/>
  <c r="L1291" i="13"/>
  <c r="L1131" i="13"/>
  <c r="L1115" i="13"/>
  <c r="L330" i="13"/>
  <c r="L1094" i="13"/>
  <c r="L1140" i="13"/>
  <c r="L120" i="13"/>
  <c r="L99" i="13" s="1"/>
  <c r="L1040" i="13"/>
  <c r="L282" i="13"/>
  <c r="L887" i="13" s="1"/>
  <c r="L1114" i="13"/>
  <c r="L388" i="13"/>
  <c r="L840" i="13" s="1"/>
  <c r="W840" i="13" s="1"/>
  <c r="L1273" i="13"/>
  <c r="L1149" i="13"/>
  <c r="L1326" i="13"/>
  <c r="L1309" i="13"/>
  <c r="L1280" i="13"/>
  <c r="L1167" i="13"/>
  <c r="L1194" i="13"/>
  <c r="L1150" i="13"/>
  <c r="L1284" i="13"/>
  <c r="L1121" i="13"/>
  <c r="L280" i="13"/>
  <c r="L578" i="13" s="1"/>
  <c r="L364" i="13"/>
  <c r="L662" i="13" s="1"/>
  <c r="L1272" i="13"/>
  <c r="L1145" i="13"/>
  <c r="L1247" i="13"/>
  <c r="L1100" i="13"/>
  <c r="L367" i="13"/>
  <c r="L972" i="13" s="1"/>
  <c r="L1168" i="13"/>
  <c r="L1329" i="13"/>
  <c r="L1249" i="13"/>
  <c r="L1302" i="13"/>
  <c r="L361" i="13"/>
  <c r="L659" i="13" s="1"/>
  <c r="L386" i="13"/>
  <c r="L991" i="13" s="1"/>
  <c r="L416" i="13"/>
  <c r="L1021" i="13" s="1"/>
  <c r="L1153" i="13"/>
  <c r="L1096" i="13"/>
  <c r="L1032" i="13"/>
  <c r="L1312" i="13"/>
  <c r="L378" i="13"/>
  <c r="L676" i="13" s="1"/>
  <c r="L349" i="13"/>
  <c r="L954" i="13" s="1"/>
  <c r="L1110" i="13"/>
  <c r="L380" i="13"/>
  <c r="L985" i="13" s="1"/>
  <c r="L1134" i="13"/>
  <c r="L1141" i="13"/>
  <c r="L1245" i="13"/>
  <c r="L1293" i="13"/>
  <c r="L1321" i="13"/>
  <c r="L1116" i="13"/>
  <c r="L325" i="13"/>
  <c r="L777" i="13" s="1"/>
  <c r="W777" i="13" s="1"/>
  <c r="L1174" i="13"/>
  <c r="L366" i="13"/>
  <c r="L1127" i="13"/>
  <c r="K285" i="13"/>
  <c r="M1124" i="13"/>
  <c r="M363" i="13"/>
  <c r="M1283" i="13"/>
  <c r="M337" i="13"/>
  <c r="M1098" i="13"/>
  <c r="M1257" i="13"/>
  <c r="M1164" i="13"/>
  <c r="M1323" i="13"/>
  <c r="M403" i="13"/>
  <c r="M389" i="13"/>
  <c r="M1309" i="13"/>
  <c r="M1150" i="13"/>
  <c r="M1174" i="13"/>
  <c r="M1333" i="13"/>
  <c r="M413" i="13"/>
  <c r="M282" i="13"/>
  <c r="M1040" i="13"/>
  <c r="M1196" i="13"/>
  <c r="M397" i="13"/>
  <c r="M1158" i="13"/>
  <c r="M1317" i="13"/>
  <c r="M1265" i="13"/>
  <c r="M1106" i="13"/>
  <c r="M345" i="13"/>
  <c r="M1104" i="13"/>
  <c r="M1263" i="13"/>
  <c r="M343" i="13"/>
  <c r="M1135" i="13"/>
  <c r="M374" i="13"/>
  <c r="M1294" i="13"/>
  <c r="M1315" i="13"/>
  <c r="M1156" i="13"/>
  <c r="M395" i="13"/>
  <c r="M1155" i="13"/>
  <c r="M1314" i="13"/>
  <c r="M394" i="13"/>
  <c r="M1254" i="13"/>
  <c r="M1095" i="13"/>
  <c r="M334" i="13"/>
  <c r="M324" i="13"/>
  <c r="M1085" i="13"/>
  <c r="M1244" i="13"/>
  <c r="M406" i="13"/>
  <c r="M1326" i="13"/>
  <c r="M1167" i="13"/>
  <c r="M371" i="13"/>
  <c r="M1132" i="13"/>
  <c r="M1291" i="13"/>
  <c r="M1032" i="13"/>
  <c r="M1188" i="13"/>
  <c r="M274" i="13"/>
  <c r="M276" i="13"/>
  <c r="M1034" i="13"/>
  <c r="M1190" i="13"/>
  <c r="M1292" i="13"/>
  <c r="M1133" i="13"/>
  <c r="M372" i="13"/>
  <c r="M386" i="13"/>
  <c r="M1147" i="13"/>
  <c r="M1306" i="13"/>
  <c r="M1275" i="13"/>
  <c r="M1116" i="13"/>
  <c r="M355" i="13"/>
  <c r="M1277" i="13"/>
  <c r="M357" i="13"/>
  <c r="M1118" i="13"/>
  <c r="M1176" i="13"/>
  <c r="M1335" i="13"/>
  <c r="M415" i="13"/>
  <c r="M1159" i="13"/>
  <c r="M398" i="13"/>
  <c r="M1318" i="13"/>
  <c r="M1162" i="13"/>
  <c r="M401" i="13"/>
  <c r="M1321" i="13"/>
  <c r="M1245" i="13"/>
  <c r="M1086" i="13"/>
  <c r="M325" i="13"/>
  <c r="M1096" i="13"/>
  <c r="M335" i="13"/>
  <c r="M1255" i="13"/>
  <c r="M1126" i="13"/>
  <c r="M1285" i="13"/>
  <c r="M365" i="13"/>
  <c r="M341" i="13"/>
  <c r="M1102" i="13"/>
  <c r="M1261" i="13"/>
  <c r="M1138" i="13"/>
  <c r="M1297" i="13"/>
  <c r="M377" i="13"/>
  <c r="M1175" i="13"/>
  <c r="M414" i="13"/>
  <c r="M1334" i="13"/>
  <c r="M1271" i="13"/>
  <c r="M1112" i="13"/>
  <c r="M351" i="13"/>
  <c r="M1038" i="13"/>
  <c r="M280" i="13"/>
  <c r="M128" i="13"/>
  <c r="M100" i="13" s="1"/>
  <c r="M1194" i="13"/>
  <c r="M1092" i="13"/>
  <c r="M1251" i="13"/>
  <c r="M331" i="13"/>
  <c r="M1305" i="13"/>
  <c r="M1146" i="13"/>
  <c r="M385" i="13"/>
  <c r="M378" i="13"/>
  <c r="M1139" i="13"/>
  <c r="M1298" i="13"/>
  <c r="M1031" i="13"/>
  <c r="M1187" i="13"/>
  <c r="M120" i="13"/>
  <c r="M99" i="13" s="1"/>
  <c r="M273" i="13"/>
  <c r="M1308" i="13"/>
  <c r="M388" i="13"/>
  <c r="M1149" i="13"/>
  <c r="M1143" i="13"/>
  <c r="M382" i="13"/>
  <c r="M1302" i="13"/>
  <c r="M1322" i="13"/>
  <c r="M402" i="13"/>
  <c r="M1163" i="13"/>
  <c r="M339" i="13"/>
  <c r="M1100" i="13"/>
  <c r="M1259" i="13"/>
  <c r="M367" i="13"/>
  <c r="M1287" i="13"/>
  <c r="M1128" i="13"/>
  <c r="M1324" i="13"/>
  <c r="M1165" i="13"/>
  <c r="M404" i="13"/>
  <c r="M349" i="13"/>
  <c r="M1269" i="13"/>
  <c r="M1110" i="13"/>
  <c r="M370" i="13"/>
  <c r="M1131" i="13"/>
  <c r="M1290" i="13"/>
  <c r="M408" i="13"/>
  <c r="M1328" i="13"/>
  <c r="M1169" i="13"/>
  <c r="M369" i="13"/>
  <c r="M1130" i="13"/>
  <c r="M1289" i="13"/>
  <c r="M1329" i="13"/>
  <c r="M1170" i="13"/>
  <c r="M409" i="13"/>
  <c r="M1272" i="13"/>
  <c r="M352" i="13"/>
  <c r="M1113" i="13"/>
  <c r="M1195" i="13"/>
  <c r="M281" i="13"/>
  <c r="M1039" i="13"/>
  <c r="M1281" i="13"/>
  <c r="M1122" i="13"/>
  <c r="M361" i="13"/>
  <c r="M1114" i="13"/>
  <c r="M353" i="13"/>
  <c r="M1273" i="13"/>
  <c r="M1152" i="13"/>
  <c r="M1311" i="13"/>
  <c r="M391" i="13"/>
  <c r="M1107" i="13"/>
  <c r="M346" i="13"/>
  <c r="M1266" i="13"/>
  <c r="M1121" i="13"/>
  <c r="M360" i="13"/>
  <c r="M1280" i="13"/>
  <c r="M1278" i="13"/>
  <c r="M1119" i="13"/>
  <c r="M358" i="13"/>
  <c r="M1084" i="13"/>
  <c r="M323" i="13"/>
  <c r="X774" i="13" s="1"/>
  <c r="M1243" i="13"/>
  <c r="M1094" i="13"/>
  <c r="M1253" i="13"/>
  <c r="M333" i="13"/>
  <c r="M1262" i="13"/>
  <c r="M1103" i="13"/>
  <c r="M342" i="13"/>
  <c r="M1168" i="13"/>
  <c r="M1327" i="13"/>
  <c r="M407" i="13"/>
  <c r="M1332" i="13"/>
  <c r="M412" i="13"/>
  <c r="M1173" i="13"/>
  <c r="M277" i="13"/>
  <c r="M1191" i="13"/>
  <c r="M1035" i="13"/>
  <c r="M1299" i="13"/>
  <c r="M379" i="13"/>
  <c r="M1140" i="13"/>
  <c r="M1101" i="13"/>
  <c r="M340" i="13"/>
  <c r="M1260" i="13"/>
  <c r="M1161" i="13"/>
  <c r="M1320" i="13"/>
  <c r="M400" i="13"/>
  <c r="M1125" i="13"/>
  <c r="M1284" i="13"/>
  <c r="M364" i="13"/>
  <c r="M1189" i="13"/>
  <c r="M275" i="13"/>
  <c r="M1033" i="13"/>
  <c r="M1141" i="13"/>
  <c r="M380" i="13"/>
  <c r="M1300" i="13"/>
  <c r="M1316" i="13"/>
  <c r="M1157" i="13"/>
  <c r="M396" i="13"/>
  <c r="M1303" i="13"/>
  <c r="M1144" i="13"/>
  <c r="M383" i="13"/>
  <c r="M384" i="13"/>
  <c r="M1304" i="13"/>
  <c r="M1145" i="13"/>
  <c r="M392" i="13"/>
  <c r="M1312" i="13"/>
  <c r="M1153" i="13"/>
  <c r="M330" i="13"/>
  <c r="M1091" i="13"/>
  <c r="M1250" i="13"/>
  <c r="M1137" i="13"/>
  <c r="M1296" i="13"/>
  <c r="M376" i="13"/>
  <c r="M1249" i="13"/>
  <c r="M1090" i="13"/>
  <c r="M329" i="13"/>
  <c r="M1336" i="13"/>
  <c r="M1177" i="13"/>
  <c r="M416" i="13"/>
  <c r="M1115" i="13"/>
  <c r="M1274" i="13"/>
  <c r="M354" i="13"/>
  <c r="M359" i="13"/>
  <c r="M1120" i="13"/>
  <c r="M1279" i="13"/>
  <c r="M1293" i="13"/>
  <c r="M1134" i="13"/>
  <c r="M373" i="13"/>
  <c r="M1268" i="13"/>
  <c r="M1109" i="13"/>
  <c r="M348" i="13"/>
  <c r="M1247" i="13"/>
  <c r="M1088" i="13"/>
  <c r="M327" i="13"/>
  <c r="X778" i="13" s="1"/>
  <c r="M366" i="13"/>
  <c r="M1286" i="13"/>
  <c r="M1127" i="13"/>
  <c r="M336" i="13"/>
  <c r="M1097" i="13"/>
  <c r="M1256" i="13"/>
  <c r="M1267" i="13"/>
  <c r="M347" i="13"/>
  <c r="M1108" i="13"/>
  <c r="M328" i="13"/>
  <c r="M1248" i="13"/>
  <c r="M1089" i="13"/>
  <c r="M1151" i="13"/>
  <c r="M390" i="13"/>
  <c r="M1310" i="13"/>
  <c r="M1171" i="13"/>
  <c r="M1330" i="13"/>
  <c r="M410" i="13"/>
  <c r="I22" i="18"/>
  <c r="I27" i="18"/>
  <c r="I25" i="18"/>
  <c r="I28" i="18"/>
  <c r="K133" i="18"/>
  <c r="L692" i="13"/>
  <c r="L846" i="13"/>
  <c r="W846" i="13" s="1"/>
  <c r="L999" i="13"/>
  <c r="L864" i="13"/>
  <c r="W864" i="13" s="1"/>
  <c r="L1017" i="13"/>
  <c r="L710" i="13"/>
  <c r="L680" i="13"/>
  <c r="L834" i="13"/>
  <c r="W834" i="13" s="1"/>
  <c r="L987" i="13"/>
  <c r="L635" i="13"/>
  <c r="L789" i="13"/>
  <c r="W789" i="13" s="1"/>
  <c r="L942" i="13"/>
  <c r="L661" i="13"/>
  <c r="L815" i="13"/>
  <c r="W815" i="13" s="1"/>
  <c r="L968" i="13"/>
  <c r="L976" i="13"/>
  <c r="L669" i="13"/>
  <c r="L823" i="13"/>
  <c r="W823" i="13" s="1"/>
  <c r="L805" i="13"/>
  <c r="W805" i="13" s="1"/>
  <c r="L958" i="13"/>
  <c r="L651" i="13"/>
  <c r="L825" i="13"/>
  <c r="W825" i="13" s="1"/>
  <c r="L671" i="13"/>
  <c r="L978" i="13"/>
  <c r="L791" i="13"/>
  <c r="W791" i="13" s="1"/>
  <c r="L944" i="13"/>
  <c r="L637" i="13"/>
  <c r="L1006" i="13"/>
  <c r="L699" i="13"/>
  <c r="L853" i="13"/>
  <c r="W853" i="13" s="1"/>
  <c r="K890" i="13"/>
  <c r="L850" i="13"/>
  <c r="W850" i="13" s="1"/>
  <c r="L696" i="13"/>
  <c r="L1003" i="13"/>
  <c r="L579" i="13"/>
  <c r="L733" i="13"/>
  <c r="W733" i="13" s="1"/>
  <c r="L886" i="13"/>
  <c r="L866" i="13"/>
  <c r="W866" i="13" s="1"/>
  <c r="L1019" i="13"/>
  <c r="L712" i="13"/>
  <c r="L1007" i="13"/>
  <c r="L700" i="13"/>
  <c r="L854" i="13"/>
  <c r="W854" i="13" s="1"/>
  <c r="L1018" i="13"/>
  <c r="L711" i="13"/>
  <c r="L865" i="13"/>
  <c r="W865" i="13" s="1"/>
  <c r="L713" i="13"/>
  <c r="L867" i="13"/>
  <c r="W867" i="13" s="1"/>
  <c r="L1020" i="13"/>
  <c r="L940" i="13"/>
  <c r="L787" i="13"/>
  <c r="W787" i="13" s="1"/>
  <c r="L633" i="13"/>
  <c r="L652" i="13"/>
  <c r="L806" i="13"/>
  <c r="W806" i="13" s="1"/>
  <c r="L959" i="13"/>
  <c r="L649" i="13"/>
  <c r="L803" i="13"/>
  <c r="W803" i="13" s="1"/>
  <c r="L956" i="13"/>
  <c r="L574" i="13"/>
  <c r="L728" i="13"/>
  <c r="W728" i="13" s="1"/>
  <c r="L881" i="13"/>
  <c r="L812" i="13"/>
  <c r="W812" i="13" s="1"/>
  <c r="L965" i="13"/>
  <c r="L658" i="13"/>
  <c r="L792" i="13"/>
  <c r="W792" i="13" s="1"/>
  <c r="L945" i="13"/>
  <c r="L638" i="13"/>
  <c r="L995" i="13"/>
  <c r="L842" i="13"/>
  <c r="W842" i="13" s="1"/>
  <c r="L688" i="13"/>
  <c r="L997" i="13"/>
  <c r="L690" i="13"/>
  <c r="L844" i="13"/>
  <c r="W844" i="13" s="1"/>
  <c r="L1001" i="13"/>
  <c r="L848" i="13"/>
  <c r="W848" i="13" s="1"/>
  <c r="L694" i="13"/>
  <c r="L817" i="13"/>
  <c r="W817" i="13" s="1"/>
  <c r="L970" i="13"/>
  <c r="L663" i="13"/>
  <c r="L795" i="13"/>
  <c r="W795" i="13" s="1"/>
  <c r="L948" i="13"/>
  <c r="L641" i="13"/>
  <c r="L704" i="13"/>
  <c r="L1011" i="13"/>
  <c r="L858" i="13"/>
  <c r="W858" i="13" s="1"/>
  <c r="K583" i="13"/>
  <c r="L994" i="13"/>
  <c r="L841" i="13"/>
  <c r="W841" i="13" s="1"/>
  <c r="L687" i="13"/>
  <c r="K736" i="13"/>
  <c r="L979" i="13"/>
  <c r="L826" i="13"/>
  <c r="W826" i="13" s="1"/>
  <c r="L672" i="13"/>
  <c r="L856" i="13"/>
  <c r="W856" i="13" s="1"/>
  <c r="L1009" i="13"/>
  <c r="L702" i="13"/>
  <c r="L780" i="13"/>
  <c r="W780" i="13" s="1"/>
  <c r="L626" i="13"/>
  <c r="L933" i="13"/>
  <c r="L811" i="13"/>
  <c r="W811" i="13" s="1"/>
  <c r="L964" i="13"/>
  <c r="L657" i="13"/>
  <c r="L1014" i="13"/>
  <c r="L707" i="13"/>
  <c r="L861" i="13"/>
  <c r="W861" i="13" s="1"/>
  <c r="L938" i="13"/>
  <c r="L631" i="13"/>
  <c r="L785" i="13"/>
  <c r="W785" i="13" s="1"/>
  <c r="L807" i="13"/>
  <c r="W807" i="13" s="1"/>
  <c r="L653" i="13"/>
  <c r="L960" i="13"/>
  <c r="L682" i="13"/>
  <c r="L836" i="13"/>
  <c r="W836" i="13" s="1"/>
  <c r="L989" i="13"/>
  <c r="L1389" i="13"/>
  <c r="L1388" i="13"/>
  <c r="K1389" i="13"/>
  <c r="K1388" i="13"/>
  <c r="J1381" i="13"/>
  <c r="I1381" i="13"/>
  <c r="K41" i="34"/>
  <c r="J41" i="34"/>
  <c r="L1211" i="13" l="1"/>
  <c r="M610" i="13"/>
  <c r="M917" i="13"/>
  <c r="M1211" i="13"/>
  <c r="M1223" i="13"/>
  <c r="L1223" i="13"/>
  <c r="M1235" i="13"/>
  <c r="L1077" i="13"/>
  <c r="M1077" i="13"/>
  <c r="M1067" i="13"/>
  <c r="L1067" i="13"/>
  <c r="V736" i="13"/>
  <c r="L924" i="13"/>
  <c r="L770" i="13"/>
  <c r="W770" i="13" s="1"/>
  <c r="M921" i="13"/>
  <c r="M767" i="13"/>
  <c r="X767" i="13" s="1"/>
  <c r="M923" i="13"/>
  <c r="M769" i="13"/>
  <c r="X769" i="13" s="1"/>
  <c r="L921" i="13"/>
  <c r="L767" i="13"/>
  <c r="W767" i="13" s="1"/>
  <c r="L922" i="13"/>
  <c r="L768" i="13"/>
  <c r="W768" i="13" s="1"/>
  <c r="M924" i="13"/>
  <c r="M770" i="13"/>
  <c r="X770" i="13" s="1"/>
  <c r="L923" i="13"/>
  <c r="L769" i="13"/>
  <c r="W769" i="13" s="1"/>
  <c r="M925" i="13"/>
  <c r="M771" i="13"/>
  <c r="X771" i="13" s="1"/>
  <c r="M922" i="13"/>
  <c r="M768" i="13"/>
  <c r="X768" i="13" s="1"/>
  <c r="L775" i="13"/>
  <c r="W775" i="13" s="1"/>
  <c r="W774" i="13"/>
  <c r="L779" i="13"/>
  <c r="W779" i="13" s="1"/>
  <c r="W778" i="13"/>
  <c r="K421" i="13"/>
  <c r="V874" i="13" s="1"/>
  <c r="V737" i="13"/>
  <c r="V748" i="13"/>
  <c r="I14" i="45"/>
  <c r="I23" i="45" s="1"/>
  <c r="K76" i="13"/>
  <c r="J14" i="45"/>
  <c r="J23" i="45" s="1"/>
  <c r="L76" i="13"/>
  <c r="L765" i="13"/>
  <c r="W765" i="13" s="1"/>
  <c r="L919" i="13"/>
  <c r="L925" i="13"/>
  <c r="M765" i="13"/>
  <c r="X765" i="13" s="1"/>
  <c r="M919" i="13"/>
  <c r="L640" i="13"/>
  <c r="L843" i="13"/>
  <c r="W843" i="13" s="1"/>
  <c r="M918" i="13"/>
  <c r="M764" i="13"/>
  <c r="X764" i="13" s="1"/>
  <c r="L800" i="13"/>
  <c r="W800" i="13" s="1"/>
  <c r="L990" i="13"/>
  <c r="L929" i="13"/>
  <c r="L766" i="13"/>
  <c r="W766" i="13" s="1"/>
  <c r="M766" i="13"/>
  <c r="X766" i="13" s="1"/>
  <c r="L831" i="13"/>
  <c r="W831" i="13" s="1"/>
  <c r="L855" i="13"/>
  <c r="W855" i="13" s="1"/>
  <c r="L918" i="13"/>
  <c r="L764" i="13"/>
  <c r="W764" i="13" s="1"/>
  <c r="L971" i="13"/>
  <c r="L782" i="13"/>
  <c r="W782" i="13" s="1"/>
  <c r="W763" i="13"/>
  <c r="L634" i="13"/>
  <c r="L1002" i="13"/>
  <c r="L913" i="13"/>
  <c r="L759" i="13"/>
  <c r="W759" i="13" s="1"/>
  <c r="M913" i="13"/>
  <c r="M759" i="13"/>
  <c r="J17" i="18"/>
  <c r="L102" i="13"/>
  <c r="K17" i="18"/>
  <c r="M102" i="13"/>
  <c r="M611" i="13"/>
  <c r="L592" i="13"/>
  <c r="L743" i="13"/>
  <c r="W743" i="13" s="1"/>
  <c r="L746" i="13"/>
  <c r="W746" i="13" s="1"/>
  <c r="L593" i="13"/>
  <c r="L587" i="13"/>
  <c r="L894" i="13"/>
  <c r="L896" i="13"/>
  <c r="L589" i="13"/>
  <c r="L917" i="13"/>
  <c r="L747" i="13"/>
  <c r="W747" i="13" s="1"/>
  <c r="L911" i="13"/>
  <c r="L907" i="13"/>
  <c r="L906" i="13"/>
  <c r="L905" i="13"/>
  <c r="L751" i="13"/>
  <c r="L897" i="13"/>
  <c r="K870" i="13"/>
  <c r="V871" i="13" s="1"/>
  <c r="V872" i="13" s="1"/>
  <c r="L745" i="13"/>
  <c r="W745" i="13" s="1"/>
  <c r="M615" i="13"/>
  <c r="M616" i="13"/>
  <c r="L614" i="13"/>
  <c r="L613" i="13"/>
  <c r="M617" i="13"/>
  <c r="L616" i="13"/>
  <c r="L615" i="13"/>
  <c r="M614" i="13"/>
  <c r="J15" i="18"/>
  <c r="L166" i="13"/>
  <c r="L610" i="13"/>
  <c r="L617" i="13"/>
  <c r="M613" i="13"/>
  <c r="L611" i="13"/>
  <c r="J16" i="18"/>
  <c r="L604" i="13"/>
  <c r="M321" i="13"/>
  <c r="M926" i="13" s="1"/>
  <c r="L603" i="13"/>
  <c r="L910" i="13"/>
  <c r="K16" i="18"/>
  <c r="L321" i="13"/>
  <c r="L926" i="13" s="1"/>
  <c r="M309" i="13"/>
  <c r="L309" i="13"/>
  <c r="L893" i="13"/>
  <c r="L297" i="13"/>
  <c r="L599" i="13"/>
  <c r="M166" i="13"/>
  <c r="M297" i="13"/>
  <c r="K29" i="18" s="1"/>
  <c r="L912" i="13"/>
  <c r="L605" i="13"/>
  <c r="K30" i="45"/>
  <c r="L996" i="13"/>
  <c r="L689" i="13"/>
  <c r="L622" i="13"/>
  <c r="L859" i="13"/>
  <c r="W859" i="13" s="1"/>
  <c r="L588" i="13"/>
  <c r="L741" i="13"/>
  <c r="W741" i="13" s="1"/>
  <c r="L849" i="13"/>
  <c r="W849" i="13" s="1"/>
  <c r="L695" i="13"/>
  <c r="L963" i="13"/>
  <c r="L982" i="13"/>
  <c r="L601" i="13"/>
  <c r="L947" i="13"/>
  <c r="L701" i="13"/>
  <c r="L898" i="13"/>
  <c r="L645" i="13"/>
  <c r="L1008" i="13"/>
  <c r="L794" i="13"/>
  <c r="W794" i="13" s="1"/>
  <c r="L952" i="13"/>
  <c r="L675" i="13"/>
  <c r="L932" i="13"/>
  <c r="L798" i="13"/>
  <c r="W798" i="13" s="1"/>
  <c r="L908" i="13"/>
  <c r="L627" i="13"/>
  <c r="L776" i="13"/>
  <c r="W776" i="13" s="1"/>
  <c r="L852" i="13"/>
  <c r="W852" i="13" s="1"/>
  <c r="L1012" i="13"/>
  <c r="L1005" i="13"/>
  <c r="L934" i="13"/>
  <c r="L656" i="13"/>
  <c r="L809" i="13"/>
  <c r="W809" i="13" s="1"/>
  <c r="K24" i="18"/>
  <c r="K25" i="18" s="1"/>
  <c r="K21" i="18"/>
  <c r="K22" i="18" s="1"/>
  <c r="L788" i="13"/>
  <c r="W788" i="13" s="1"/>
  <c r="L1199" i="13"/>
  <c r="L882" i="13"/>
  <c r="L575" i="13"/>
  <c r="J21" i="18"/>
  <c r="L988" i="13"/>
  <c r="L835" i="13"/>
  <c r="W835" i="13" s="1"/>
  <c r="L693" i="13"/>
  <c r="L821" i="13"/>
  <c r="W821" i="13" s="1"/>
  <c r="L1000" i="13"/>
  <c r="L946" i="13"/>
  <c r="L793" i="13"/>
  <c r="W793" i="13" s="1"/>
  <c r="L880" i="13"/>
  <c r="L632" i="13"/>
  <c r="L668" i="13"/>
  <c r="L625" i="13"/>
  <c r="L962" i="13"/>
  <c r="L941" i="13"/>
  <c r="L725" i="13"/>
  <c r="W725" i="13" s="1"/>
  <c r="L1013" i="13"/>
  <c r="L975" i="13"/>
  <c r="L837" i="13"/>
  <c r="W837" i="13" s="1"/>
  <c r="L984" i="13"/>
  <c r="L683" i="13"/>
  <c r="L953" i="13"/>
  <c r="L727" i="13"/>
  <c r="W727" i="13" s="1"/>
  <c r="L646" i="13"/>
  <c r="L879" i="13"/>
  <c r="L580" i="13"/>
  <c r="L816" i="13"/>
  <c r="W816" i="13" s="1"/>
  <c r="L602" i="13"/>
  <c r="L969" i="13"/>
  <c r="L909" i="13"/>
  <c r="L726" i="13"/>
  <c r="W726" i="13" s="1"/>
  <c r="L571" i="13"/>
  <c r="L928" i="13"/>
  <c r="L623" i="13"/>
  <c r="L278" i="13"/>
  <c r="W730" i="13" s="1"/>
  <c r="L930" i="13"/>
  <c r="L734" i="13"/>
  <c r="W734" i="13" s="1"/>
  <c r="L283" i="13"/>
  <c r="W735" i="13" s="1"/>
  <c r="L628" i="13"/>
  <c r="L708" i="13"/>
  <c r="L744" i="13"/>
  <c r="W744" i="13" s="1"/>
  <c r="J24" i="18"/>
  <c r="J25" i="18" s="1"/>
  <c r="L629" i="13"/>
  <c r="L936" i="13"/>
  <c r="L674" i="13"/>
  <c r="L951" i="13"/>
  <c r="L828" i="13"/>
  <c r="W828" i="13" s="1"/>
  <c r="L621" i="13"/>
  <c r="L885" i="13"/>
  <c r="L678" i="13"/>
  <c r="L670" i="13"/>
  <c r="L974" i="13"/>
  <c r="L935" i="13"/>
  <c r="L977" i="13"/>
  <c r="L862" i="13"/>
  <c r="W862" i="13" s="1"/>
  <c r="L600" i="13"/>
  <c r="L598" i="13"/>
  <c r="L706" i="13"/>
  <c r="L786" i="13"/>
  <c r="W786" i="13" s="1"/>
  <c r="L950" i="13"/>
  <c r="L966" i="13"/>
  <c r="L957" i="13"/>
  <c r="L804" i="13"/>
  <c r="W804" i="13" s="1"/>
  <c r="L739" i="13"/>
  <c r="L677" i="13"/>
  <c r="L797" i="13"/>
  <c r="W797" i="13" s="1"/>
  <c r="L813" i="13"/>
  <c r="W813" i="13" s="1"/>
  <c r="L594" i="13"/>
  <c r="L1043" i="13"/>
  <c r="L901" i="13"/>
  <c r="L732" i="13"/>
  <c r="W732" i="13" s="1"/>
  <c r="L586" i="13"/>
  <c r="L993" i="13"/>
  <c r="L686" i="13"/>
  <c r="L868" i="13"/>
  <c r="W868" i="13" s="1"/>
  <c r="L819" i="13"/>
  <c r="W819" i="13" s="1"/>
  <c r="L714" i="13"/>
  <c r="L665" i="13"/>
  <c r="L684" i="13"/>
  <c r="L1179" i="13"/>
  <c r="L838" i="13"/>
  <c r="W838" i="13" s="1"/>
  <c r="L801" i="13"/>
  <c r="W801" i="13" s="1"/>
  <c r="L647" i="13"/>
  <c r="L830" i="13"/>
  <c r="W830" i="13" s="1"/>
  <c r="L983" i="13"/>
  <c r="L832" i="13"/>
  <c r="W832" i="13" s="1"/>
  <c r="L418" i="13"/>
  <c r="L664" i="13"/>
  <c r="L818" i="13"/>
  <c r="W818" i="13" s="1"/>
  <c r="M586" i="13"/>
  <c r="M893" i="13"/>
  <c r="M739" i="13"/>
  <c r="M688" i="13"/>
  <c r="M842" i="13"/>
  <c r="X842" i="13" s="1"/>
  <c r="M995" i="13"/>
  <c r="M953" i="13"/>
  <c r="M646" i="13"/>
  <c r="M800" i="13"/>
  <c r="X800" i="13" s="1"/>
  <c r="M1001" i="13"/>
  <c r="M848" i="13"/>
  <c r="X848" i="13" s="1"/>
  <c r="M694" i="13"/>
  <c r="M831" i="13"/>
  <c r="X831" i="13" s="1"/>
  <c r="M677" i="13"/>
  <c r="M984" i="13"/>
  <c r="M659" i="13"/>
  <c r="M966" i="13"/>
  <c r="M813" i="13"/>
  <c r="X813" i="13" s="1"/>
  <c r="M702" i="13"/>
  <c r="M1009" i="13"/>
  <c r="M856" i="13"/>
  <c r="X856" i="13" s="1"/>
  <c r="M571" i="13"/>
  <c r="M725" i="13"/>
  <c r="X725" i="13" s="1"/>
  <c r="M878" i="13"/>
  <c r="M278" i="13"/>
  <c r="X730" i="13" s="1"/>
  <c r="M983" i="13"/>
  <c r="M676" i="13"/>
  <c r="M830" i="13"/>
  <c r="X830" i="13" s="1"/>
  <c r="M589" i="13"/>
  <c r="M742" i="13"/>
  <c r="X742" i="13" s="1"/>
  <c r="M896" i="13"/>
  <c r="M741" i="13"/>
  <c r="X741" i="13" s="1"/>
  <c r="M588" i="13"/>
  <c r="M895" i="13"/>
  <c r="M905" i="13"/>
  <c r="M598" i="13"/>
  <c r="M693" i="13"/>
  <c r="M1000" i="13"/>
  <c r="M847" i="13"/>
  <c r="X847" i="13" s="1"/>
  <c r="M797" i="13"/>
  <c r="X797" i="13" s="1"/>
  <c r="M950" i="13"/>
  <c r="M643" i="13"/>
  <c r="M865" i="13"/>
  <c r="X865" i="13" s="1"/>
  <c r="M711" i="13"/>
  <c r="M1018" i="13"/>
  <c r="M855" i="13"/>
  <c r="X855" i="13" s="1"/>
  <c r="M1008" i="13"/>
  <c r="M701" i="13"/>
  <c r="M603" i="13"/>
  <c r="M910" i="13"/>
  <c r="M933" i="13"/>
  <c r="M780" i="13"/>
  <c r="X780" i="13" s="1"/>
  <c r="M626" i="13"/>
  <c r="M964" i="13"/>
  <c r="M811" i="13"/>
  <c r="X811" i="13" s="1"/>
  <c r="M657" i="13"/>
  <c r="M935" i="13"/>
  <c r="M628" i="13"/>
  <c r="M782" i="13"/>
  <c r="X782" i="13" s="1"/>
  <c r="M573" i="13"/>
  <c r="M880" i="13"/>
  <c r="M727" i="13"/>
  <c r="X727" i="13" s="1"/>
  <c r="M729" i="13"/>
  <c r="X729" i="13" s="1"/>
  <c r="M575" i="13"/>
  <c r="M882" i="13"/>
  <c r="M928" i="13"/>
  <c r="M775" i="13"/>
  <c r="X775" i="13" s="1"/>
  <c r="M621" i="13"/>
  <c r="M418" i="13"/>
  <c r="M658" i="13"/>
  <c r="M965" i="13"/>
  <c r="M812" i="13"/>
  <c r="X812" i="13" s="1"/>
  <c r="M843" i="13"/>
  <c r="X843" i="13" s="1"/>
  <c r="M996" i="13"/>
  <c r="M689" i="13"/>
  <c r="M804" i="13"/>
  <c r="X804" i="13" s="1"/>
  <c r="M650" i="13"/>
  <c r="M957" i="13"/>
  <c r="M837" i="13"/>
  <c r="X837" i="13" s="1"/>
  <c r="M683" i="13"/>
  <c r="M990" i="13"/>
  <c r="M604" i="13"/>
  <c r="M911" i="13"/>
  <c r="M788" i="13"/>
  <c r="X788" i="13" s="1"/>
  <c r="M634" i="13"/>
  <c r="M941" i="13"/>
  <c r="M836" i="13"/>
  <c r="X836" i="13" s="1"/>
  <c r="M682" i="13"/>
  <c r="M989" i="13"/>
  <c r="M908" i="13"/>
  <c r="M601" i="13"/>
  <c r="M900" i="13"/>
  <c r="M746" i="13"/>
  <c r="X746" i="13" s="1"/>
  <c r="M593" i="13"/>
  <c r="M975" i="13"/>
  <c r="M822" i="13"/>
  <c r="X822" i="13" s="1"/>
  <c r="M668" i="13"/>
  <c r="M944" i="13"/>
  <c r="M791" i="13"/>
  <c r="X791" i="13" s="1"/>
  <c r="M637" i="13"/>
  <c r="M834" i="13"/>
  <c r="X834" i="13" s="1"/>
  <c r="M680" i="13"/>
  <c r="M987" i="13"/>
  <c r="M745" i="13"/>
  <c r="X745" i="13" s="1"/>
  <c r="M899" i="13"/>
  <c r="M592" i="13"/>
  <c r="M897" i="13"/>
  <c r="M743" i="13"/>
  <c r="X743" i="13" s="1"/>
  <c r="M590" i="13"/>
  <c r="M1020" i="13"/>
  <c r="M713" i="13"/>
  <c r="M867" i="13"/>
  <c r="X867" i="13" s="1"/>
  <c r="M807" i="13"/>
  <c r="X807" i="13" s="1"/>
  <c r="M960" i="13"/>
  <c r="M653" i="13"/>
  <c r="M684" i="13"/>
  <c r="M838" i="13"/>
  <c r="X838" i="13" s="1"/>
  <c r="M991" i="13"/>
  <c r="M574" i="13"/>
  <c r="M881" i="13"/>
  <c r="M728" i="13"/>
  <c r="X728" i="13" s="1"/>
  <c r="M976" i="13"/>
  <c r="M823" i="13"/>
  <c r="X823" i="13" s="1"/>
  <c r="M669" i="13"/>
  <c r="M979" i="13"/>
  <c r="M826" i="13"/>
  <c r="X826" i="13" s="1"/>
  <c r="M672" i="13"/>
  <c r="M815" i="13"/>
  <c r="X815" i="13" s="1"/>
  <c r="M968" i="13"/>
  <c r="M661" i="13"/>
  <c r="M862" i="13"/>
  <c r="X862" i="13" s="1"/>
  <c r="M1015" i="13"/>
  <c r="M708" i="13"/>
  <c r="M907" i="13"/>
  <c r="M600" i="13"/>
  <c r="M978" i="13"/>
  <c r="M825" i="13"/>
  <c r="X825" i="13" s="1"/>
  <c r="M671" i="13"/>
  <c r="M959" i="13"/>
  <c r="M806" i="13"/>
  <c r="X806" i="13" s="1"/>
  <c r="M652" i="13"/>
  <c r="M981" i="13"/>
  <c r="M828" i="13"/>
  <c r="X828" i="13" s="1"/>
  <c r="M674" i="13"/>
  <c r="M681" i="13"/>
  <c r="M988" i="13"/>
  <c r="M835" i="13"/>
  <c r="X835" i="13" s="1"/>
  <c r="M969" i="13"/>
  <c r="M816" i="13"/>
  <c r="X816" i="13" s="1"/>
  <c r="M662" i="13"/>
  <c r="M1012" i="13"/>
  <c r="M705" i="13"/>
  <c r="M859" i="13"/>
  <c r="X859" i="13" s="1"/>
  <c r="M631" i="13"/>
  <c r="M938" i="13"/>
  <c r="M785" i="13"/>
  <c r="X785" i="13" s="1"/>
  <c r="M1179" i="13"/>
  <c r="M821" i="13"/>
  <c r="X821" i="13" s="1"/>
  <c r="M667" i="13"/>
  <c r="M974" i="13"/>
  <c r="M1199" i="13"/>
  <c r="M787" i="13"/>
  <c r="X787" i="13" s="1"/>
  <c r="M940" i="13"/>
  <c r="M633" i="13"/>
  <c r="M670" i="13"/>
  <c r="M977" i="13"/>
  <c r="M824" i="13"/>
  <c r="X824" i="13" s="1"/>
  <c r="M726" i="13"/>
  <c r="X726" i="13" s="1"/>
  <c r="M572" i="13"/>
  <c r="M879" i="13"/>
  <c r="M786" i="13"/>
  <c r="X786" i="13" s="1"/>
  <c r="M632" i="13"/>
  <c r="M939" i="13"/>
  <c r="M692" i="13"/>
  <c r="M999" i="13"/>
  <c r="M846" i="13"/>
  <c r="X846" i="13" s="1"/>
  <c r="M734" i="13"/>
  <c r="X734" i="13" s="1"/>
  <c r="M887" i="13"/>
  <c r="M580" i="13"/>
  <c r="M832" i="13"/>
  <c r="X832" i="13" s="1"/>
  <c r="M678" i="13"/>
  <c r="M985" i="13"/>
  <c r="M945" i="13"/>
  <c r="M638" i="13"/>
  <c r="M792" i="13"/>
  <c r="X792" i="13" s="1"/>
  <c r="M1017" i="13"/>
  <c r="M710" i="13"/>
  <c r="M864" i="13"/>
  <c r="X864" i="13" s="1"/>
  <c r="M594" i="13"/>
  <c r="M901" i="13"/>
  <c r="M1014" i="13"/>
  <c r="M861" i="13"/>
  <c r="X861" i="13" s="1"/>
  <c r="M707" i="13"/>
  <c r="M1043" i="13"/>
  <c r="M885" i="13"/>
  <c r="M578" i="13"/>
  <c r="M283" i="13"/>
  <c r="X735" i="13" s="1"/>
  <c r="M732" i="13"/>
  <c r="X732" i="13" s="1"/>
  <c r="M712" i="13"/>
  <c r="M1019" i="13"/>
  <c r="M866" i="13"/>
  <c r="X866" i="13" s="1"/>
  <c r="M793" i="13"/>
  <c r="X793" i="13" s="1"/>
  <c r="M946" i="13"/>
  <c r="M639" i="13"/>
  <c r="M1006" i="13"/>
  <c r="M699" i="13"/>
  <c r="M853" i="13"/>
  <c r="X853" i="13" s="1"/>
  <c r="M740" i="13"/>
  <c r="X740" i="13" s="1"/>
  <c r="M587" i="13"/>
  <c r="M894" i="13"/>
  <c r="M952" i="13"/>
  <c r="M645" i="13"/>
  <c r="M799" i="13"/>
  <c r="X799" i="13" s="1"/>
  <c r="M818" i="13"/>
  <c r="X818" i="13" s="1"/>
  <c r="M971" i="13"/>
  <c r="M664" i="13"/>
  <c r="M844" i="13"/>
  <c r="X844" i="13" s="1"/>
  <c r="M690" i="13"/>
  <c r="M997" i="13"/>
  <c r="M963" i="13"/>
  <c r="M810" i="13"/>
  <c r="X810" i="13" s="1"/>
  <c r="M656" i="13"/>
  <c r="M644" i="13"/>
  <c r="M798" i="13"/>
  <c r="X798" i="13" s="1"/>
  <c r="M951" i="13"/>
  <c r="M805" i="13"/>
  <c r="X805" i="13" s="1"/>
  <c r="M651" i="13"/>
  <c r="M958" i="13"/>
  <c r="M579" i="13"/>
  <c r="M733" i="13"/>
  <c r="X733" i="13" s="1"/>
  <c r="M886" i="13"/>
  <c r="M795" i="13"/>
  <c r="X795" i="13" s="1"/>
  <c r="M948" i="13"/>
  <c r="M641" i="13"/>
  <c r="M909" i="13"/>
  <c r="M602" i="13"/>
  <c r="M912" i="13"/>
  <c r="M605" i="13"/>
  <c r="M599" i="13"/>
  <c r="M906" i="13"/>
  <c r="M706" i="13"/>
  <c r="M860" i="13"/>
  <c r="X860" i="13" s="1"/>
  <c r="M1013" i="13"/>
  <c r="M854" i="13"/>
  <c r="X854" i="13" s="1"/>
  <c r="M700" i="13"/>
  <c r="M1007" i="13"/>
  <c r="M993" i="13"/>
  <c r="M840" i="13"/>
  <c r="X840" i="13" s="1"/>
  <c r="M686" i="13"/>
  <c r="M936" i="13"/>
  <c r="M783" i="13"/>
  <c r="X783" i="13" s="1"/>
  <c r="M629" i="13"/>
  <c r="M649" i="13"/>
  <c r="M956" i="13"/>
  <c r="M803" i="13"/>
  <c r="X803" i="13" s="1"/>
  <c r="M970" i="13"/>
  <c r="M663" i="13"/>
  <c r="M817" i="13"/>
  <c r="X817" i="13" s="1"/>
  <c r="M777" i="13"/>
  <c r="X777" i="13" s="1"/>
  <c r="M930" i="13"/>
  <c r="M623" i="13"/>
  <c r="M704" i="13"/>
  <c r="M858" i="13"/>
  <c r="X858" i="13" s="1"/>
  <c r="M1011" i="13"/>
  <c r="M776" i="13"/>
  <c r="X776" i="13" s="1"/>
  <c r="M929" i="13"/>
  <c r="M622" i="13"/>
  <c r="M744" i="13"/>
  <c r="X744" i="13" s="1"/>
  <c r="M898" i="13"/>
  <c r="M591" i="13"/>
  <c r="M779" i="13"/>
  <c r="X779" i="13" s="1"/>
  <c r="M625" i="13"/>
  <c r="M932" i="13"/>
  <c r="M868" i="13"/>
  <c r="X868" i="13" s="1"/>
  <c r="M1021" i="13"/>
  <c r="M714" i="13"/>
  <c r="M627" i="13"/>
  <c r="M781" i="13"/>
  <c r="X781" i="13" s="1"/>
  <c r="M934" i="13"/>
  <c r="M852" i="13"/>
  <c r="X852" i="13" s="1"/>
  <c r="M1005" i="13"/>
  <c r="M698" i="13"/>
  <c r="M947" i="13"/>
  <c r="M794" i="13"/>
  <c r="X794" i="13" s="1"/>
  <c r="M640" i="13"/>
  <c r="M954" i="13"/>
  <c r="M647" i="13"/>
  <c r="M801" i="13"/>
  <c r="X801" i="13" s="1"/>
  <c r="M972" i="13"/>
  <c r="M665" i="13"/>
  <c r="M819" i="13"/>
  <c r="X819" i="13" s="1"/>
  <c r="M829" i="13"/>
  <c r="X829" i="13" s="1"/>
  <c r="M982" i="13"/>
  <c r="M675" i="13"/>
  <c r="M1003" i="13"/>
  <c r="M696" i="13"/>
  <c r="M850" i="13"/>
  <c r="X850" i="13" s="1"/>
  <c r="M655" i="13"/>
  <c r="M809" i="13"/>
  <c r="X809" i="13" s="1"/>
  <c r="M962" i="13"/>
  <c r="M849" i="13"/>
  <c r="X849" i="13" s="1"/>
  <c r="M695" i="13"/>
  <c r="M1002" i="13"/>
  <c r="M994" i="13"/>
  <c r="M841" i="13"/>
  <c r="X841" i="13" s="1"/>
  <c r="M687" i="13"/>
  <c r="M789" i="13"/>
  <c r="X789" i="13" s="1"/>
  <c r="M942" i="13"/>
  <c r="M635" i="13"/>
  <c r="K719" i="13"/>
  <c r="K1026" i="13"/>
  <c r="G8" i="18"/>
  <c r="H8" i="18"/>
  <c r="B290" i="13"/>
  <c r="B895" i="13" s="1"/>
  <c r="J1416" i="13"/>
  <c r="I1416" i="13"/>
  <c r="G52" i="18"/>
  <c r="H52" i="18"/>
  <c r="G53" i="18"/>
  <c r="H53" i="18"/>
  <c r="G57" i="18"/>
  <c r="H57" i="18"/>
  <c r="G58" i="18"/>
  <c r="H58" i="18"/>
  <c r="B1336" i="13"/>
  <c r="B1335" i="13"/>
  <c r="B1334" i="13"/>
  <c r="B1333" i="13"/>
  <c r="B1332" i="13"/>
  <c r="B1330" i="13"/>
  <c r="B1329" i="13"/>
  <c r="B1328" i="13"/>
  <c r="B1327" i="13"/>
  <c r="B1326" i="13"/>
  <c r="B1324" i="13"/>
  <c r="B1323" i="13"/>
  <c r="B1322" i="13"/>
  <c r="B1321" i="13"/>
  <c r="B1320" i="13"/>
  <c r="B1318" i="13"/>
  <c r="B1317" i="13"/>
  <c r="B1316" i="13"/>
  <c r="B1315" i="13"/>
  <c r="B1314" i="13"/>
  <c r="B1312" i="13"/>
  <c r="B1311" i="13"/>
  <c r="B1310" i="13"/>
  <c r="B1309" i="13"/>
  <c r="B1308" i="13"/>
  <c r="B1306" i="13"/>
  <c r="B1305" i="13"/>
  <c r="B1304" i="13"/>
  <c r="B1303" i="13"/>
  <c r="B1302" i="13"/>
  <c r="B1300" i="13"/>
  <c r="B1299" i="13"/>
  <c r="B1298" i="13"/>
  <c r="B1297" i="13"/>
  <c r="B1207" i="13"/>
  <c r="B1206" i="13"/>
  <c r="B1205" i="13"/>
  <c r="B1204" i="13"/>
  <c r="B1203" i="13"/>
  <c r="B1202" i="13"/>
  <c r="B1201" i="13"/>
  <c r="B1199" i="13"/>
  <c r="B1195" i="13"/>
  <c r="B1194" i="13"/>
  <c r="B1193" i="13"/>
  <c r="B1191" i="13"/>
  <c r="B1190" i="13"/>
  <c r="B1189" i="13"/>
  <c r="B1188" i="13"/>
  <c r="B1187" i="13"/>
  <c r="B1186" i="13"/>
  <c r="B1177" i="13"/>
  <c r="B1176" i="13"/>
  <c r="B1175" i="13"/>
  <c r="B1174" i="13"/>
  <c r="B1173" i="13"/>
  <c r="B1171" i="13"/>
  <c r="B1170" i="13"/>
  <c r="B1169" i="13"/>
  <c r="B1168" i="13"/>
  <c r="B1167" i="13"/>
  <c r="B1165" i="13"/>
  <c r="B1164" i="13"/>
  <c r="B1163" i="13"/>
  <c r="B1162" i="13"/>
  <c r="B1161" i="13"/>
  <c r="B1159" i="13"/>
  <c r="B1158" i="13"/>
  <c r="B1157" i="13"/>
  <c r="B1156" i="13"/>
  <c r="B1155" i="13"/>
  <c r="B1153" i="13"/>
  <c r="B1152" i="13"/>
  <c r="B1151" i="13"/>
  <c r="B1150" i="13"/>
  <c r="B1149" i="13"/>
  <c r="B1147" i="13"/>
  <c r="B1146" i="13"/>
  <c r="B1145" i="13"/>
  <c r="B1144" i="13"/>
  <c r="B1143" i="13"/>
  <c r="B1141" i="13"/>
  <c r="B1140" i="13"/>
  <c r="B1139" i="13"/>
  <c r="B1138" i="13"/>
  <c r="B1137" i="13"/>
  <c r="B1081" i="13"/>
  <c r="B1073" i="13"/>
  <c r="B1072" i="13"/>
  <c r="B1071" i="13"/>
  <c r="B1070" i="13"/>
  <c r="B1052" i="13"/>
  <c r="B1051" i="13"/>
  <c r="B1050" i="13"/>
  <c r="B1049" i="13"/>
  <c r="B1048" i="13"/>
  <c r="B1047" i="13"/>
  <c r="B1046" i="13"/>
  <c r="B1045" i="13"/>
  <c r="B1043" i="13"/>
  <c r="B1040" i="13"/>
  <c r="B1039" i="13"/>
  <c r="B1038" i="13"/>
  <c r="B1037" i="13"/>
  <c r="B1035" i="13"/>
  <c r="B1034" i="13"/>
  <c r="B1033" i="13"/>
  <c r="B1032" i="13"/>
  <c r="B1031" i="13"/>
  <c r="B1030" i="13"/>
  <c r="J1404" i="13"/>
  <c r="I1404" i="13"/>
  <c r="J1399" i="13"/>
  <c r="I1399" i="13"/>
  <c r="I1358" i="13"/>
  <c r="J1358" i="13" s="1"/>
  <c r="K1358" i="13" s="1"/>
  <c r="B524" i="13"/>
  <c r="B523" i="13"/>
  <c r="B522" i="13"/>
  <c r="B379" i="13"/>
  <c r="B677" i="13" s="1"/>
  <c r="B378" i="13"/>
  <c r="B676" i="13" s="1"/>
  <c r="B377" i="13"/>
  <c r="B675" i="13" s="1"/>
  <c r="G7" i="18"/>
  <c r="G61" i="18" s="1"/>
  <c r="H7" i="18"/>
  <c r="H61" i="18" s="1"/>
  <c r="J42" i="34"/>
  <c r="K42" i="34"/>
  <c r="I46" i="34"/>
  <c r="J46" i="34"/>
  <c r="K46" i="34"/>
  <c r="H31" i="13"/>
  <c r="H32" i="13" s="1"/>
  <c r="I31" i="13"/>
  <c r="I32" i="13" s="1"/>
  <c r="H79" i="13"/>
  <c r="I79" i="13"/>
  <c r="J79" i="13"/>
  <c r="C88" i="13"/>
  <c r="B272" i="13"/>
  <c r="B273" i="13"/>
  <c r="B274" i="13"/>
  <c r="B279" i="13"/>
  <c r="B884" i="13" s="1"/>
  <c r="B280" i="13"/>
  <c r="B885" i="13" s="1"/>
  <c r="B281" i="13"/>
  <c r="B886" i="13" s="1"/>
  <c r="B282" i="13"/>
  <c r="B887" i="13" s="1"/>
  <c r="B285" i="13"/>
  <c r="B890" i="13" s="1"/>
  <c r="B287" i="13"/>
  <c r="B892" i="13" s="1"/>
  <c r="B288" i="13"/>
  <c r="B893" i="13" s="1"/>
  <c r="B289" i="13"/>
  <c r="B894" i="13" s="1"/>
  <c r="B291" i="13"/>
  <c r="B896" i="13" s="1"/>
  <c r="B292" i="13"/>
  <c r="B897" i="13" s="1"/>
  <c r="B380" i="13"/>
  <c r="B678" i="13" s="1"/>
  <c r="B382" i="13"/>
  <c r="B680" i="13" s="1"/>
  <c r="B383" i="13"/>
  <c r="B681" i="13" s="1"/>
  <c r="B384" i="13"/>
  <c r="B682" i="13" s="1"/>
  <c r="B385" i="13"/>
  <c r="B683" i="13" s="1"/>
  <c r="B386" i="13"/>
  <c r="B684" i="13" s="1"/>
  <c r="B388" i="13"/>
  <c r="B686" i="13" s="1"/>
  <c r="B389" i="13"/>
  <c r="B687" i="13" s="1"/>
  <c r="B390" i="13"/>
  <c r="B688" i="13" s="1"/>
  <c r="B391" i="13"/>
  <c r="B689" i="13" s="1"/>
  <c r="B392" i="13"/>
  <c r="B690" i="13" s="1"/>
  <c r="B394" i="13"/>
  <c r="B395" i="13"/>
  <c r="B396" i="13"/>
  <c r="B397" i="13"/>
  <c r="B398" i="13"/>
  <c r="B400" i="13"/>
  <c r="B401" i="13"/>
  <c r="B402" i="13"/>
  <c r="B403" i="13"/>
  <c r="B404" i="13"/>
  <c r="B406" i="13"/>
  <c r="B407" i="13"/>
  <c r="B408" i="13"/>
  <c r="B409" i="13"/>
  <c r="B410" i="13"/>
  <c r="B412" i="13"/>
  <c r="B413" i="13"/>
  <c r="B414" i="13"/>
  <c r="B415" i="13"/>
  <c r="B416" i="13"/>
  <c r="B427" i="13"/>
  <c r="B428" i="13"/>
  <c r="B429" i="13"/>
  <c r="B430" i="13"/>
  <c r="B431" i="13"/>
  <c r="B432" i="13"/>
  <c r="B435" i="13"/>
  <c r="B436" i="13"/>
  <c r="B437" i="13"/>
  <c r="B438" i="13"/>
  <c r="B441" i="13"/>
  <c r="B443" i="13"/>
  <c r="B444" i="13"/>
  <c r="B445" i="13"/>
  <c r="B446" i="13"/>
  <c r="B447" i="13"/>
  <c r="B448" i="13"/>
  <c r="B449" i="13"/>
  <c r="B525" i="13"/>
  <c r="B527" i="13"/>
  <c r="B528" i="13"/>
  <c r="B529" i="13"/>
  <c r="B530" i="13"/>
  <c r="B531" i="13"/>
  <c r="B533" i="13"/>
  <c r="B534" i="13"/>
  <c r="B535" i="13"/>
  <c r="B536" i="13"/>
  <c r="B537" i="13"/>
  <c r="B539" i="13"/>
  <c r="B540" i="13"/>
  <c r="B541" i="13"/>
  <c r="B542" i="13"/>
  <c r="B543" i="13"/>
  <c r="B545" i="13"/>
  <c r="B546" i="13"/>
  <c r="B547" i="13"/>
  <c r="B548" i="13"/>
  <c r="B549" i="13"/>
  <c r="B551" i="13"/>
  <c r="B552" i="13"/>
  <c r="B553" i="13"/>
  <c r="B554" i="13"/>
  <c r="B555" i="13"/>
  <c r="B557" i="13"/>
  <c r="B558" i="13"/>
  <c r="B559" i="13"/>
  <c r="B560" i="13"/>
  <c r="B561" i="13"/>
  <c r="B570" i="13"/>
  <c r="B571" i="13"/>
  <c r="B572" i="13"/>
  <c r="B573" i="13"/>
  <c r="B574" i="13"/>
  <c r="B575" i="13"/>
  <c r="B577" i="13"/>
  <c r="B578" i="13"/>
  <c r="B579" i="13"/>
  <c r="B580" i="13"/>
  <c r="B583" i="13"/>
  <c r="B585" i="13"/>
  <c r="B692" i="13"/>
  <c r="B693" i="13"/>
  <c r="B694" i="13"/>
  <c r="B695" i="13"/>
  <c r="B696" i="13"/>
  <c r="B698" i="13"/>
  <c r="B699" i="13"/>
  <c r="B700" i="13"/>
  <c r="B701" i="13"/>
  <c r="B702" i="13"/>
  <c r="B704" i="13"/>
  <c r="B705" i="13"/>
  <c r="B706" i="13"/>
  <c r="B707" i="13"/>
  <c r="B708" i="13"/>
  <c r="B710" i="13"/>
  <c r="B711" i="13"/>
  <c r="B712" i="13"/>
  <c r="B713" i="13"/>
  <c r="B714" i="13"/>
  <c r="B724" i="13"/>
  <c r="B725" i="13"/>
  <c r="B726" i="13"/>
  <c r="B727" i="13"/>
  <c r="B728" i="13"/>
  <c r="B729" i="13"/>
  <c r="B731" i="13"/>
  <c r="B732" i="13"/>
  <c r="B733" i="13"/>
  <c r="B734" i="13"/>
  <c r="B736" i="13"/>
  <c r="B738" i="13"/>
  <c r="B772" i="13"/>
  <c r="B877" i="13"/>
  <c r="B878" i="13"/>
  <c r="B879" i="13"/>
  <c r="B880" i="13"/>
  <c r="B881" i="13"/>
  <c r="B882" i="13"/>
  <c r="H1350" i="13"/>
  <c r="I1350" i="13"/>
  <c r="J1350" i="13"/>
  <c r="H1354" i="13"/>
  <c r="I1354" i="13"/>
  <c r="J1354" i="13"/>
  <c r="H1358" i="13"/>
  <c r="H1362" i="13"/>
  <c r="I1362" i="13"/>
  <c r="J1362" i="13"/>
  <c r="H1366" i="13"/>
  <c r="I1366" i="13"/>
  <c r="J1366" i="13"/>
  <c r="I1374" i="13"/>
  <c r="J1374" i="13"/>
  <c r="I1380" i="13"/>
  <c r="J1380" i="13"/>
  <c r="I1402" i="13"/>
  <c r="J1402" i="13"/>
  <c r="I1413" i="13"/>
  <c r="J1413" i="13"/>
  <c r="I1414" i="13"/>
  <c r="J1414" i="13"/>
  <c r="I1415" i="13"/>
  <c r="J1415" i="13"/>
  <c r="I1422" i="13"/>
  <c r="I1424" i="13"/>
  <c r="J1424" i="13" s="1"/>
  <c r="K1424" i="13" s="1"/>
  <c r="M1424" i="13" s="1"/>
  <c r="M1426" i="13" s="1"/>
  <c r="H1439" i="13"/>
  <c r="I1439" i="13"/>
  <c r="J1439" i="13"/>
  <c r="C1479" i="13"/>
  <c r="C1491" i="13"/>
  <c r="C1503" i="13"/>
  <c r="C1514" i="13"/>
  <c r="C1526" i="13"/>
  <c r="C1536" i="13"/>
  <c r="C1546" i="13"/>
  <c r="C1556" i="13"/>
  <c r="C1566" i="13"/>
  <c r="I1432" i="13"/>
  <c r="J31" i="13"/>
  <c r="J32" i="13" s="1"/>
  <c r="H1433" i="13"/>
  <c r="H1432" i="13"/>
  <c r="I1433" i="13"/>
  <c r="H1376" i="13"/>
  <c r="H81" i="13"/>
  <c r="H157" i="13" s="1"/>
  <c r="H1228" i="13" s="1"/>
  <c r="H1441" i="13"/>
  <c r="I1375" i="13"/>
  <c r="H1375" i="13"/>
  <c r="H1440" i="13"/>
  <c r="H80" i="13"/>
  <c r="I1440" i="13"/>
  <c r="I80" i="13"/>
  <c r="J80" i="13"/>
  <c r="J1375" i="13"/>
  <c r="J1440" i="13"/>
  <c r="J1432" i="13"/>
  <c r="J1433" i="13"/>
  <c r="M1237" i="13" l="1"/>
  <c r="M1338" i="13" s="1"/>
  <c r="M1341" i="13" s="1"/>
  <c r="L1237" i="13"/>
  <c r="L1338" i="13" s="1"/>
  <c r="L1341" i="13" s="1"/>
  <c r="M1081" i="13"/>
  <c r="M101" i="13"/>
  <c r="K1370" i="13"/>
  <c r="X739" i="13"/>
  <c r="M748" i="13"/>
  <c r="X748" i="13" s="1"/>
  <c r="W739" i="13"/>
  <c r="L748" i="13"/>
  <c r="W748" i="13" s="1"/>
  <c r="M760" i="13"/>
  <c r="X760" i="13" s="1"/>
  <c r="X759" i="13"/>
  <c r="K873" i="13"/>
  <c r="J29" i="18"/>
  <c r="L760" i="13"/>
  <c r="W760" i="13" s="1"/>
  <c r="W751" i="13"/>
  <c r="V870" i="13"/>
  <c r="I10" i="46"/>
  <c r="I4" i="53"/>
  <c r="H10" i="46"/>
  <c r="H4" i="53"/>
  <c r="J9" i="53" s="1"/>
  <c r="K29" i="53" s="1"/>
  <c r="F20" i="18"/>
  <c r="J10" i="46"/>
  <c r="J4" i="53"/>
  <c r="L268" i="13"/>
  <c r="L101" i="13"/>
  <c r="J30" i="18"/>
  <c r="K30" i="18"/>
  <c r="B587" i="13"/>
  <c r="B740" i="13"/>
  <c r="B588" i="13"/>
  <c r="B741" i="13"/>
  <c r="B589" i="13"/>
  <c r="B742" i="13"/>
  <c r="B586" i="13"/>
  <c r="B739" i="13"/>
  <c r="B590" i="13"/>
  <c r="B743" i="13"/>
  <c r="M268" i="13"/>
  <c r="L902" i="13"/>
  <c r="L914" i="13" s="1"/>
  <c r="M902" i="13"/>
  <c r="M914" i="13" s="1"/>
  <c r="M1023" i="13"/>
  <c r="L1023" i="13"/>
  <c r="B1021" i="13"/>
  <c r="B868" i="13"/>
  <c r="B1017" i="13"/>
  <c r="B864" i="13"/>
  <c r="B1012" i="13"/>
  <c r="B859" i="13"/>
  <c r="B1007" i="13"/>
  <c r="B854" i="13"/>
  <c r="B1002" i="13"/>
  <c r="B849" i="13"/>
  <c r="B997" i="13"/>
  <c r="B844" i="13"/>
  <c r="B993" i="13"/>
  <c r="B840" i="13"/>
  <c r="B988" i="13"/>
  <c r="B835" i="13"/>
  <c r="G462" i="13"/>
  <c r="G457" i="13"/>
  <c r="G456" i="13"/>
  <c r="G450" i="13"/>
  <c r="G446" i="13"/>
  <c r="G460" i="13"/>
  <c r="G449" i="13"/>
  <c r="G451" i="13"/>
  <c r="G447" i="13"/>
  <c r="G448" i="13"/>
  <c r="G445" i="13"/>
  <c r="G459" i="13"/>
  <c r="G444" i="13"/>
  <c r="G463" i="13"/>
  <c r="G461" i="13"/>
  <c r="G452" i="13"/>
  <c r="G458" i="13"/>
  <c r="K444" i="13"/>
  <c r="K448" i="13"/>
  <c r="K445" i="13"/>
  <c r="K449" i="13"/>
  <c r="K450" i="13"/>
  <c r="K452" i="13"/>
  <c r="K446" i="13"/>
  <c r="K462" i="13"/>
  <c r="K457" i="13"/>
  <c r="K447" i="13"/>
  <c r="K463" i="13"/>
  <c r="K459" i="13"/>
  <c r="K456" i="13"/>
  <c r="K461" i="13"/>
  <c r="K460" i="13"/>
  <c r="K458" i="13"/>
  <c r="K451" i="13"/>
  <c r="M445" i="13"/>
  <c r="M462" i="13"/>
  <c r="L452" i="13"/>
  <c r="M456" i="13"/>
  <c r="M460" i="13"/>
  <c r="M451" i="13"/>
  <c r="M450" i="13"/>
  <c r="L456" i="13"/>
  <c r="L450" i="13"/>
  <c r="L461" i="13"/>
  <c r="M448" i="13"/>
  <c r="L448" i="13"/>
  <c r="L458" i="13"/>
  <c r="L445" i="13"/>
  <c r="M457" i="13"/>
  <c r="M446" i="13"/>
  <c r="L460" i="13"/>
  <c r="M459" i="13"/>
  <c r="L446" i="13"/>
  <c r="L457" i="13"/>
  <c r="L447" i="13"/>
  <c r="M463" i="13"/>
  <c r="M452" i="13"/>
  <c r="L459" i="13"/>
  <c r="L444" i="13"/>
  <c r="L451" i="13"/>
  <c r="L449" i="13"/>
  <c r="M444" i="13"/>
  <c r="L463" i="13"/>
  <c r="M461" i="13"/>
  <c r="M447" i="13"/>
  <c r="M458" i="13"/>
  <c r="L462" i="13"/>
  <c r="M449" i="13"/>
  <c r="L619" i="13"/>
  <c r="L716" i="13" s="1"/>
  <c r="B1020" i="13"/>
  <c r="B867" i="13"/>
  <c r="B1015" i="13"/>
  <c r="B862" i="13"/>
  <c r="B1011" i="13"/>
  <c r="B858" i="13"/>
  <c r="B1006" i="13"/>
  <c r="B853" i="13"/>
  <c r="B1001" i="13"/>
  <c r="B848" i="13"/>
  <c r="B843" i="13"/>
  <c r="B996" i="13"/>
  <c r="B991" i="13"/>
  <c r="B838" i="13"/>
  <c r="B987" i="13"/>
  <c r="B834" i="13"/>
  <c r="B829" i="13"/>
  <c r="B982" i="13"/>
  <c r="H163" i="13"/>
  <c r="H1234" i="13" s="1"/>
  <c r="H159" i="13"/>
  <c r="H1230" i="13" s="1"/>
  <c r="H155" i="13"/>
  <c r="H1226" i="13" s="1"/>
  <c r="H148" i="13"/>
  <c r="H144" i="13"/>
  <c r="H136" i="13"/>
  <c r="H132" i="13"/>
  <c r="H146" i="13"/>
  <c r="H134" i="13"/>
  <c r="H139" i="13"/>
  <c r="H1210" i="13" s="1"/>
  <c r="H160" i="13"/>
  <c r="H1231" i="13" s="1"/>
  <c r="H156" i="13"/>
  <c r="H1227" i="13" s="1"/>
  <c r="H149" i="13"/>
  <c r="H145" i="13"/>
  <c r="H137" i="13"/>
  <c r="H133" i="13"/>
  <c r="H161" i="13"/>
  <c r="H1232" i="13" s="1"/>
  <c r="H150" i="13"/>
  <c r="H1221" i="13" s="1"/>
  <c r="H138" i="13"/>
  <c r="H147" i="13"/>
  <c r="H131" i="13"/>
  <c r="H158" i="13"/>
  <c r="H1229" i="13" s="1"/>
  <c r="H135" i="13"/>
  <c r="H162" i="13"/>
  <c r="H143" i="13"/>
  <c r="H151" i="13"/>
  <c r="B1019" i="13"/>
  <c r="B866" i="13"/>
  <c r="B1014" i="13"/>
  <c r="B861" i="13"/>
  <c r="B1009" i="13"/>
  <c r="B856" i="13"/>
  <c r="B1005" i="13"/>
  <c r="B852" i="13"/>
  <c r="B1000" i="13"/>
  <c r="B847" i="13"/>
  <c r="B995" i="13"/>
  <c r="B842" i="13"/>
  <c r="B990" i="13"/>
  <c r="B837" i="13"/>
  <c r="B985" i="13"/>
  <c r="B832" i="13"/>
  <c r="B983" i="13"/>
  <c r="B830" i="13"/>
  <c r="M619" i="13"/>
  <c r="M716" i="13" s="1"/>
  <c r="B1018" i="13"/>
  <c r="B865" i="13"/>
  <c r="B860" i="13"/>
  <c r="B1013" i="13"/>
  <c r="B1008" i="13"/>
  <c r="B855" i="13"/>
  <c r="B1003" i="13"/>
  <c r="B850" i="13"/>
  <c r="B846" i="13"/>
  <c r="B999" i="13"/>
  <c r="B994" i="13"/>
  <c r="B841" i="13"/>
  <c r="B989" i="13"/>
  <c r="B836" i="13"/>
  <c r="B984" i="13"/>
  <c r="B831" i="13"/>
  <c r="H264" i="13"/>
  <c r="H415" i="13" s="1"/>
  <c r="H259" i="13"/>
  <c r="H255" i="13"/>
  <c r="H1326" i="13" s="1"/>
  <c r="H250" i="13"/>
  <c r="H1321" i="13" s="1"/>
  <c r="H245" i="13"/>
  <c r="H396" i="13" s="1"/>
  <c r="H240" i="13"/>
  <c r="H1152" i="13" s="1"/>
  <c r="H235" i="13"/>
  <c r="H386" i="13" s="1"/>
  <c r="H684" i="13" s="1"/>
  <c r="H231" i="13"/>
  <c r="H1302" i="13" s="1"/>
  <c r="H226" i="13"/>
  <c r="H1297" i="13" s="1"/>
  <c r="H244" i="13"/>
  <c r="H395" i="13" s="1"/>
  <c r="H1000" i="13" s="1"/>
  <c r="H265" i="13"/>
  <c r="H261" i="13"/>
  <c r="H1332" i="13" s="1"/>
  <c r="H256" i="13"/>
  <c r="H407" i="13" s="1"/>
  <c r="H251" i="13"/>
  <c r="H246" i="13"/>
  <c r="H1158" i="13" s="1"/>
  <c r="H241" i="13"/>
  <c r="H1153" i="13" s="1"/>
  <c r="H237" i="13"/>
  <c r="H232" i="13"/>
  <c r="H227" i="13"/>
  <c r="H378" i="13" s="1"/>
  <c r="H239" i="13"/>
  <c r="H1310" i="13" s="1"/>
  <c r="H262" i="13"/>
  <c r="H1174" i="13" s="1"/>
  <c r="H257" i="13"/>
  <c r="H1328" i="13" s="1"/>
  <c r="H252" i="13"/>
  <c r="H1323" i="13" s="1"/>
  <c r="H247" i="13"/>
  <c r="H1159" i="13" s="1"/>
  <c r="H243" i="13"/>
  <c r="H238" i="13"/>
  <c r="H1309" i="13" s="1"/>
  <c r="H233" i="13"/>
  <c r="H228" i="13"/>
  <c r="H263" i="13"/>
  <c r="H1334" i="13" s="1"/>
  <c r="H258" i="13"/>
  <c r="H253" i="13"/>
  <c r="H249" i="13"/>
  <c r="H234" i="13"/>
  <c r="H229" i="13"/>
  <c r="H525" i="13" s="1"/>
  <c r="H225" i="13"/>
  <c r="L1081" i="13"/>
  <c r="L1182" i="13" s="1"/>
  <c r="M595" i="13"/>
  <c r="M607" i="13" s="1"/>
  <c r="L595" i="13"/>
  <c r="L607" i="13" s="1"/>
  <c r="H20" i="18"/>
  <c r="J60" i="13"/>
  <c r="G20" i="18"/>
  <c r="I60" i="13"/>
  <c r="H60" i="13"/>
  <c r="B15" i="38" s="1"/>
  <c r="D26" i="45"/>
  <c r="D23" i="45"/>
  <c r="I30" i="45"/>
  <c r="J30" i="45"/>
  <c r="J39" i="13"/>
  <c r="J34" i="13"/>
  <c r="J41" i="13"/>
  <c r="J43" i="13" s="1"/>
  <c r="J37" i="13"/>
  <c r="H71" i="13"/>
  <c r="B26" i="38" s="1"/>
  <c r="C26" i="38" s="1"/>
  <c r="H41" i="13"/>
  <c r="H43" i="13" s="1"/>
  <c r="H37" i="13"/>
  <c r="H39" i="13"/>
  <c r="H34" i="13"/>
  <c r="I39" i="13"/>
  <c r="I34" i="13"/>
  <c r="I41" i="13"/>
  <c r="I43" i="13" s="1"/>
  <c r="I37" i="13"/>
  <c r="K27" i="18"/>
  <c r="H1383" i="13"/>
  <c r="H1394" i="13"/>
  <c r="H1406" i="13"/>
  <c r="H1396" i="13"/>
  <c r="H1387" i="13"/>
  <c r="H1393" i="13"/>
  <c r="H1401" i="13"/>
  <c r="H1405" i="13"/>
  <c r="H1385" i="13"/>
  <c r="H1395" i="13"/>
  <c r="H1403" i="13"/>
  <c r="H1407" i="13"/>
  <c r="H1386" i="13"/>
  <c r="H1392" i="13"/>
  <c r="H1400" i="13"/>
  <c r="G478" i="13"/>
  <c r="G547" i="13"/>
  <c r="G561" i="13"/>
  <c r="G542" i="13"/>
  <c r="G516" i="13"/>
  <c r="G496" i="13"/>
  <c r="G552" i="13"/>
  <c r="G468" i="13"/>
  <c r="G524" i="13"/>
  <c r="G437" i="13"/>
  <c r="G541" i="13"/>
  <c r="G482" i="13"/>
  <c r="G511" i="13"/>
  <c r="G525" i="13"/>
  <c r="G487" i="13"/>
  <c r="G505" i="13"/>
  <c r="G531" i="13"/>
  <c r="G512" i="13"/>
  <c r="G493" i="13"/>
  <c r="G474" i="13"/>
  <c r="G546" i="13"/>
  <c r="G549" i="13"/>
  <c r="G506" i="13"/>
  <c r="G509" i="13"/>
  <c r="G553" i="13"/>
  <c r="G504" i="13"/>
  <c r="G517" i="13"/>
  <c r="G479" i="13"/>
  <c r="G491" i="13"/>
  <c r="G438" i="13"/>
  <c r="G514" i="13"/>
  <c r="G429" i="13"/>
  <c r="G540" i="13"/>
  <c r="G537" i="13"/>
  <c r="G499" i="13"/>
  <c r="G492" i="13"/>
  <c r="G533" i="13"/>
  <c r="G494" i="13"/>
  <c r="G508" i="13"/>
  <c r="G469" i="13"/>
  <c r="G519" i="13"/>
  <c r="G548" i="13"/>
  <c r="G535" i="13"/>
  <c r="G497" i="13"/>
  <c r="G515" i="13"/>
  <c r="G476" i="13"/>
  <c r="G430" i="13"/>
  <c r="G557" i="13"/>
  <c r="G436" i="13"/>
  <c r="G551" i="13"/>
  <c r="G554" i="13"/>
  <c r="G428" i="13"/>
  <c r="G470" i="13"/>
  <c r="G522" i="13"/>
  <c r="G484" i="13"/>
  <c r="G481" i="13"/>
  <c r="G529" i="13"/>
  <c r="G523" i="13"/>
  <c r="G485" i="13"/>
  <c r="G536" i="13"/>
  <c r="G498" i="13"/>
  <c r="G500" i="13"/>
  <c r="G558" i="13"/>
  <c r="G475" i="13"/>
  <c r="G527" i="13"/>
  <c r="G488" i="13"/>
  <c r="G472" i="13"/>
  <c r="G534" i="13"/>
  <c r="G486" i="13"/>
  <c r="G560" i="13"/>
  <c r="G559" i="13"/>
  <c r="G530" i="13"/>
  <c r="G555" i="13"/>
  <c r="G521" i="13"/>
  <c r="G502" i="13"/>
  <c r="G473" i="13"/>
  <c r="G545" i="13"/>
  <c r="G528" i="13"/>
  <c r="G490" i="13"/>
  <c r="G503" i="13"/>
  <c r="G539" i="13"/>
  <c r="G432" i="13"/>
  <c r="G510" i="13"/>
  <c r="G431" i="13"/>
  <c r="G543" i="13"/>
  <c r="G518" i="13"/>
  <c r="G480" i="13"/>
  <c r="I18" i="34"/>
  <c r="I52" i="34"/>
  <c r="I11" i="46"/>
  <c r="H18" i="34"/>
  <c r="H52" i="34"/>
  <c r="H11" i="46"/>
  <c r="J18" i="34"/>
  <c r="J20" i="34" s="1"/>
  <c r="J21" i="34" s="1"/>
  <c r="J52" i="34"/>
  <c r="J11" i="46"/>
  <c r="K52" i="34"/>
  <c r="K28" i="18"/>
  <c r="C52" i="18"/>
  <c r="H64" i="13"/>
  <c r="B19" i="38" s="1"/>
  <c r="C19" i="38" s="1"/>
  <c r="F11" i="18"/>
  <c r="F38" i="18" s="1"/>
  <c r="C57" i="18"/>
  <c r="C53" i="18"/>
  <c r="C58" i="18"/>
  <c r="J27" i="18"/>
  <c r="J22" i="18"/>
  <c r="L583" i="13"/>
  <c r="L890" i="13"/>
  <c r="L285" i="13"/>
  <c r="J28" i="18"/>
  <c r="L736" i="13"/>
  <c r="M1182" i="13"/>
  <c r="M285" i="13"/>
  <c r="I63" i="13"/>
  <c r="G46" i="18" s="1"/>
  <c r="I67" i="13"/>
  <c r="G50" i="18" s="1"/>
  <c r="M519" i="13"/>
  <c r="M540" i="13"/>
  <c r="M531" i="13"/>
  <c r="M528" i="13"/>
  <c r="M504" i="13"/>
  <c r="M486" i="13"/>
  <c r="M476" i="13"/>
  <c r="M512" i="13"/>
  <c r="M494" i="13"/>
  <c r="M554" i="13"/>
  <c r="M509" i="13"/>
  <c r="M525" i="13"/>
  <c r="M521" i="13"/>
  <c r="M555" i="13"/>
  <c r="M479" i="13"/>
  <c r="M480" i="13"/>
  <c r="M530" i="13"/>
  <c r="M533" i="13"/>
  <c r="M547" i="13"/>
  <c r="M478" i="13"/>
  <c r="M524" i="13"/>
  <c r="M561" i="13"/>
  <c r="M473" i="13"/>
  <c r="M503" i="13"/>
  <c r="M552" i="13"/>
  <c r="M492" i="13"/>
  <c r="M488" i="13"/>
  <c r="M559" i="13"/>
  <c r="M506" i="13"/>
  <c r="M474" i="13"/>
  <c r="M542" i="13"/>
  <c r="M539" i="13"/>
  <c r="M469" i="13"/>
  <c r="M429" i="13"/>
  <c r="M517" i="13"/>
  <c r="M500" i="13"/>
  <c r="M560" i="13"/>
  <c r="M546" i="13"/>
  <c r="M484" i="13"/>
  <c r="M515" i="13"/>
  <c r="M505" i="13"/>
  <c r="M551" i="13"/>
  <c r="M436" i="13"/>
  <c r="M527" i="13"/>
  <c r="M549" i="13"/>
  <c r="M487" i="13"/>
  <c r="M481" i="13"/>
  <c r="M535" i="13"/>
  <c r="M516" i="13"/>
  <c r="M518" i="13"/>
  <c r="M558" i="13"/>
  <c r="M431" i="13"/>
  <c r="M502" i="13"/>
  <c r="M543" i="13"/>
  <c r="M510" i="13"/>
  <c r="M496" i="13"/>
  <c r="M514" i="13"/>
  <c r="M536" i="13"/>
  <c r="M545" i="13"/>
  <c r="M529" i="13"/>
  <c r="M508" i="13"/>
  <c r="M522" i="13"/>
  <c r="M523" i="13"/>
  <c r="M491" i="13"/>
  <c r="M499" i="13"/>
  <c r="M482" i="13"/>
  <c r="M428" i="13"/>
  <c r="M475" i="13"/>
  <c r="M472" i="13"/>
  <c r="M548" i="13"/>
  <c r="M438" i="13"/>
  <c r="M490" i="13"/>
  <c r="M470" i="13"/>
  <c r="M553" i="13"/>
  <c r="M437" i="13"/>
  <c r="M498" i="13"/>
  <c r="M430" i="13"/>
  <c r="M541" i="13"/>
  <c r="M493" i="13"/>
  <c r="M557" i="13"/>
  <c r="M485" i="13"/>
  <c r="M537" i="13"/>
  <c r="M511" i="13"/>
  <c r="M534" i="13"/>
  <c r="M497" i="13"/>
  <c r="M468" i="13"/>
  <c r="M432" i="13"/>
  <c r="M583" i="13"/>
  <c r="M890" i="13"/>
  <c r="M736" i="13"/>
  <c r="J71" i="13"/>
  <c r="I65" i="13"/>
  <c r="G48" i="18" s="1"/>
  <c r="I59" i="13"/>
  <c r="I66" i="13"/>
  <c r="G49" i="18" s="1"/>
  <c r="I71" i="13"/>
  <c r="J63" i="13"/>
  <c r="H46" i="18" s="1"/>
  <c r="J67" i="13"/>
  <c r="H50" i="18" s="1"/>
  <c r="H1430" i="13"/>
  <c r="H59" i="13"/>
  <c r="J64" i="13"/>
  <c r="H47" i="18" s="1"/>
  <c r="I64" i="13"/>
  <c r="L1424" i="13"/>
  <c r="L1426" i="13" s="1"/>
  <c r="K1426" i="13"/>
  <c r="K490" i="13"/>
  <c r="K530" i="13"/>
  <c r="K524" i="13"/>
  <c r="K430" i="13"/>
  <c r="K536" i="13"/>
  <c r="K512" i="13"/>
  <c r="K534" i="13"/>
  <c r="K484" i="13"/>
  <c r="K560" i="13"/>
  <c r="K500" i="13"/>
  <c r="K527" i="13"/>
  <c r="K561" i="13"/>
  <c r="K479" i="13"/>
  <c r="K555" i="13"/>
  <c r="K516" i="13"/>
  <c r="K437" i="13"/>
  <c r="K525" i="13"/>
  <c r="K545" i="13"/>
  <c r="K549" i="13"/>
  <c r="K506" i="13"/>
  <c r="K521" i="13"/>
  <c r="K480" i="13"/>
  <c r="K523" i="13"/>
  <c r="K542" i="13"/>
  <c r="K502" i="13"/>
  <c r="K554" i="13"/>
  <c r="K438" i="13"/>
  <c r="K476" i="13"/>
  <c r="K503" i="13"/>
  <c r="K551" i="13"/>
  <c r="K429" i="13"/>
  <c r="K515" i="13"/>
  <c r="K481" i="13"/>
  <c r="K508" i="13"/>
  <c r="K514" i="13"/>
  <c r="K510" i="13"/>
  <c r="K537" i="13"/>
  <c r="K499" i="13"/>
  <c r="K504" i="13"/>
  <c r="K482" i="13"/>
  <c r="K497" i="13"/>
  <c r="K432" i="13"/>
  <c r="K559" i="13"/>
  <c r="K518" i="13"/>
  <c r="K468" i="13"/>
  <c r="K519" i="13"/>
  <c r="K469" i="13"/>
  <c r="K546" i="13"/>
  <c r="K511" i="13"/>
  <c r="K509" i="13"/>
  <c r="K528" i="13"/>
  <c r="K478" i="13"/>
  <c r="K547" i="13"/>
  <c r="K473" i="13"/>
  <c r="K470" i="13"/>
  <c r="K552" i="13"/>
  <c r="K529" i="13"/>
  <c r="K531" i="13"/>
  <c r="K517" i="13"/>
  <c r="K436" i="13"/>
  <c r="K535" i="13"/>
  <c r="K475" i="13"/>
  <c r="K487" i="13"/>
  <c r="K557" i="13"/>
  <c r="K533" i="13"/>
  <c r="K491" i="13"/>
  <c r="K428" i="13"/>
  <c r="K540" i="13"/>
  <c r="K486" i="13"/>
  <c r="K431" i="13"/>
  <c r="K541" i="13"/>
  <c r="K493" i="13"/>
  <c r="K558" i="13"/>
  <c r="K474" i="13"/>
  <c r="K548" i="13"/>
  <c r="K498" i="13"/>
  <c r="K505" i="13"/>
  <c r="K496" i="13"/>
  <c r="K522" i="13"/>
  <c r="K543" i="13"/>
  <c r="K539" i="13"/>
  <c r="K488" i="13"/>
  <c r="K485" i="13"/>
  <c r="K492" i="13"/>
  <c r="K553" i="13"/>
  <c r="K494" i="13"/>
  <c r="K472" i="13"/>
  <c r="L488" i="13"/>
  <c r="L510" i="13"/>
  <c r="L541" i="13"/>
  <c r="L536" i="13"/>
  <c r="L502" i="13"/>
  <c r="L470" i="13"/>
  <c r="L482" i="13"/>
  <c r="L428" i="13"/>
  <c r="L480" i="13"/>
  <c r="L557" i="13"/>
  <c r="L474" i="13"/>
  <c r="L505" i="13"/>
  <c r="L431" i="13"/>
  <c r="L496" i="13"/>
  <c r="L468" i="13"/>
  <c r="L472" i="13"/>
  <c r="L503" i="13"/>
  <c r="L534" i="13"/>
  <c r="L516" i="13"/>
  <c r="L522" i="13"/>
  <c r="L546" i="13"/>
  <c r="L486" i="13"/>
  <c r="L545" i="13"/>
  <c r="L494" i="13"/>
  <c r="L561" i="13"/>
  <c r="L529" i="13"/>
  <c r="L476" i="13"/>
  <c r="L429" i="13"/>
  <c r="L479" i="13"/>
  <c r="L531" i="13"/>
  <c r="L530" i="13"/>
  <c r="L559" i="13"/>
  <c r="L542" i="13"/>
  <c r="L515" i="13"/>
  <c r="L524" i="13"/>
  <c r="L487" i="13"/>
  <c r="L430" i="13"/>
  <c r="L514" i="13"/>
  <c r="L432" i="13"/>
  <c r="L511" i="13"/>
  <c r="L558" i="13"/>
  <c r="L478" i="13"/>
  <c r="L554" i="13"/>
  <c r="L525" i="13"/>
  <c r="L475" i="13"/>
  <c r="L552" i="13"/>
  <c r="L473" i="13"/>
  <c r="L549" i="13"/>
  <c r="L481" i="13"/>
  <c r="L512" i="13"/>
  <c r="L543" i="13"/>
  <c r="L484" i="13"/>
  <c r="L555" i="13"/>
  <c r="L492" i="13"/>
  <c r="L436" i="13"/>
  <c r="L498" i="13"/>
  <c r="L500" i="13"/>
  <c r="L506" i="13"/>
  <c r="L533" i="13"/>
  <c r="L437" i="13"/>
  <c r="L518" i="13"/>
  <c r="L553" i="13"/>
  <c r="L508" i="13"/>
  <c r="L537" i="13"/>
  <c r="L535" i="13"/>
  <c r="L485" i="13"/>
  <c r="L527" i="13"/>
  <c r="L548" i="13"/>
  <c r="L504" i="13"/>
  <c r="L493" i="13"/>
  <c r="L491" i="13"/>
  <c r="L560" i="13"/>
  <c r="L517" i="13"/>
  <c r="L539" i="13"/>
  <c r="L499" i="13"/>
  <c r="L497" i="13"/>
  <c r="L523" i="13"/>
  <c r="L528" i="13"/>
  <c r="L540" i="13"/>
  <c r="L509" i="13"/>
  <c r="L519" i="13"/>
  <c r="L551" i="13"/>
  <c r="L438" i="13"/>
  <c r="L521" i="13"/>
  <c r="L490" i="13"/>
  <c r="L469" i="13"/>
  <c r="L547" i="13"/>
  <c r="L1358" i="13"/>
  <c r="K1368" i="13"/>
  <c r="J62" i="13"/>
  <c r="H45" i="18" s="1"/>
  <c r="J61" i="13"/>
  <c r="I61" i="13"/>
  <c r="G44" i="18" s="1"/>
  <c r="I62" i="13"/>
  <c r="G45" i="18" s="1"/>
  <c r="H67" i="13"/>
  <c r="B22" i="38" s="1"/>
  <c r="H62" i="13"/>
  <c r="B17" i="38" s="1"/>
  <c r="K1383" i="13"/>
  <c r="K1400" i="13"/>
  <c r="H63" i="13"/>
  <c r="B18" i="38" s="1"/>
  <c r="J1401" i="13"/>
  <c r="J1400" i="13"/>
  <c r="I1401" i="13"/>
  <c r="I1400" i="13"/>
  <c r="H61" i="13"/>
  <c r="B16" i="38" s="1"/>
  <c r="M1461" i="13"/>
  <c r="M1460" i="13"/>
  <c r="H118" i="13"/>
  <c r="H123" i="13"/>
  <c r="H117" i="13"/>
  <c r="H431" i="13" s="1"/>
  <c r="H114" i="13"/>
  <c r="H222" i="13"/>
  <c r="H213" i="13"/>
  <c r="H364" i="13" s="1"/>
  <c r="H969" i="13" s="1"/>
  <c r="H220" i="13"/>
  <c r="H516" i="13" s="1"/>
  <c r="H215" i="13"/>
  <c r="H1286" i="13" s="1"/>
  <c r="H207" i="13"/>
  <c r="H1278" i="13" s="1"/>
  <c r="H203" i="13"/>
  <c r="H1115" i="13" s="1"/>
  <c r="H195" i="13"/>
  <c r="H1266" i="13" s="1"/>
  <c r="H191" i="13"/>
  <c r="H487" i="13" s="1"/>
  <c r="H183" i="13"/>
  <c r="H179" i="13"/>
  <c r="H475" i="13" s="1"/>
  <c r="H172" i="13"/>
  <c r="H124" i="13"/>
  <c r="H115" i="13"/>
  <c r="H126" i="13"/>
  <c r="H1197" i="13" s="1"/>
  <c r="H116" i="13"/>
  <c r="H221" i="13"/>
  <c r="H1133" i="13" s="1"/>
  <c r="H216" i="13"/>
  <c r="H1287" i="13" s="1"/>
  <c r="H210" i="13"/>
  <c r="H1281" i="13" s="1"/>
  <c r="H194" i="13"/>
  <c r="H345" i="13" s="1"/>
  <c r="H184" i="13"/>
  <c r="H335" i="13" s="1"/>
  <c r="H177" i="13"/>
  <c r="H1248" i="13" s="1"/>
  <c r="H180" i="13"/>
  <c r="H476" i="13" s="1"/>
  <c r="H176" i="13"/>
  <c r="H219" i="13"/>
  <c r="H370" i="13" s="1"/>
  <c r="H822" i="13" s="1"/>
  <c r="S822" i="13" s="1"/>
  <c r="H214" i="13"/>
  <c r="H206" i="13"/>
  <c r="H196" i="13"/>
  <c r="H1108" i="13" s="1"/>
  <c r="H189" i="13"/>
  <c r="H340" i="13" s="1"/>
  <c r="H792" i="13" s="1"/>
  <c r="S792" i="13" s="1"/>
  <c r="H192" i="13"/>
  <c r="H188" i="13"/>
  <c r="H339" i="13" s="1"/>
  <c r="H185" i="13"/>
  <c r="H1256" i="13" s="1"/>
  <c r="H178" i="13"/>
  <c r="H1249" i="13" s="1"/>
  <c r="H174" i="13"/>
  <c r="H173" i="13"/>
  <c r="H212" i="13"/>
  <c r="H363" i="13" s="1"/>
  <c r="H202" i="13"/>
  <c r="H498" i="13" s="1"/>
  <c r="H201" i="13"/>
  <c r="H1272" i="13" s="1"/>
  <c r="H204" i="13"/>
  <c r="H1116" i="13" s="1"/>
  <c r="H190" i="13"/>
  <c r="H486" i="13" s="1"/>
  <c r="H125" i="13"/>
  <c r="H223" i="13"/>
  <c r="H519" i="13" s="1"/>
  <c r="H209" i="13"/>
  <c r="H360" i="13" s="1"/>
  <c r="H198" i="13"/>
  <c r="H1110" i="13" s="1"/>
  <c r="H182" i="13"/>
  <c r="H218" i="13"/>
  <c r="H514" i="13" s="1"/>
  <c r="H208" i="13"/>
  <c r="H504" i="13" s="1"/>
  <c r="H200" i="13"/>
  <c r="H351" i="13" s="1"/>
  <c r="H956" i="13" s="1"/>
  <c r="H197" i="13"/>
  <c r="H186" i="13"/>
  <c r="H337" i="13" s="1"/>
  <c r="H635" i="13" s="1"/>
  <c r="I1430" i="13"/>
  <c r="J1394" i="13"/>
  <c r="J66" i="13"/>
  <c r="H49" i="18" s="1"/>
  <c r="H66" i="13"/>
  <c r="B21" i="38" s="1"/>
  <c r="H1368" i="13"/>
  <c r="B37" i="38" s="1"/>
  <c r="J1395" i="13"/>
  <c r="J1387" i="13"/>
  <c r="J1396" i="13"/>
  <c r="J1392" i="13"/>
  <c r="J70" i="13"/>
  <c r="H56" i="18" s="1"/>
  <c r="J1426" i="13"/>
  <c r="H11" i="18"/>
  <c r="J1403" i="13"/>
  <c r="J1457" i="13"/>
  <c r="J1458" i="13" s="1"/>
  <c r="I1441" i="13"/>
  <c r="H65" i="13"/>
  <c r="B20" i="38" s="1"/>
  <c r="C20" i="38" s="1"/>
  <c r="I1387" i="13"/>
  <c r="I1396" i="13"/>
  <c r="I1395" i="13"/>
  <c r="I1376" i="13"/>
  <c r="I81" i="13"/>
  <c r="I1386" i="13"/>
  <c r="H1426" i="13"/>
  <c r="B41" i="38" s="1"/>
  <c r="J1386" i="13"/>
  <c r="I1426" i="13"/>
  <c r="J1368" i="13"/>
  <c r="H70" i="13"/>
  <c r="B25" i="38" s="1"/>
  <c r="C25" i="38" s="1"/>
  <c r="H1431" i="13"/>
  <c r="J1406" i="13"/>
  <c r="J1430" i="13"/>
  <c r="H1457" i="13"/>
  <c r="H1458" i="13" s="1"/>
  <c r="J1407" i="13"/>
  <c r="I1581" i="13"/>
  <c r="J1581" i="13"/>
  <c r="I1392" i="13"/>
  <c r="I1407" i="13"/>
  <c r="I1431" i="13"/>
  <c r="I1405" i="13"/>
  <c r="I1394" i="13"/>
  <c r="I1406" i="13"/>
  <c r="I1385" i="13"/>
  <c r="I70" i="13"/>
  <c r="G56" i="18" s="1"/>
  <c r="I1403" i="13"/>
  <c r="I1383" i="13"/>
  <c r="I1457" i="13"/>
  <c r="I1462" i="13" s="1"/>
  <c r="I1393" i="13"/>
  <c r="G11" i="18"/>
  <c r="J1383" i="13"/>
  <c r="J1393" i="13"/>
  <c r="J65" i="13"/>
  <c r="J1431" i="13"/>
  <c r="H1581" i="13"/>
  <c r="B44" i="38" s="1"/>
  <c r="J1385" i="13"/>
  <c r="J1405" i="13"/>
  <c r="I1368" i="13"/>
  <c r="F44" i="38" l="1"/>
  <c r="N44" i="38"/>
  <c r="H44" i="38"/>
  <c r="I44" i="38"/>
  <c r="G44" i="38"/>
  <c r="O44" i="38"/>
  <c r="P44" i="38"/>
  <c r="E44" i="38"/>
  <c r="J44" i="38"/>
  <c r="K44" i="38"/>
  <c r="L44" i="38"/>
  <c r="M44" i="38"/>
  <c r="L37" i="38"/>
  <c r="E37" i="38"/>
  <c r="N37" i="38"/>
  <c r="O37" i="38"/>
  <c r="P37" i="38"/>
  <c r="K37" i="38"/>
  <c r="M37" i="38"/>
  <c r="J37" i="38"/>
  <c r="F37" i="38"/>
  <c r="G37" i="38"/>
  <c r="H37" i="38"/>
  <c r="I37" i="38"/>
  <c r="I41" i="38"/>
  <c r="N41" i="38"/>
  <c r="G41" i="38"/>
  <c r="O41" i="38"/>
  <c r="P41" i="38"/>
  <c r="J41" i="38"/>
  <c r="E41" i="38"/>
  <c r="K41" i="38"/>
  <c r="L41" i="38"/>
  <c r="M41" i="38"/>
  <c r="F41" i="38"/>
  <c r="H41" i="38"/>
  <c r="P21" i="38"/>
  <c r="D21" i="38" s="1"/>
  <c r="C21" i="38" s="1"/>
  <c r="P18" i="38"/>
  <c r="D18" i="38" s="1"/>
  <c r="C18" i="38" s="1"/>
  <c r="P16" i="38"/>
  <c r="D16" i="38" s="1"/>
  <c r="C16" i="38" s="1"/>
  <c r="P17" i="38"/>
  <c r="D17" i="38" s="1"/>
  <c r="C17" i="38" s="1"/>
  <c r="P22" i="38"/>
  <c r="D22" i="38" s="1"/>
  <c r="C22" i="38" s="1"/>
  <c r="X736" i="13"/>
  <c r="W736" i="13"/>
  <c r="M772" i="13"/>
  <c r="X772" i="13" s="1"/>
  <c r="H1075" i="13"/>
  <c r="H1233" i="13"/>
  <c r="H1235" i="13" s="1"/>
  <c r="H1066" i="13"/>
  <c r="H1222" i="13"/>
  <c r="H1058" i="13"/>
  <c r="H1214" i="13"/>
  <c r="H1059" i="13"/>
  <c r="H1215" i="13"/>
  <c r="H1062" i="13"/>
  <c r="H1218" i="13"/>
  <c r="H1061" i="13"/>
  <c r="H1217" i="13"/>
  <c r="H1063" i="13"/>
  <c r="H1219" i="13"/>
  <c r="H1064" i="13"/>
  <c r="H1220" i="13"/>
  <c r="H1065" i="13"/>
  <c r="H1060" i="13"/>
  <c r="H1216" i="13"/>
  <c r="M421" i="13"/>
  <c r="X874" i="13" s="1"/>
  <c r="X737" i="13"/>
  <c r="L421" i="13"/>
  <c r="W874" i="13" s="1"/>
  <c r="W737" i="13"/>
  <c r="V873" i="13"/>
  <c r="V875" i="13"/>
  <c r="L772" i="13"/>
  <c r="W772" i="13" s="1"/>
  <c r="B14" i="38"/>
  <c r="I5" i="53"/>
  <c r="I6" i="53" s="1"/>
  <c r="J16" i="48"/>
  <c r="J32" i="48" s="1"/>
  <c r="F13" i="41"/>
  <c r="F29" i="41" s="1"/>
  <c r="I37" i="34"/>
  <c r="L38" i="34" s="1"/>
  <c r="H5" i="53"/>
  <c r="H6" i="53" s="1"/>
  <c r="J11" i="53" s="1"/>
  <c r="J15" i="53" s="1"/>
  <c r="K15" i="53" s="1"/>
  <c r="K35" i="53" s="1"/>
  <c r="K36" i="53" s="1"/>
  <c r="K37" i="53" s="1"/>
  <c r="K38" i="53" s="1"/>
  <c r="I16" i="48"/>
  <c r="I32" i="48" s="1"/>
  <c r="E13" i="41"/>
  <c r="E29" i="41" s="1"/>
  <c r="H37" i="34"/>
  <c r="J5" i="53"/>
  <c r="J6" i="53" s="1"/>
  <c r="K16" i="48"/>
  <c r="K32" i="48" s="1"/>
  <c r="G13" i="41"/>
  <c r="G29" i="41" s="1"/>
  <c r="J37" i="34"/>
  <c r="M38" i="34" s="1"/>
  <c r="K37" i="34"/>
  <c r="H1203" i="13"/>
  <c r="H1047" i="13"/>
  <c r="H1202" i="13"/>
  <c r="H1046" i="13"/>
  <c r="H1074" i="13"/>
  <c r="H1205" i="13"/>
  <c r="H1049" i="13"/>
  <c r="H1207" i="13"/>
  <c r="H1051" i="13"/>
  <c r="H1072" i="13"/>
  <c r="H1204" i="13"/>
  <c r="H1048" i="13"/>
  <c r="H1079" i="13"/>
  <c r="H1076" i="13"/>
  <c r="H1071" i="13"/>
  <c r="H1206" i="13"/>
  <c r="H1050" i="13"/>
  <c r="H1209" i="13"/>
  <c r="H1053" i="13"/>
  <c r="H1208" i="13"/>
  <c r="H1052" i="13"/>
  <c r="H1073" i="13"/>
  <c r="H1070" i="13"/>
  <c r="M870" i="13"/>
  <c r="L870" i="13"/>
  <c r="I160" i="13"/>
  <c r="I1231" i="13" s="1"/>
  <c r="I156" i="13"/>
  <c r="I1227" i="13" s="1"/>
  <c r="I149" i="13"/>
  <c r="I145" i="13"/>
  <c r="I137" i="13"/>
  <c r="I133" i="13"/>
  <c r="I158" i="13"/>
  <c r="I1229" i="13" s="1"/>
  <c r="I147" i="13"/>
  <c r="I135" i="13"/>
  <c r="I1050" i="13" s="1"/>
  <c r="I161" i="13"/>
  <c r="I1232" i="13" s="1"/>
  <c r="I157" i="13"/>
  <c r="I1228" i="13" s="1"/>
  <c r="I150" i="13"/>
  <c r="I1221" i="13" s="1"/>
  <c r="I146" i="13"/>
  <c r="I138" i="13"/>
  <c r="I134" i="13"/>
  <c r="I139" i="13"/>
  <c r="I1210" i="13" s="1"/>
  <c r="I162" i="13"/>
  <c r="I151" i="13"/>
  <c r="I143" i="13"/>
  <c r="I131" i="13"/>
  <c r="I159" i="13"/>
  <c r="I136" i="13"/>
  <c r="I144" i="13"/>
  <c r="I148" i="13"/>
  <c r="I155" i="13"/>
  <c r="I132" i="13"/>
  <c r="I163" i="13"/>
  <c r="I1234" i="13" s="1"/>
  <c r="H308" i="13"/>
  <c r="H315" i="13"/>
  <c r="H920" i="13" s="1"/>
  <c r="H307" i="13"/>
  <c r="H758" i="13" s="1"/>
  <c r="S758" i="13" s="1"/>
  <c r="H463" i="13"/>
  <c r="H458" i="13"/>
  <c r="H302" i="13"/>
  <c r="H753" i="13" s="1"/>
  <c r="S753" i="13" s="1"/>
  <c r="H296" i="13"/>
  <c r="H452" i="13"/>
  <c r="H445" i="13"/>
  <c r="H289" i="13"/>
  <c r="H312" i="13"/>
  <c r="H763" i="13" s="1"/>
  <c r="H164" i="13"/>
  <c r="H456" i="13"/>
  <c r="H300" i="13"/>
  <c r="H751" i="13" s="1"/>
  <c r="H152" i="13"/>
  <c r="H444" i="13"/>
  <c r="H288" i="13"/>
  <c r="H140" i="13"/>
  <c r="H318" i="13"/>
  <c r="H462" i="13"/>
  <c r="H306" i="13"/>
  <c r="H757" i="13" s="1"/>
  <c r="S757" i="13" s="1"/>
  <c r="H447" i="13"/>
  <c r="H291" i="13"/>
  <c r="H449" i="13"/>
  <c r="H293" i="13"/>
  <c r="H316" i="13"/>
  <c r="H319" i="13"/>
  <c r="H460" i="13"/>
  <c r="H304" i="13"/>
  <c r="H755" i="13" s="1"/>
  <c r="S755" i="13" s="1"/>
  <c r="H446" i="13"/>
  <c r="H290" i="13"/>
  <c r="H313" i="13"/>
  <c r="H303" i="13"/>
  <c r="H754" i="13" s="1"/>
  <c r="S754" i="13" s="1"/>
  <c r="H459" i="13"/>
  <c r="H457" i="13"/>
  <c r="H301" i="13"/>
  <c r="H752" i="13" s="1"/>
  <c r="S752" i="13" s="1"/>
  <c r="H320" i="13"/>
  <c r="H771" i="13" s="1"/>
  <c r="S771" i="13" s="1"/>
  <c r="H292" i="13"/>
  <c r="H448" i="13"/>
  <c r="H295" i="13"/>
  <c r="H451" i="13"/>
  <c r="H450" i="13"/>
  <c r="H294" i="13"/>
  <c r="H317" i="13"/>
  <c r="H314" i="13"/>
  <c r="H461" i="13"/>
  <c r="H305" i="13"/>
  <c r="H756" i="13" s="1"/>
  <c r="S756" i="13" s="1"/>
  <c r="I265" i="13"/>
  <c r="I261" i="13"/>
  <c r="I1173" i="13" s="1"/>
  <c r="I256" i="13"/>
  <c r="I552" i="13" s="1"/>
  <c r="I251" i="13"/>
  <c r="I1163" i="13" s="1"/>
  <c r="I246" i="13"/>
  <c r="I542" i="13" s="1"/>
  <c r="I241" i="13"/>
  <c r="I1153" i="13" s="1"/>
  <c r="I237" i="13"/>
  <c r="I533" i="13" s="1"/>
  <c r="I232" i="13"/>
  <c r="I1144" i="13" s="1"/>
  <c r="I227" i="13"/>
  <c r="I1298" i="13" s="1"/>
  <c r="I264" i="13"/>
  <c r="I560" i="13" s="1"/>
  <c r="I235" i="13"/>
  <c r="I386" i="13" s="1"/>
  <c r="I684" i="13" s="1"/>
  <c r="I262" i="13"/>
  <c r="I257" i="13"/>
  <c r="I408" i="13" s="1"/>
  <c r="I860" i="13" s="1"/>
  <c r="T860" i="13" s="1"/>
  <c r="I252" i="13"/>
  <c r="I403" i="13" s="1"/>
  <c r="I247" i="13"/>
  <c r="I1318" i="13" s="1"/>
  <c r="I243" i="13"/>
  <c r="I1314" i="13" s="1"/>
  <c r="I238" i="13"/>
  <c r="I534" i="13" s="1"/>
  <c r="I233" i="13"/>
  <c r="I1304" i="13" s="1"/>
  <c r="I228" i="13"/>
  <c r="I1299" i="13" s="1"/>
  <c r="I259" i="13"/>
  <c r="I1330" i="13" s="1"/>
  <c r="I255" i="13"/>
  <c r="I551" i="13" s="1"/>
  <c r="I250" i="13"/>
  <c r="I401" i="13" s="1"/>
  <c r="I231" i="13"/>
  <c r="I1143" i="13" s="1"/>
  <c r="I263" i="13"/>
  <c r="I1175" i="13" s="1"/>
  <c r="I258" i="13"/>
  <c r="I409" i="13" s="1"/>
  <c r="I253" i="13"/>
  <c r="I549" i="13" s="1"/>
  <c r="I249" i="13"/>
  <c r="I1161" i="13" s="1"/>
  <c r="I244" i="13"/>
  <c r="I1156" i="13" s="1"/>
  <c r="I239" i="13"/>
  <c r="I1151" i="13" s="1"/>
  <c r="I234" i="13"/>
  <c r="I385" i="13" s="1"/>
  <c r="I229" i="13"/>
  <c r="I1300" i="13" s="1"/>
  <c r="I225" i="13"/>
  <c r="I245" i="13"/>
  <c r="I1316" i="13" s="1"/>
  <c r="I240" i="13"/>
  <c r="I391" i="13" s="1"/>
  <c r="I226" i="13"/>
  <c r="I1297" i="13" s="1"/>
  <c r="H267" i="13"/>
  <c r="K453" i="13"/>
  <c r="K465" i="13" s="1"/>
  <c r="G453" i="13"/>
  <c r="G465" i="13" s="1"/>
  <c r="L453" i="13"/>
  <c r="L465" i="13" s="1"/>
  <c r="M453" i="13"/>
  <c r="M465" i="13" s="1"/>
  <c r="H1243" i="13"/>
  <c r="H376" i="13"/>
  <c r="H981" i="13" s="1"/>
  <c r="F69" i="18"/>
  <c r="F158" i="18" s="1"/>
  <c r="C1581" i="13"/>
  <c r="I75" i="13"/>
  <c r="I1390" i="13" s="1"/>
  <c r="F54" i="18"/>
  <c r="F145" i="18" s="1"/>
  <c r="H75" i="13"/>
  <c r="G14" i="18"/>
  <c r="H14" i="18"/>
  <c r="I14" i="18"/>
  <c r="F155" i="18"/>
  <c r="F162" i="18"/>
  <c r="F159" i="18"/>
  <c r="F163" i="18"/>
  <c r="C11" i="18"/>
  <c r="F161" i="18"/>
  <c r="G162" i="18"/>
  <c r="G163" i="18"/>
  <c r="G155" i="18"/>
  <c r="G161" i="18"/>
  <c r="G159" i="18"/>
  <c r="H155" i="18"/>
  <c r="H162" i="18"/>
  <c r="H163" i="18"/>
  <c r="H161" i="18"/>
  <c r="H159" i="18"/>
  <c r="C67" i="13"/>
  <c r="C71" i="13"/>
  <c r="H1388" i="13"/>
  <c r="H1389" i="13"/>
  <c r="G563" i="13"/>
  <c r="G441" i="13"/>
  <c r="G54" i="18"/>
  <c r="G145" i="18" s="1"/>
  <c r="C70" i="13"/>
  <c r="H20" i="34"/>
  <c r="H21" i="34" s="1"/>
  <c r="H22" i="34"/>
  <c r="H40" i="34"/>
  <c r="C61" i="13"/>
  <c r="F45" i="18"/>
  <c r="F137" i="18" s="1"/>
  <c r="C62" i="13"/>
  <c r="C65" i="13"/>
  <c r="C66" i="13"/>
  <c r="F46" i="18"/>
  <c r="F138" i="18" s="1"/>
  <c r="C63" i="13"/>
  <c r="F47" i="18"/>
  <c r="F139" i="18" s="1"/>
  <c r="C64" i="13"/>
  <c r="F43" i="18"/>
  <c r="F134" i="18" s="1"/>
  <c r="C60" i="13"/>
  <c r="F42" i="18"/>
  <c r="F133" i="18" s="1"/>
  <c r="F56" i="18"/>
  <c r="F147" i="18" s="1"/>
  <c r="F149" i="18"/>
  <c r="F143" i="18"/>
  <c r="F144" i="18"/>
  <c r="F148" i="18"/>
  <c r="F146" i="18"/>
  <c r="F48" i="18"/>
  <c r="F140" i="18" s="1"/>
  <c r="F49" i="18"/>
  <c r="F141" i="18" s="1"/>
  <c r="F44" i="18"/>
  <c r="F136" i="18" s="1"/>
  <c r="F50" i="18"/>
  <c r="F135" i="18" s="1"/>
  <c r="L1026" i="13"/>
  <c r="L719" i="13"/>
  <c r="M1464" i="13"/>
  <c r="K51" i="18" s="1"/>
  <c r="K142" i="18" s="1"/>
  <c r="M719" i="13"/>
  <c r="M563" i="13"/>
  <c r="M441" i="13"/>
  <c r="L1368" i="13"/>
  <c r="M1358" i="13"/>
  <c r="M1368" i="13" s="1"/>
  <c r="M1026" i="13"/>
  <c r="G144" i="18"/>
  <c r="H149" i="18"/>
  <c r="H141" i="18"/>
  <c r="H147" i="18"/>
  <c r="G136" i="18"/>
  <c r="G138" i="18"/>
  <c r="G137" i="18"/>
  <c r="H144" i="18"/>
  <c r="G38" i="18"/>
  <c r="G146" i="18"/>
  <c r="G140" i="18"/>
  <c r="G147" i="18"/>
  <c r="H148" i="18"/>
  <c r="H143" i="18"/>
  <c r="H138" i="18"/>
  <c r="G141" i="18"/>
  <c r="H135" i="18"/>
  <c r="G149" i="18"/>
  <c r="H38" i="18"/>
  <c r="H146" i="18"/>
  <c r="G135" i="18"/>
  <c r="H137" i="18"/>
  <c r="H139" i="18"/>
  <c r="G143" i="18"/>
  <c r="G148" i="18"/>
  <c r="H430" i="13"/>
  <c r="H437" i="13"/>
  <c r="H436" i="13"/>
  <c r="H429" i="13"/>
  <c r="H282" i="13"/>
  <c r="H734" i="13" s="1"/>
  <c r="S734" i="13" s="1"/>
  <c r="H428" i="13"/>
  <c r="H432" i="13"/>
  <c r="G47" i="18"/>
  <c r="K1459" i="13"/>
  <c r="J1462" i="13"/>
  <c r="H54" i="18"/>
  <c r="H145" i="18" s="1"/>
  <c r="K441" i="13"/>
  <c r="L563" i="13"/>
  <c r="L441" i="13"/>
  <c r="K563" i="13"/>
  <c r="L1461" i="13"/>
  <c r="K1461" i="13"/>
  <c r="K1460" i="13"/>
  <c r="L1460" i="13"/>
  <c r="J1461" i="13"/>
  <c r="H438" i="13"/>
  <c r="H1315" i="13"/>
  <c r="H497" i="13"/>
  <c r="H352" i="13"/>
  <c r="H804" i="13" s="1"/>
  <c r="S804" i="13" s="1"/>
  <c r="H1259" i="13"/>
  <c r="H128" i="13"/>
  <c r="H100" i="13" s="1"/>
  <c r="H484" i="13"/>
  <c r="H637" i="13"/>
  <c r="H944" i="13"/>
  <c r="H791" i="13"/>
  <c r="S791" i="13" s="1"/>
  <c r="H276" i="13"/>
  <c r="H1190" i="13"/>
  <c r="H1034" i="13"/>
  <c r="J22" i="34"/>
  <c r="H1100" i="13"/>
  <c r="I124" i="13"/>
  <c r="I123" i="13"/>
  <c r="I115" i="13"/>
  <c r="I126" i="13"/>
  <c r="I1197" i="13" s="1"/>
  <c r="I116" i="13"/>
  <c r="I219" i="13"/>
  <c r="I1290" i="13" s="1"/>
  <c r="I223" i="13"/>
  <c r="I519" i="13" s="1"/>
  <c r="I214" i="13"/>
  <c r="I1285" i="13" s="1"/>
  <c r="I212" i="13"/>
  <c r="I1283" i="13" s="1"/>
  <c r="I125" i="13"/>
  <c r="I282" i="13" s="1"/>
  <c r="I221" i="13"/>
  <c r="I1133" i="13" s="1"/>
  <c r="I218" i="13"/>
  <c r="I1130" i="13" s="1"/>
  <c r="I216" i="13"/>
  <c r="I512" i="13" s="1"/>
  <c r="I208" i="13"/>
  <c r="I206" i="13"/>
  <c r="I1277" i="13" s="1"/>
  <c r="I204" i="13"/>
  <c r="I500" i="13" s="1"/>
  <c r="I196" i="13"/>
  <c r="I1108" i="13" s="1"/>
  <c r="I194" i="13"/>
  <c r="I345" i="13" s="1"/>
  <c r="I192" i="13"/>
  <c r="I343" i="13" s="1"/>
  <c r="I184" i="13"/>
  <c r="I335" i="13" s="1"/>
  <c r="I182" i="13"/>
  <c r="I478" i="13" s="1"/>
  <c r="I180" i="13"/>
  <c r="I331" i="13" s="1"/>
  <c r="I174" i="13"/>
  <c r="I1086" i="13" s="1"/>
  <c r="I114" i="13"/>
  <c r="I118" i="13"/>
  <c r="I222" i="13"/>
  <c r="I1293" i="13" s="1"/>
  <c r="I209" i="13"/>
  <c r="I360" i="13" s="1"/>
  <c r="I202" i="13"/>
  <c r="I353" i="13" s="1"/>
  <c r="I195" i="13"/>
  <c r="I1266" i="13" s="1"/>
  <c r="I198" i="13"/>
  <c r="I494" i="13" s="1"/>
  <c r="I191" i="13"/>
  <c r="I342" i="13" s="1"/>
  <c r="I220" i="13"/>
  <c r="I516" i="13" s="1"/>
  <c r="I215" i="13"/>
  <c r="I1286" i="13" s="1"/>
  <c r="I210" i="13"/>
  <c r="I361" i="13" s="1"/>
  <c r="I203" i="13"/>
  <c r="I499" i="13" s="1"/>
  <c r="I177" i="13"/>
  <c r="I328" i="13" s="1"/>
  <c r="I780" i="13" s="1"/>
  <c r="T780" i="13" s="1"/>
  <c r="I176" i="13"/>
  <c r="I1088" i="13" s="1"/>
  <c r="I117" i="13"/>
  <c r="I200" i="13"/>
  <c r="I351" i="13" s="1"/>
  <c r="I649" i="13" s="1"/>
  <c r="I197" i="13"/>
  <c r="I493" i="13" s="1"/>
  <c r="I183" i="13"/>
  <c r="I186" i="13"/>
  <c r="I1098" i="13" s="1"/>
  <c r="I213" i="13"/>
  <c r="I509" i="13" s="1"/>
  <c r="I188" i="13"/>
  <c r="I1259" i="13" s="1"/>
  <c r="I185" i="13"/>
  <c r="I1097" i="13" s="1"/>
  <c r="I172" i="13"/>
  <c r="I207" i="13"/>
  <c r="I1278" i="13" s="1"/>
  <c r="I201" i="13"/>
  <c r="I1272" i="13" s="1"/>
  <c r="I190" i="13"/>
  <c r="I486" i="13" s="1"/>
  <c r="I179" i="13"/>
  <c r="I330" i="13" s="1"/>
  <c r="I189" i="13"/>
  <c r="I178" i="13"/>
  <c r="I1090" i="13" s="1"/>
  <c r="I173" i="13"/>
  <c r="I469" i="13" s="1"/>
  <c r="H1033" i="13"/>
  <c r="H1189" i="13"/>
  <c r="H275" i="13"/>
  <c r="H1107" i="13"/>
  <c r="H1032" i="13"/>
  <c r="H1188" i="13"/>
  <c r="H274" i="13"/>
  <c r="H496" i="13"/>
  <c r="H1040" i="13"/>
  <c r="H1196" i="13"/>
  <c r="H1039" i="13"/>
  <c r="H281" i="13"/>
  <c r="H1195" i="13"/>
  <c r="H273" i="13"/>
  <c r="H1031" i="13"/>
  <c r="H120" i="13"/>
  <c r="H1187" i="13"/>
  <c r="H1038" i="13"/>
  <c r="H280" i="13"/>
  <c r="H1194" i="13"/>
  <c r="H277" i="13"/>
  <c r="H1191" i="13"/>
  <c r="H1035" i="13"/>
  <c r="I1435" i="13"/>
  <c r="H1435" i="13"/>
  <c r="B42" i="38" s="1"/>
  <c r="H847" i="13"/>
  <c r="S847" i="13" s="1"/>
  <c r="J40" i="34"/>
  <c r="H491" i="13"/>
  <c r="H1130" i="13"/>
  <c r="H1251" i="13"/>
  <c r="J59" i="13"/>
  <c r="C59" i="13" s="1"/>
  <c r="H500" i="13"/>
  <c r="H401" i="13"/>
  <c r="H699" i="13" s="1"/>
  <c r="H355" i="13"/>
  <c r="H960" i="13" s="1"/>
  <c r="H1261" i="13"/>
  <c r="H44" i="18"/>
  <c r="H136" i="18" s="1"/>
  <c r="J1376" i="13"/>
  <c r="H1271" i="13"/>
  <c r="H328" i="13"/>
  <c r="H933" i="13" s="1"/>
  <c r="H1092" i="13"/>
  <c r="J1435" i="13"/>
  <c r="H1164" i="13"/>
  <c r="H365" i="13"/>
  <c r="H663" i="13" s="1"/>
  <c r="H1285" i="13"/>
  <c r="H1314" i="13"/>
  <c r="H394" i="13"/>
  <c r="H692" i="13" s="1"/>
  <c r="H1127" i="13"/>
  <c r="H511" i="13"/>
  <c r="H517" i="13"/>
  <c r="H361" i="13"/>
  <c r="H813" i="13" s="1"/>
  <c r="S813" i="13" s="1"/>
  <c r="H1254" i="13"/>
  <c r="H479" i="13"/>
  <c r="H366" i="13"/>
  <c r="J1459" i="13"/>
  <c r="H649" i="13"/>
  <c r="H803" i="13"/>
  <c r="S803" i="13" s="1"/>
  <c r="H331" i="13"/>
  <c r="H936" i="13" s="1"/>
  <c r="H1275" i="13"/>
  <c r="J81" i="13"/>
  <c r="J1441" i="13"/>
  <c r="H548" i="13"/>
  <c r="H539" i="13"/>
  <c r="H1112" i="13"/>
  <c r="H1296" i="13"/>
  <c r="H403" i="13"/>
  <c r="H693" i="13"/>
  <c r="H346" i="13"/>
  <c r="H1292" i="13"/>
  <c r="H1156" i="13"/>
  <c r="H1113" i="13"/>
  <c r="H1289" i="13"/>
  <c r="H1155" i="13"/>
  <c r="H372" i="13"/>
  <c r="H824" i="13" s="1"/>
  <c r="S824" i="13" s="1"/>
  <c r="H540" i="13"/>
  <c r="H1147" i="13"/>
  <c r="H945" i="13"/>
  <c r="H1151" i="13"/>
  <c r="H535" i="13"/>
  <c r="H473" i="13"/>
  <c r="I1388" i="13"/>
  <c r="I1389" i="13"/>
  <c r="H369" i="13"/>
  <c r="H1137" i="13"/>
  <c r="H382" i="13"/>
  <c r="H987" i="13" s="1"/>
  <c r="H377" i="13"/>
  <c r="H982" i="13" s="1"/>
  <c r="H521" i="13"/>
  <c r="H1138" i="13"/>
  <c r="H527" i="13"/>
  <c r="H374" i="13"/>
  <c r="H979" i="13" s="1"/>
  <c r="H522" i="13"/>
  <c r="H1143" i="13"/>
  <c r="H1128" i="13"/>
  <c r="H397" i="13"/>
  <c r="H1126" i="13"/>
  <c r="H1114" i="13"/>
  <c r="H816" i="13"/>
  <c r="S816" i="13" s="1"/>
  <c r="H1267" i="13"/>
  <c r="H1102" i="13"/>
  <c r="H492" i="13"/>
  <c r="H485" i="13"/>
  <c r="H510" i="13"/>
  <c r="H1169" i="13"/>
  <c r="H390" i="13"/>
  <c r="H995" i="13" s="1"/>
  <c r="H1290" i="13"/>
  <c r="H1168" i="13"/>
  <c r="H347" i="13"/>
  <c r="H645" i="13" s="1"/>
  <c r="H341" i="13"/>
  <c r="H559" i="13"/>
  <c r="H508" i="13"/>
  <c r="H541" i="13"/>
  <c r="H499" i="13"/>
  <c r="H1098" i="13"/>
  <c r="H380" i="13"/>
  <c r="H832" i="13" s="1"/>
  <c r="S832" i="13" s="1"/>
  <c r="H342" i="13"/>
  <c r="H358" i="13"/>
  <c r="H398" i="13"/>
  <c r="H696" i="13" s="1"/>
  <c r="H1284" i="13"/>
  <c r="H1089" i="13"/>
  <c r="H1316" i="13"/>
  <c r="H1274" i="13"/>
  <c r="H349" i="13"/>
  <c r="H954" i="13" s="1"/>
  <c r="H1327" i="13"/>
  <c r="H1125" i="13"/>
  <c r="H1257" i="13"/>
  <c r="H482" i="13"/>
  <c r="H1124" i="13"/>
  <c r="H557" i="13"/>
  <c r="H509" i="13"/>
  <c r="H662" i="13"/>
  <c r="H1157" i="13"/>
  <c r="H354" i="13"/>
  <c r="H552" i="13"/>
  <c r="H480" i="13"/>
  <c r="H1283" i="13"/>
  <c r="H412" i="13"/>
  <c r="H1017" i="13" s="1"/>
  <c r="H530" i="13"/>
  <c r="H1305" i="13"/>
  <c r="H1306" i="13"/>
  <c r="H325" i="13"/>
  <c r="H930" i="13" s="1"/>
  <c r="H1245" i="13"/>
  <c r="H549" i="13"/>
  <c r="H1324" i="13"/>
  <c r="H1165" i="13"/>
  <c r="H531" i="13"/>
  <c r="H468" i="13"/>
  <c r="H1322" i="13"/>
  <c r="H547" i="13"/>
  <c r="H1299" i="13"/>
  <c r="H524" i="13"/>
  <c r="H348" i="13"/>
  <c r="H1109" i="13"/>
  <c r="H385" i="13"/>
  <c r="H1146" i="13"/>
  <c r="H392" i="13"/>
  <c r="H997" i="13" s="1"/>
  <c r="H408" i="13"/>
  <c r="H706" i="13" s="1"/>
  <c r="H490" i="13"/>
  <c r="H1294" i="13"/>
  <c r="H1173" i="13"/>
  <c r="H1104" i="13"/>
  <c r="H343" i="13"/>
  <c r="H948" i="13" s="1"/>
  <c r="H1177" i="13"/>
  <c r="H416" i="13"/>
  <c r="H714" i="13" s="1"/>
  <c r="H555" i="13"/>
  <c r="H1171" i="13"/>
  <c r="H1170" i="13"/>
  <c r="H1329" i="13"/>
  <c r="H409" i="13"/>
  <c r="H1132" i="13"/>
  <c r="H1291" i="13"/>
  <c r="H327" i="13"/>
  <c r="S778" i="13" s="1"/>
  <c r="H1247" i="13"/>
  <c r="H1097" i="13"/>
  <c r="H481" i="13"/>
  <c r="H1330" i="13"/>
  <c r="H523" i="13"/>
  <c r="H323" i="13"/>
  <c r="H371" i="13"/>
  <c r="H976" i="13" s="1"/>
  <c r="H404" i="13"/>
  <c r="H702" i="13" s="1"/>
  <c r="H488" i="13"/>
  <c r="H536" i="13"/>
  <c r="H1311" i="13"/>
  <c r="H561" i="13"/>
  <c r="H1162" i="13"/>
  <c r="H560" i="13"/>
  <c r="H410" i="13"/>
  <c r="H862" i="13" s="1"/>
  <c r="S862" i="13" s="1"/>
  <c r="H1139" i="13"/>
  <c r="H1084" i="13"/>
  <c r="H359" i="13"/>
  <c r="H964" i="13" s="1"/>
  <c r="H472" i="13"/>
  <c r="H1141" i="13"/>
  <c r="H1300" i="13"/>
  <c r="H1103" i="13"/>
  <c r="H1262" i="13"/>
  <c r="H379" i="13"/>
  <c r="H1318" i="13"/>
  <c r="H546" i="13"/>
  <c r="H554" i="13"/>
  <c r="H391" i="13"/>
  <c r="H1298" i="13"/>
  <c r="H336" i="13"/>
  <c r="H1095" i="13"/>
  <c r="H334" i="13"/>
  <c r="H632" i="13" s="1"/>
  <c r="H1317" i="13"/>
  <c r="H542" i="13"/>
  <c r="H506" i="13"/>
  <c r="H1122" i="13"/>
  <c r="H1012" i="13"/>
  <c r="H859" i="13"/>
  <c r="S859" i="13" s="1"/>
  <c r="H1273" i="13"/>
  <c r="H353" i="13"/>
  <c r="H805" i="13" s="1"/>
  <c r="S805" i="13" s="1"/>
  <c r="H494" i="13"/>
  <c r="H1269" i="13"/>
  <c r="H1088" i="13"/>
  <c r="H469" i="13"/>
  <c r="H324" i="13"/>
  <c r="H553" i="13"/>
  <c r="H1140" i="13"/>
  <c r="H493" i="13"/>
  <c r="H1120" i="13"/>
  <c r="H1085" i="13"/>
  <c r="H1255" i="13"/>
  <c r="H503" i="13"/>
  <c r="H1106" i="13"/>
  <c r="H1268" i="13"/>
  <c r="H558" i="13"/>
  <c r="H1279" i="13"/>
  <c r="H1096" i="13"/>
  <c r="H1263" i="13"/>
  <c r="H1175" i="13"/>
  <c r="H534" i="13"/>
  <c r="H1280" i="13"/>
  <c r="H543" i="13"/>
  <c r="H1119" i="13"/>
  <c r="H1244" i="13"/>
  <c r="H414" i="13"/>
  <c r="S866" i="13" s="1"/>
  <c r="H1277" i="13"/>
  <c r="H502" i="13"/>
  <c r="H357" i="13"/>
  <c r="H1118" i="13"/>
  <c r="H1091" i="13"/>
  <c r="H330" i="13"/>
  <c r="H1250" i="13"/>
  <c r="H529" i="13"/>
  <c r="H384" i="13"/>
  <c r="H682" i="13" s="1"/>
  <c r="H373" i="13"/>
  <c r="H518" i="13"/>
  <c r="H1293" i="13"/>
  <c r="H1134" i="13"/>
  <c r="H1320" i="13"/>
  <c r="H400" i="13"/>
  <c r="H1161" i="13"/>
  <c r="H545" i="13"/>
  <c r="H1131" i="13"/>
  <c r="H515" i="13"/>
  <c r="H474" i="13"/>
  <c r="H1090" i="13"/>
  <c r="H413" i="13"/>
  <c r="H1018" i="13" s="1"/>
  <c r="H1265" i="13"/>
  <c r="H512" i="13"/>
  <c r="H1333" i="13"/>
  <c r="H1101" i="13"/>
  <c r="H1145" i="13"/>
  <c r="H1304" i="13"/>
  <c r="H329" i="13"/>
  <c r="H781" i="13" s="1"/>
  <c r="S781" i="13" s="1"/>
  <c r="H1260" i="13"/>
  <c r="H367" i="13"/>
  <c r="H819" i="13" s="1"/>
  <c r="S819" i="13" s="1"/>
  <c r="H1135" i="13"/>
  <c r="H658" i="13"/>
  <c r="H965" i="13"/>
  <c r="H1163" i="13"/>
  <c r="H402" i="13"/>
  <c r="H854" i="13" s="1"/>
  <c r="S854" i="13" s="1"/>
  <c r="H1167" i="13"/>
  <c r="H551" i="13"/>
  <c r="H406" i="13"/>
  <c r="H1144" i="13"/>
  <c r="H528" i="13"/>
  <c r="H1303" i="13"/>
  <c r="H383" i="13"/>
  <c r="H988" i="13" s="1"/>
  <c r="H1335" i="13"/>
  <c r="H1176" i="13"/>
  <c r="H533" i="13"/>
  <c r="H388" i="13"/>
  <c r="H1308" i="13"/>
  <c r="H1149" i="13"/>
  <c r="H505" i="13"/>
  <c r="H1121" i="13"/>
  <c r="H389" i="13"/>
  <c r="H687" i="13" s="1"/>
  <c r="H1150" i="13"/>
  <c r="H1336" i="13"/>
  <c r="H942" i="13"/>
  <c r="H789" i="13"/>
  <c r="S789" i="13" s="1"/>
  <c r="H1253" i="13"/>
  <c r="H478" i="13"/>
  <c r="H333" i="13"/>
  <c r="H1094" i="13"/>
  <c r="H1086" i="13"/>
  <c r="H470" i="13"/>
  <c r="H537" i="13"/>
  <c r="H1312" i="13"/>
  <c r="H991" i="13"/>
  <c r="H975" i="13"/>
  <c r="H838" i="13"/>
  <c r="S838" i="13" s="1"/>
  <c r="H812" i="13"/>
  <c r="S812" i="13" s="1"/>
  <c r="H638" i="13"/>
  <c r="H940" i="13"/>
  <c r="H787" i="13"/>
  <c r="S787" i="13" s="1"/>
  <c r="H633" i="13"/>
  <c r="H705" i="13"/>
  <c r="H1020" i="13"/>
  <c r="H867" i="13"/>
  <c r="S867" i="13" s="1"/>
  <c r="H713" i="13"/>
  <c r="H694" i="13"/>
  <c r="H1001" i="13"/>
  <c r="H848" i="13"/>
  <c r="S848" i="13" s="1"/>
  <c r="H676" i="13"/>
  <c r="H983" i="13"/>
  <c r="H830" i="13"/>
  <c r="S830" i="13" s="1"/>
  <c r="H668" i="13"/>
  <c r="H1462" i="13"/>
  <c r="H1461" i="13"/>
  <c r="H1459" i="13"/>
  <c r="I22" i="34"/>
  <c r="I20" i="34"/>
  <c r="I21" i="34" s="1"/>
  <c r="I40" i="34"/>
  <c r="K20" i="34"/>
  <c r="K21" i="34" s="1"/>
  <c r="K40" i="34"/>
  <c r="K22" i="34"/>
  <c r="H815" i="13"/>
  <c r="S815" i="13" s="1"/>
  <c r="H661" i="13"/>
  <c r="H968" i="13"/>
  <c r="I1459" i="13"/>
  <c r="I1461" i="13"/>
  <c r="I1460" i="13"/>
  <c r="H69" i="18"/>
  <c r="H158" i="18" s="1"/>
  <c r="G69" i="18"/>
  <c r="G158" i="18" s="1"/>
  <c r="H48" i="18"/>
  <c r="H140" i="18" s="1"/>
  <c r="G42" i="18"/>
  <c r="G133" i="18" s="1"/>
  <c r="H1460" i="13"/>
  <c r="J1460" i="13"/>
  <c r="H950" i="13"/>
  <c r="H797" i="13"/>
  <c r="S797" i="13" s="1"/>
  <c r="H643" i="13"/>
  <c r="D44" i="38" l="1"/>
  <c r="C44" i="38" s="1"/>
  <c r="D37" i="38"/>
  <c r="C37" i="38" s="1"/>
  <c r="D41" i="38"/>
  <c r="C41" i="38" s="1"/>
  <c r="L42" i="38"/>
  <c r="F42" i="38"/>
  <c r="N42" i="38"/>
  <c r="O42" i="38"/>
  <c r="P42" i="38"/>
  <c r="I42" i="38"/>
  <c r="J42" i="38"/>
  <c r="K42" i="38"/>
  <c r="E42" i="38"/>
  <c r="M42" i="38"/>
  <c r="H42" i="38"/>
  <c r="G42" i="38"/>
  <c r="G14" i="38"/>
  <c r="G15" i="38" s="1"/>
  <c r="O14" i="38"/>
  <c r="H14" i="38"/>
  <c r="H15" i="38" s="1"/>
  <c r="P14" i="38"/>
  <c r="I14" i="38"/>
  <c r="E14" i="38"/>
  <c r="E15" i="38" s="1"/>
  <c r="J14" i="38"/>
  <c r="K14" i="38"/>
  <c r="K15" i="38" s="1"/>
  <c r="L14" i="38"/>
  <c r="M14" i="38"/>
  <c r="F14" i="38"/>
  <c r="N14" i="38"/>
  <c r="N15" i="38" s="1"/>
  <c r="H76" i="13"/>
  <c r="H1390" i="13"/>
  <c r="H1211" i="13"/>
  <c r="H1223" i="13"/>
  <c r="L1370" i="13"/>
  <c r="H1077" i="13"/>
  <c r="H1067" i="13"/>
  <c r="I1066" i="13"/>
  <c r="I1222" i="13"/>
  <c r="I312" i="13"/>
  <c r="I763" i="13" s="1"/>
  <c r="T763" i="13" s="1"/>
  <c r="I1226" i="13"/>
  <c r="I1072" i="13"/>
  <c r="I1230" i="13"/>
  <c r="I1075" i="13"/>
  <c r="I1233" i="13"/>
  <c r="I1063" i="13"/>
  <c r="I1219" i="13"/>
  <c r="I1065" i="13"/>
  <c r="I1062" i="13"/>
  <c r="I1218" i="13"/>
  <c r="I1060" i="13"/>
  <c r="I1216" i="13"/>
  <c r="I1059" i="13"/>
  <c r="I1215" i="13"/>
  <c r="I1058" i="13"/>
  <c r="I1214" i="13"/>
  <c r="I1064" i="13"/>
  <c r="I1220" i="13"/>
  <c r="I1061" i="13"/>
  <c r="I1217" i="13"/>
  <c r="H924" i="13"/>
  <c r="H770" i="13"/>
  <c r="S770" i="13" s="1"/>
  <c r="H922" i="13"/>
  <c r="H768" i="13"/>
  <c r="S768" i="13" s="1"/>
  <c r="H921" i="13"/>
  <c r="H767" i="13"/>
  <c r="S767" i="13" s="1"/>
  <c r="H923" i="13"/>
  <c r="H769" i="13"/>
  <c r="S769" i="13" s="1"/>
  <c r="H775" i="13"/>
  <c r="S775" i="13" s="1"/>
  <c r="S774" i="13"/>
  <c r="M1370" i="13"/>
  <c r="X871" i="13"/>
  <c r="X872" i="13" s="1"/>
  <c r="X870" i="13"/>
  <c r="M873" i="13"/>
  <c r="W871" i="13"/>
  <c r="W872" i="13" s="1"/>
  <c r="L873" i="13"/>
  <c r="G14" i="45"/>
  <c r="G22" i="45" s="1"/>
  <c r="I76" i="13"/>
  <c r="H925" i="13"/>
  <c r="H765" i="13"/>
  <c r="S765" i="13" s="1"/>
  <c r="H919" i="13"/>
  <c r="H628" i="13"/>
  <c r="H849" i="13"/>
  <c r="S849" i="13" s="1"/>
  <c r="H855" i="13"/>
  <c r="S855" i="13" s="1"/>
  <c r="H818" i="13"/>
  <c r="S818" i="13" s="1"/>
  <c r="H634" i="13"/>
  <c r="H683" i="13"/>
  <c r="H913" i="13"/>
  <c r="H759" i="13"/>
  <c r="S759" i="13" s="1"/>
  <c r="W870" i="13"/>
  <c r="H622" i="13"/>
  <c r="H1014" i="13"/>
  <c r="H806" i="13"/>
  <c r="S806" i="13" s="1"/>
  <c r="H918" i="13"/>
  <c r="H764" i="13"/>
  <c r="S764" i="13" s="1"/>
  <c r="S763" i="13"/>
  <c r="H996" i="13"/>
  <c r="H800" i="13"/>
  <c r="S800" i="13" s="1"/>
  <c r="H640" i="13"/>
  <c r="S751" i="13"/>
  <c r="H766" i="13"/>
  <c r="S766" i="13" s="1"/>
  <c r="M1397" i="13"/>
  <c r="K1397" i="13"/>
  <c r="L1397" i="13"/>
  <c r="H1397" i="13"/>
  <c r="J1397" i="13"/>
  <c r="I1397" i="13"/>
  <c r="F21" i="18"/>
  <c r="F22" i="18" s="1"/>
  <c r="H99" i="13"/>
  <c r="F17" i="18"/>
  <c r="H102" i="13"/>
  <c r="K38" i="34"/>
  <c r="H39" i="34"/>
  <c r="I39" i="34" s="1"/>
  <c r="J39" i="34" s="1"/>
  <c r="I1079" i="13"/>
  <c r="I1076" i="13"/>
  <c r="I1205" i="13"/>
  <c r="I1049" i="13"/>
  <c r="I1070" i="13"/>
  <c r="I1071" i="13"/>
  <c r="I1202" i="13"/>
  <c r="I1046" i="13"/>
  <c r="I1203" i="13"/>
  <c r="I1047" i="13"/>
  <c r="I1207" i="13"/>
  <c r="I1051" i="13"/>
  <c r="I1209" i="13"/>
  <c r="I1053" i="13"/>
  <c r="I1074" i="13"/>
  <c r="I1204" i="13"/>
  <c r="I1048" i="13"/>
  <c r="I1208" i="13"/>
  <c r="I1052" i="13"/>
  <c r="I1073" i="13"/>
  <c r="H602" i="13"/>
  <c r="I313" i="13"/>
  <c r="M1465" i="13"/>
  <c r="M1593" i="13"/>
  <c r="I1206" i="13"/>
  <c r="H594" i="13"/>
  <c r="H747" i="13"/>
  <c r="S747" i="13" s="1"/>
  <c r="I164" i="13"/>
  <c r="H917" i="13"/>
  <c r="H599" i="13"/>
  <c r="H611" i="13"/>
  <c r="F15" i="18"/>
  <c r="H166" i="13"/>
  <c r="I461" i="13"/>
  <c r="I305" i="13"/>
  <c r="I756" i="13" s="1"/>
  <c r="T756" i="13" s="1"/>
  <c r="I444" i="13"/>
  <c r="I288" i="13"/>
  <c r="I452" i="13"/>
  <c r="I296" i="13"/>
  <c r="I463" i="13"/>
  <c r="I307" i="13"/>
  <c r="I758" i="13" s="1"/>
  <c r="T758" i="13" s="1"/>
  <c r="I304" i="13"/>
  <c r="I755" i="13" s="1"/>
  <c r="T755" i="13" s="1"/>
  <c r="I460" i="13"/>
  <c r="I458" i="13"/>
  <c r="I302" i="13"/>
  <c r="I753" i="13" s="1"/>
  <c r="T753" i="13" s="1"/>
  <c r="F16" i="18"/>
  <c r="H613" i="13"/>
  <c r="I320" i="13"/>
  <c r="I771" i="13" s="1"/>
  <c r="T771" i="13" s="1"/>
  <c r="I457" i="13"/>
  <c r="I301" i="13"/>
  <c r="I300" i="13"/>
  <c r="I456" i="13"/>
  <c r="I447" i="13"/>
  <c r="I291" i="13"/>
  <c r="I314" i="13"/>
  <c r="I315" i="13"/>
  <c r="I920" i="13" s="1"/>
  <c r="I462" i="13"/>
  <c r="I306" i="13"/>
  <c r="I757" i="13" s="1"/>
  <c r="T757" i="13" s="1"/>
  <c r="J161" i="13"/>
  <c r="J157" i="13"/>
  <c r="J150" i="13"/>
  <c r="J1221" i="13" s="1"/>
  <c r="J146" i="13"/>
  <c r="J138" i="13"/>
  <c r="J1053" i="13" s="1"/>
  <c r="J134" i="13"/>
  <c r="J162" i="13"/>
  <c r="J158" i="13"/>
  <c r="J1229" i="13" s="1"/>
  <c r="J151" i="13"/>
  <c r="J147" i="13"/>
  <c r="J143" i="13"/>
  <c r="J135" i="13"/>
  <c r="J1050" i="13" s="1"/>
  <c r="J131" i="13"/>
  <c r="J1046" i="13" s="1"/>
  <c r="J163" i="13"/>
  <c r="J1234" i="13" s="1"/>
  <c r="J159" i="13"/>
  <c r="J1230" i="13" s="1"/>
  <c r="J155" i="13"/>
  <c r="J148" i="13"/>
  <c r="J144" i="13"/>
  <c r="J136" i="13"/>
  <c r="J132" i="13"/>
  <c r="J149" i="13"/>
  <c r="J133" i="13"/>
  <c r="J1048" i="13" s="1"/>
  <c r="J139" i="13"/>
  <c r="J1210" i="13" s="1"/>
  <c r="J145" i="13"/>
  <c r="J156" i="13"/>
  <c r="J1227" i="13" s="1"/>
  <c r="J160" i="13"/>
  <c r="J1231" i="13" s="1"/>
  <c r="J137" i="13"/>
  <c r="J1052" i="13" s="1"/>
  <c r="I140" i="13"/>
  <c r="G15" i="18" s="1"/>
  <c r="H615" i="13"/>
  <c r="H616" i="13"/>
  <c r="H610" i="13"/>
  <c r="I445" i="13"/>
  <c r="I289" i="13"/>
  <c r="I293" i="13"/>
  <c r="I449" i="13"/>
  <c r="I308" i="13"/>
  <c r="I451" i="13"/>
  <c r="I295" i="13"/>
  <c r="I318" i="13"/>
  <c r="I446" i="13"/>
  <c r="I290" i="13"/>
  <c r="I152" i="13"/>
  <c r="H617" i="13"/>
  <c r="H614" i="13"/>
  <c r="I316" i="13"/>
  <c r="I319" i="13"/>
  <c r="I459" i="13"/>
  <c r="I303" i="13"/>
  <c r="I754" i="13" s="1"/>
  <c r="T754" i="13" s="1"/>
  <c r="I448" i="13"/>
  <c r="I292" i="13"/>
  <c r="I450" i="13"/>
  <c r="I294" i="13"/>
  <c r="I317" i="13"/>
  <c r="J262" i="13"/>
  <c r="J257" i="13"/>
  <c r="J252" i="13"/>
  <c r="J247" i="13"/>
  <c r="J243" i="13"/>
  <c r="J238" i="13"/>
  <c r="J233" i="13"/>
  <c r="J228" i="13"/>
  <c r="J261" i="13"/>
  <c r="J256" i="13"/>
  <c r="J241" i="13"/>
  <c r="J232" i="13"/>
  <c r="J263" i="13"/>
  <c r="J258" i="13"/>
  <c r="J253" i="13"/>
  <c r="J249" i="13"/>
  <c r="J244" i="13"/>
  <c r="J239" i="13"/>
  <c r="J234" i="13"/>
  <c r="J229" i="13"/>
  <c r="J225" i="13"/>
  <c r="J226" i="13"/>
  <c r="J265" i="13"/>
  <c r="J237" i="13"/>
  <c r="J264" i="13"/>
  <c r="J259" i="13"/>
  <c r="J255" i="13"/>
  <c r="J250" i="13"/>
  <c r="J245" i="13"/>
  <c r="J240" i="13"/>
  <c r="J235" i="13"/>
  <c r="J231" i="13"/>
  <c r="J251" i="13"/>
  <c r="J246" i="13"/>
  <c r="J227" i="13"/>
  <c r="H321" i="13"/>
  <c r="H926" i="13" s="1"/>
  <c r="I267" i="13"/>
  <c r="H674" i="13"/>
  <c r="H828" i="13"/>
  <c r="S828" i="13" s="1"/>
  <c r="H309" i="13"/>
  <c r="H297" i="13"/>
  <c r="H453" i="13"/>
  <c r="H465" i="13" s="1"/>
  <c r="D60" i="13"/>
  <c r="F14" i="45"/>
  <c r="F22" i="45" s="1"/>
  <c r="B30" i="38"/>
  <c r="I376" i="13"/>
  <c r="I981" i="13" s="1"/>
  <c r="I1084" i="13"/>
  <c r="C1368" i="13"/>
  <c r="C69" i="18"/>
  <c r="H278" i="13"/>
  <c r="S730" i="13" s="1"/>
  <c r="J75" i="13"/>
  <c r="J1390" i="13" s="1"/>
  <c r="C163" i="18"/>
  <c r="C158" i="18"/>
  <c r="C38" i="18"/>
  <c r="C162" i="18"/>
  <c r="C161" i="18"/>
  <c r="C159" i="18"/>
  <c r="C155" i="18"/>
  <c r="G566" i="13"/>
  <c r="C45" i="18"/>
  <c r="H887" i="13"/>
  <c r="C46" i="18"/>
  <c r="C56" i="18"/>
  <c r="C147" i="18"/>
  <c r="C144" i="18"/>
  <c r="C50" i="18"/>
  <c r="C49" i="18"/>
  <c r="C141" i="18"/>
  <c r="C145" i="18"/>
  <c r="C138" i="18"/>
  <c r="C148" i="18"/>
  <c r="C135" i="18"/>
  <c r="G139" i="18"/>
  <c r="C139" i="18" s="1"/>
  <c r="C47" i="18"/>
  <c r="C136" i="18"/>
  <c r="C54" i="18"/>
  <c r="C149" i="18"/>
  <c r="C140" i="18"/>
  <c r="C143" i="18"/>
  <c r="C146" i="18"/>
  <c r="C137" i="18"/>
  <c r="C44" i="18"/>
  <c r="C48" i="18"/>
  <c r="F24" i="18"/>
  <c r="H605" i="13"/>
  <c r="H912" i="13"/>
  <c r="H283" i="13"/>
  <c r="S735" i="13" s="1"/>
  <c r="M566" i="13"/>
  <c r="I1464" i="13"/>
  <c r="G51" i="18" s="1"/>
  <c r="G142" i="18" s="1"/>
  <c r="H580" i="13"/>
  <c r="H441" i="13"/>
  <c r="D46" i="38"/>
  <c r="C46" i="38" s="1"/>
  <c r="L566" i="13"/>
  <c r="L1464" i="13"/>
  <c r="K1464" i="13"/>
  <c r="I51" i="18" s="1"/>
  <c r="I1273" i="13"/>
  <c r="I1158" i="13"/>
  <c r="K566" i="13"/>
  <c r="G43" i="18"/>
  <c r="H999" i="13"/>
  <c r="I1140" i="13"/>
  <c r="I1335" i="13"/>
  <c r="I390" i="13"/>
  <c r="I688" i="13" s="1"/>
  <c r="I1262" i="13"/>
  <c r="I1131" i="13"/>
  <c r="I414" i="13"/>
  <c r="I1019" i="13" s="1"/>
  <c r="I1164" i="13"/>
  <c r="I382" i="13"/>
  <c r="I987" i="13" s="1"/>
  <c r="I354" i="13"/>
  <c r="I546" i="13"/>
  <c r="I1244" i="13"/>
  <c r="H650" i="13"/>
  <c r="I1321" i="13"/>
  <c r="I358" i="13"/>
  <c r="I963" i="13" s="1"/>
  <c r="H957" i="13"/>
  <c r="I1284" i="13"/>
  <c r="I548" i="13"/>
  <c r="I404" i="13"/>
  <c r="I702" i="13" s="1"/>
  <c r="I397" i="13"/>
  <c r="I527" i="13"/>
  <c r="I339" i="13"/>
  <c r="I637" i="13" s="1"/>
  <c r="I490" i="13"/>
  <c r="I1155" i="13"/>
  <c r="I1334" i="13"/>
  <c r="I1302" i="13"/>
  <c r="I1327" i="13"/>
  <c r="I394" i="13"/>
  <c r="I692" i="13" s="1"/>
  <c r="I323" i="13"/>
  <c r="I324" i="13"/>
  <c r="I1085" i="13"/>
  <c r="I523" i="13"/>
  <c r="I559" i="13"/>
  <c r="I1100" i="13"/>
  <c r="I539" i="13"/>
  <c r="I1323" i="13"/>
  <c r="I1162" i="13"/>
  <c r="I1165" i="13"/>
  <c r="I530" i="13"/>
  <c r="I535" i="13"/>
  <c r="I470" i="13"/>
  <c r="I1119" i="13"/>
  <c r="H664" i="13"/>
  <c r="H653" i="13"/>
  <c r="H971" i="13"/>
  <c r="I1294" i="13"/>
  <c r="I1168" i="13"/>
  <c r="I468" i="13"/>
  <c r="I1317" i="13"/>
  <c r="I327" i="13"/>
  <c r="I1196" i="13"/>
  <c r="I407" i="13"/>
  <c r="I705" i="13" s="1"/>
  <c r="I379" i="13"/>
  <c r="I1243" i="13"/>
  <c r="I336" i="13"/>
  <c r="I438" i="13"/>
  <c r="I396" i="13"/>
  <c r="I1001" i="13" s="1"/>
  <c r="I484" i="13"/>
  <c r="I1274" i="13"/>
  <c r="I1324" i="13"/>
  <c r="I1157" i="13"/>
  <c r="J1389" i="13"/>
  <c r="H593" i="13"/>
  <c r="H746" i="13"/>
  <c r="S746" i="13" s="1"/>
  <c r="H900" i="13"/>
  <c r="H592" i="13"/>
  <c r="H899" i="13"/>
  <c r="H745" i="13"/>
  <c r="S745" i="13" s="1"/>
  <c r="I1040" i="13"/>
  <c r="I1310" i="13"/>
  <c r="I541" i="13"/>
  <c r="I503" i="13"/>
  <c r="I524" i="13"/>
  <c r="I1107" i="13"/>
  <c r="H732" i="13"/>
  <c r="S732" i="13" s="1"/>
  <c r="H578" i="13"/>
  <c r="H885" i="13"/>
  <c r="H1043" i="13"/>
  <c r="H726" i="13"/>
  <c r="S726" i="13" s="1"/>
  <c r="H572" i="13"/>
  <c r="H879" i="13"/>
  <c r="H741" i="13"/>
  <c r="S741" i="13" s="1"/>
  <c r="H588" i="13"/>
  <c r="H895" i="13"/>
  <c r="H744" i="13"/>
  <c r="S744" i="13" s="1"/>
  <c r="H591" i="13"/>
  <c r="H898" i="13"/>
  <c r="I1035" i="13"/>
  <c r="I1191" i="13"/>
  <c r="I432" i="13"/>
  <c r="I277" i="13"/>
  <c r="I1188" i="13"/>
  <c r="I1032" i="13"/>
  <c r="I274" i="13"/>
  <c r="I429" i="13"/>
  <c r="J125" i="13"/>
  <c r="J116" i="13"/>
  <c r="J114" i="13"/>
  <c r="J220" i="13"/>
  <c r="J215" i="13"/>
  <c r="J207" i="13"/>
  <c r="J124" i="13"/>
  <c r="J126" i="13"/>
  <c r="J1197" i="13" s="1"/>
  <c r="J115" i="13"/>
  <c r="J117" i="13"/>
  <c r="J118" i="13"/>
  <c r="J222" i="13"/>
  <c r="J213" i="13"/>
  <c r="J209" i="13"/>
  <c r="J201" i="13"/>
  <c r="J197" i="13"/>
  <c r="J189" i="13"/>
  <c r="J185" i="13"/>
  <c r="J177" i="13"/>
  <c r="J172" i="13"/>
  <c r="J223" i="13"/>
  <c r="J212" i="13"/>
  <c r="J200" i="13"/>
  <c r="J190" i="13"/>
  <c r="J183" i="13"/>
  <c r="J186" i="13"/>
  <c r="J182" i="13"/>
  <c r="J179" i="13"/>
  <c r="J123" i="13"/>
  <c r="J221" i="13"/>
  <c r="J216" i="13"/>
  <c r="J202" i="13"/>
  <c r="J195" i="13"/>
  <c r="J198" i="13"/>
  <c r="J194" i="13"/>
  <c r="J191" i="13"/>
  <c r="J184" i="13"/>
  <c r="J180" i="13"/>
  <c r="J219" i="13"/>
  <c r="J218" i="13"/>
  <c r="J208" i="13"/>
  <c r="J178" i="13"/>
  <c r="J173" i="13"/>
  <c r="J210" i="13"/>
  <c r="J196" i="13"/>
  <c r="J174" i="13"/>
  <c r="J204" i="13"/>
  <c r="J188" i="13"/>
  <c r="J214" i="13"/>
  <c r="J206" i="13"/>
  <c r="J203" i="13"/>
  <c r="J192" i="13"/>
  <c r="J176" i="13"/>
  <c r="H571" i="13"/>
  <c r="H725" i="13"/>
  <c r="S725" i="13" s="1"/>
  <c r="H878" i="13"/>
  <c r="H893" i="13"/>
  <c r="H586" i="13"/>
  <c r="H739" i="13"/>
  <c r="H587" i="13"/>
  <c r="H740" i="13"/>
  <c r="S740" i="13" s="1"/>
  <c r="H894" i="13"/>
  <c r="H590" i="13"/>
  <c r="H743" i="13"/>
  <c r="S743" i="13" s="1"/>
  <c r="H897" i="13"/>
  <c r="H742" i="13"/>
  <c r="S742" i="13" s="1"/>
  <c r="H896" i="13"/>
  <c r="H589" i="13"/>
  <c r="I1190" i="13"/>
  <c r="I1034" i="13"/>
  <c r="I276" i="13"/>
  <c r="I431" i="13"/>
  <c r="I120" i="13"/>
  <c r="I99" i="13" s="1"/>
  <c r="I1187" i="13"/>
  <c r="I1031" i="13"/>
  <c r="I273" i="13"/>
  <c r="I428" i="13"/>
  <c r="I1189" i="13"/>
  <c r="I1033" i="13"/>
  <c r="I275" i="13"/>
  <c r="I430" i="13"/>
  <c r="I1038" i="13"/>
  <c r="I1194" i="13"/>
  <c r="I436" i="13"/>
  <c r="I280" i="13"/>
  <c r="H574" i="13"/>
  <c r="H728" i="13"/>
  <c r="S728" i="13" s="1"/>
  <c r="H881" i="13"/>
  <c r="I1280" i="13"/>
  <c r="I128" i="13"/>
  <c r="I100" i="13" s="1"/>
  <c r="H729" i="13"/>
  <c r="S729" i="13" s="1"/>
  <c r="H575" i="13"/>
  <c r="H882" i="13"/>
  <c r="H1199" i="13"/>
  <c r="H579" i="13"/>
  <c r="H886" i="13"/>
  <c r="H733" i="13"/>
  <c r="S733" i="13" s="1"/>
  <c r="H880" i="13"/>
  <c r="H727" i="13"/>
  <c r="S727" i="13" s="1"/>
  <c r="H573" i="13"/>
  <c r="I1195" i="13"/>
  <c r="I1039" i="13"/>
  <c r="I437" i="13"/>
  <c r="I281" i="13"/>
  <c r="H853" i="13"/>
  <c r="S853" i="13" s="1"/>
  <c r="H659" i="13"/>
  <c r="I506" i="13"/>
  <c r="I337" i="13"/>
  <c r="I635" i="13" s="1"/>
  <c r="H672" i="13"/>
  <c r="I1091" i="13"/>
  <c r="H1006" i="13"/>
  <c r="H1008" i="13"/>
  <c r="I1281" i="13"/>
  <c r="I1118" i="13"/>
  <c r="I502" i="13"/>
  <c r="I1109" i="13"/>
  <c r="I1114" i="13"/>
  <c r="I1287" i="13"/>
  <c r="J1388" i="13"/>
  <c r="I1141" i="13"/>
  <c r="I1145" i="13"/>
  <c r="I1257" i="13"/>
  <c r="I498" i="13"/>
  <c r="I1292" i="13"/>
  <c r="H629" i="13"/>
  <c r="I357" i="13"/>
  <c r="I809" i="13" s="1"/>
  <c r="T809" i="13" s="1"/>
  <c r="H780" i="13"/>
  <c r="S780" i="13" s="1"/>
  <c r="H807" i="13"/>
  <c r="S807" i="13" s="1"/>
  <c r="I1269" i="13"/>
  <c r="H42" i="18"/>
  <c r="H133" i="18" s="1"/>
  <c r="C133" i="18" s="1"/>
  <c r="I384" i="13"/>
  <c r="I989" i="13" s="1"/>
  <c r="I1103" i="13"/>
  <c r="I348" i="13"/>
  <c r="I1128" i="13"/>
  <c r="H626" i="13"/>
  <c r="H680" i="13"/>
  <c r="I349" i="13"/>
  <c r="I954" i="13" s="1"/>
  <c r="I803" i="13"/>
  <c r="T803" i="13" s="1"/>
  <c r="I333" i="13"/>
  <c r="I938" i="13" s="1"/>
  <c r="I383" i="13"/>
  <c r="I681" i="13" s="1"/>
  <c r="I529" i="13"/>
  <c r="I482" i="13"/>
  <c r="I518" i="13"/>
  <c r="I1137" i="13"/>
  <c r="I1152" i="13"/>
  <c r="I626" i="13"/>
  <c r="I1268" i="13"/>
  <c r="I492" i="13"/>
  <c r="I367" i="13"/>
  <c r="I972" i="13" s="1"/>
  <c r="H970" i="13"/>
  <c r="H817" i="13"/>
  <c r="S817" i="13" s="1"/>
  <c r="I956" i="13"/>
  <c r="I472" i="13"/>
  <c r="I1110" i="13"/>
  <c r="I475" i="13"/>
  <c r="I1126" i="13"/>
  <c r="I1116" i="13"/>
  <c r="H966" i="13"/>
  <c r="I496" i="13"/>
  <c r="I1112" i="13"/>
  <c r="I1271" i="13"/>
  <c r="H598" i="13"/>
  <c r="I557" i="13"/>
  <c r="H670" i="13"/>
  <c r="I1332" i="13"/>
  <c r="H695" i="13"/>
  <c r="H963" i="13"/>
  <c r="H810" i="13"/>
  <c r="S810" i="13" s="1"/>
  <c r="I1315" i="13"/>
  <c r="I540" i="13"/>
  <c r="I514" i="13"/>
  <c r="I369" i="13"/>
  <c r="I974" i="13" s="1"/>
  <c r="I1306" i="13"/>
  <c r="I531" i="13"/>
  <c r="I543" i="13"/>
  <c r="I398" i="13"/>
  <c r="I696" i="13" s="1"/>
  <c r="I388" i="13"/>
  <c r="I686" i="13" s="1"/>
  <c r="I1149" i="13"/>
  <c r="I1138" i="13"/>
  <c r="I377" i="13"/>
  <c r="I982" i="13" s="1"/>
  <c r="I491" i="13"/>
  <c r="I346" i="13"/>
  <c r="I951" i="13" s="1"/>
  <c r="I525" i="13"/>
  <c r="I1139" i="13"/>
  <c r="I522" i="13"/>
  <c r="I1263" i="13"/>
  <c r="I1308" i="13"/>
  <c r="I1326" i="13"/>
  <c r="H831" i="13"/>
  <c r="S831" i="13" s="1"/>
  <c r="H984" i="13"/>
  <c r="I1113" i="13"/>
  <c r="I352" i="13"/>
  <c r="I957" i="13" s="1"/>
  <c r="I325" i="13"/>
  <c r="I623" i="13" s="1"/>
  <c r="I1245" i="13"/>
  <c r="I1249" i="13"/>
  <c r="I329" i="13"/>
  <c r="I627" i="13" s="1"/>
  <c r="I1312" i="13"/>
  <c r="I537" i="13"/>
  <c r="I1336" i="13"/>
  <c r="I1177" i="13"/>
  <c r="I561" i="13"/>
  <c r="I416" i="13"/>
  <c r="I1021" i="13" s="1"/>
  <c r="I1135" i="13"/>
  <c r="I380" i="13"/>
  <c r="I678" i="13" s="1"/>
  <c r="I370" i="13"/>
  <c r="I975" i="13" s="1"/>
  <c r="J1464" i="13"/>
  <c r="H51" i="18" s="1"/>
  <c r="H142" i="18" s="1"/>
  <c r="I497" i="13"/>
  <c r="I488" i="13"/>
  <c r="I1267" i="13"/>
  <c r="I1167" i="13"/>
  <c r="H783" i="13"/>
  <c r="S783" i="13" s="1"/>
  <c r="H641" i="13"/>
  <c r="H788" i="13"/>
  <c r="S788" i="13" s="1"/>
  <c r="I481" i="13"/>
  <c r="H710" i="13"/>
  <c r="I1291" i="13"/>
  <c r="I1255" i="13"/>
  <c r="I480" i="13"/>
  <c r="I1265" i="13"/>
  <c r="I1106" i="13"/>
  <c r="I517" i="13"/>
  <c r="I372" i="13"/>
  <c r="I824" i="13" s="1"/>
  <c r="T824" i="13" s="1"/>
  <c r="I511" i="13"/>
  <c r="I366" i="13"/>
  <c r="I341" i="13"/>
  <c r="I1102" i="13"/>
  <c r="H911" i="13"/>
  <c r="I374" i="13"/>
  <c r="I979" i="13" s="1"/>
  <c r="I378" i="13"/>
  <c r="I830" i="13" s="1"/>
  <c r="T830" i="13" s="1"/>
  <c r="I1289" i="13"/>
  <c r="I515" i="13"/>
  <c r="H1464" i="13"/>
  <c r="F51" i="18" s="1"/>
  <c r="F59" i="18" s="1"/>
  <c r="F34" i="18" s="1"/>
  <c r="I1250" i="13"/>
  <c r="I1127" i="13"/>
  <c r="H846" i="13"/>
  <c r="S846" i="13" s="1"/>
  <c r="I487" i="13"/>
  <c r="I1159" i="13"/>
  <c r="I392" i="13"/>
  <c r="I690" i="13" s="1"/>
  <c r="I1104" i="13"/>
  <c r="I474" i="13"/>
  <c r="I347" i="13"/>
  <c r="I799" i="13" s="1"/>
  <c r="T799" i="13" s="1"/>
  <c r="I406" i="13"/>
  <c r="I704" i="13" s="1"/>
  <c r="I395" i="13"/>
  <c r="I693" i="13" s="1"/>
  <c r="I1261" i="13"/>
  <c r="I1247" i="13"/>
  <c r="I1096" i="13"/>
  <c r="I1256" i="13"/>
  <c r="I1132" i="13"/>
  <c r="I1122" i="13"/>
  <c r="I473" i="13"/>
  <c r="I1146" i="13"/>
  <c r="I1176" i="13"/>
  <c r="I364" i="13"/>
  <c r="H977" i="13"/>
  <c r="I412" i="13"/>
  <c r="I864" i="13" s="1"/>
  <c r="T864" i="13" s="1"/>
  <c r="H667" i="13"/>
  <c r="H821" i="13"/>
  <c r="S821" i="13" s="1"/>
  <c r="H793" i="13"/>
  <c r="S793" i="13" s="1"/>
  <c r="H639" i="13"/>
  <c r="I504" i="13"/>
  <c r="I1279" i="13"/>
  <c r="I334" i="13"/>
  <c r="I939" i="13" s="1"/>
  <c r="I1095" i="13"/>
  <c r="I1254" i="13"/>
  <c r="I1150" i="13"/>
  <c r="I389" i="13"/>
  <c r="I841" i="13" s="1"/>
  <c r="T841" i="13" s="1"/>
  <c r="I1309" i="13"/>
  <c r="I373" i="13"/>
  <c r="I1134" i="13"/>
  <c r="I363" i="13"/>
  <c r="I1124" i="13"/>
  <c r="I508" i="13"/>
  <c r="H951" i="13"/>
  <c r="H798" i="13"/>
  <c r="S798" i="13" s="1"/>
  <c r="H644" i="13"/>
  <c r="I1253" i="13"/>
  <c r="I1094" i="13"/>
  <c r="I554" i="13"/>
  <c r="I1329" i="13"/>
  <c r="I1170" i="13"/>
  <c r="I1303" i="13"/>
  <c r="I528" i="13"/>
  <c r="I1328" i="13"/>
  <c r="I553" i="13"/>
  <c r="I1169" i="13"/>
  <c r="I1311" i="13"/>
  <c r="I536" i="13"/>
  <c r="I1322" i="13"/>
  <c r="I547" i="13"/>
  <c r="I555" i="13"/>
  <c r="I1171" i="13"/>
  <c r="I1092" i="13"/>
  <c r="I1251" i="13"/>
  <c r="I476" i="13"/>
  <c r="I402" i="13"/>
  <c r="I700" i="13" s="1"/>
  <c r="I410" i="13"/>
  <c r="I1015" i="13" s="1"/>
  <c r="I479" i="13"/>
  <c r="I1248" i="13"/>
  <c r="I1089" i="13"/>
  <c r="H701" i="13"/>
  <c r="H604" i="13"/>
  <c r="I1147" i="13"/>
  <c r="I371" i="13"/>
  <c r="I976" i="13" s="1"/>
  <c r="I365" i="13"/>
  <c r="I663" i="13" s="1"/>
  <c r="I1121" i="13"/>
  <c r="I1333" i="13"/>
  <c r="I1174" i="13"/>
  <c r="I413" i="13"/>
  <c r="I558" i="13"/>
  <c r="I1115" i="13"/>
  <c r="I510" i="13"/>
  <c r="I1305" i="13"/>
  <c r="I355" i="13"/>
  <c r="I653" i="13" s="1"/>
  <c r="I521" i="13"/>
  <c r="I415" i="13"/>
  <c r="I1125" i="13"/>
  <c r="I505" i="13"/>
  <c r="I359" i="13"/>
  <c r="I1120" i="13"/>
  <c r="I485" i="13"/>
  <c r="I1101" i="13"/>
  <c r="I340" i="13"/>
  <c r="I1260" i="13"/>
  <c r="I400" i="13"/>
  <c r="I545" i="13"/>
  <c r="I1275" i="13"/>
  <c r="I1296" i="13"/>
  <c r="H656" i="13"/>
  <c r="H905" i="13"/>
  <c r="H823" i="13"/>
  <c r="S823" i="13" s="1"/>
  <c r="I1320" i="13"/>
  <c r="H834" i="13"/>
  <c r="S834" i="13" s="1"/>
  <c r="I933" i="13"/>
  <c r="H860" i="13"/>
  <c r="S860" i="13" s="1"/>
  <c r="H826" i="13"/>
  <c r="S826" i="13" s="1"/>
  <c r="H974" i="13"/>
  <c r="H868" i="13"/>
  <c r="S868" i="13" s="1"/>
  <c r="H829" i="13"/>
  <c r="S829" i="13" s="1"/>
  <c r="H994" i="13"/>
  <c r="H959" i="13"/>
  <c r="H777" i="13"/>
  <c r="S777" i="13" s="1"/>
  <c r="H675" i="13"/>
  <c r="H906" i="13"/>
  <c r="H688" i="13"/>
  <c r="H947" i="13"/>
  <c r="H837" i="13"/>
  <c r="S837" i="13" s="1"/>
  <c r="H651" i="13"/>
  <c r="H689" i="13"/>
  <c r="H856" i="13"/>
  <c r="S856" i="13" s="1"/>
  <c r="H842" i="13"/>
  <c r="S842" i="13" s="1"/>
  <c r="H946" i="13"/>
  <c r="H901" i="13"/>
  <c r="I706" i="13"/>
  <c r="H985" i="13"/>
  <c r="H678" i="13"/>
  <c r="H707" i="13"/>
  <c r="H1002" i="13"/>
  <c r="H952" i="13"/>
  <c r="H799" i="13"/>
  <c r="S799" i="13" s="1"/>
  <c r="H850" i="13"/>
  <c r="S850" i="13" s="1"/>
  <c r="I991" i="13"/>
  <c r="H972" i="13"/>
  <c r="H652" i="13"/>
  <c r="H1009" i="13"/>
  <c r="H677" i="13"/>
  <c r="H1015" i="13"/>
  <c r="H990" i="13"/>
  <c r="H1003" i="13"/>
  <c r="H623" i="13"/>
  <c r="H861" i="13"/>
  <c r="S861" i="13" s="1"/>
  <c r="H939" i="13"/>
  <c r="H776" i="13"/>
  <c r="S776" i="13" s="1"/>
  <c r="H929" i="13"/>
  <c r="H786" i="13"/>
  <c r="S786" i="13" s="1"/>
  <c r="H690" i="13"/>
  <c r="H844" i="13"/>
  <c r="S844" i="13" s="1"/>
  <c r="I1013" i="13"/>
  <c r="H794" i="13"/>
  <c r="S794" i="13" s="1"/>
  <c r="I838" i="13"/>
  <c r="T838" i="13" s="1"/>
  <c r="H909" i="13"/>
  <c r="H801" i="13"/>
  <c r="S801" i="13" s="1"/>
  <c r="H712" i="13"/>
  <c r="H657" i="13"/>
  <c r="H647" i="13"/>
  <c r="H941" i="13"/>
  <c r="H953" i="13"/>
  <c r="H646" i="13"/>
  <c r="H864" i="13"/>
  <c r="S864" i="13" s="1"/>
  <c r="H1013" i="13"/>
  <c r="H708" i="13"/>
  <c r="H1019" i="13"/>
  <c r="H601" i="13"/>
  <c r="H958" i="13"/>
  <c r="H811" i="13"/>
  <c r="S811" i="13" s="1"/>
  <c r="H910" i="13"/>
  <c r="H908" i="13"/>
  <c r="H665" i="13"/>
  <c r="H1021" i="13"/>
  <c r="H795" i="13"/>
  <c r="S795" i="13" s="1"/>
  <c r="H418" i="13"/>
  <c r="H711" i="13"/>
  <c r="H843" i="13"/>
  <c r="S843" i="13" s="1"/>
  <c r="H621" i="13"/>
  <c r="H907" i="13"/>
  <c r="H600" i="13"/>
  <c r="I813" i="13"/>
  <c r="T813" i="13" s="1"/>
  <c r="I659" i="13"/>
  <c r="I966" i="13"/>
  <c r="H779" i="13"/>
  <c r="S779" i="13" s="1"/>
  <c r="H625" i="13"/>
  <c r="H932" i="13"/>
  <c r="H627" i="13"/>
  <c r="H865" i="13"/>
  <c r="S865" i="13" s="1"/>
  <c r="H700" i="13"/>
  <c r="H669" i="13"/>
  <c r="H782" i="13"/>
  <c r="S782" i="13" s="1"/>
  <c r="H928" i="13"/>
  <c r="H934" i="13"/>
  <c r="H1007" i="13"/>
  <c r="H841" i="13"/>
  <c r="S841" i="13" s="1"/>
  <c r="H1179" i="13"/>
  <c r="H563" i="13"/>
  <c r="H935" i="13"/>
  <c r="H686" i="13"/>
  <c r="H993" i="13"/>
  <c r="H840" i="13"/>
  <c r="S840" i="13" s="1"/>
  <c r="H1011" i="13"/>
  <c r="H858" i="13"/>
  <c r="S858" i="13" s="1"/>
  <c r="H704" i="13"/>
  <c r="H655" i="13"/>
  <c r="H962" i="13"/>
  <c r="H809" i="13"/>
  <c r="S809" i="13" s="1"/>
  <c r="H835" i="13"/>
  <c r="S835" i="13" s="1"/>
  <c r="H603" i="13"/>
  <c r="I940" i="13"/>
  <c r="I787" i="13"/>
  <c r="T787" i="13" s="1"/>
  <c r="I633" i="13"/>
  <c r="H836" i="13"/>
  <c r="S836" i="13" s="1"/>
  <c r="H989" i="13"/>
  <c r="H681" i="13"/>
  <c r="H1005" i="13"/>
  <c r="H698" i="13"/>
  <c r="H852" i="13"/>
  <c r="S852" i="13" s="1"/>
  <c r="H785" i="13"/>
  <c r="S785" i="13" s="1"/>
  <c r="H631" i="13"/>
  <c r="H938" i="13"/>
  <c r="H671" i="13"/>
  <c r="H825" i="13"/>
  <c r="S825" i="13" s="1"/>
  <c r="H978" i="13"/>
  <c r="I782" i="13"/>
  <c r="T782" i="13" s="1"/>
  <c r="I935" i="13"/>
  <c r="I628" i="13"/>
  <c r="I996" i="13"/>
  <c r="I843" i="13"/>
  <c r="T843" i="13" s="1"/>
  <c r="I689" i="13"/>
  <c r="I853" i="13"/>
  <c r="T853" i="13" s="1"/>
  <c r="I699" i="13"/>
  <c r="I1006" i="13"/>
  <c r="I643" i="13"/>
  <c r="I950" i="13"/>
  <c r="I797" i="13"/>
  <c r="T797" i="13" s="1"/>
  <c r="I701" i="13"/>
  <c r="I855" i="13"/>
  <c r="T855" i="13" s="1"/>
  <c r="I1008" i="13"/>
  <c r="I837" i="13"/>
  <c r="T837" i="13" s="1"/>
  <c r="I990" i="13"/>
  <c r="I683" i="13"/>
  <c r="I861" i="13"/>
  <c r="T861" i="13" s="1"/>
  <c r="I1014" i="13"/>
  <c r="I707" i="13"/>
  <c r="I641" i="13"/>
  <c r="I948" i="13"/>
  <c r="I795" i="13"/>
  <c r="T795" i="13" s="1"/>
  <c r="I805" i="13"/>
  <c r="T805" i="13" s="1"/>
  <c r="I958" i="13"/>
  <c r="I651" i="13"/>
  <c r="I629" i="13"/>
  <c r="I783" i="13"/>
  <c r="T783" i="13" s="1"/>
  <c r="I936" i="13"/>
  <c r="I658" i="13"/>
  <c r="I812" i="13"/>
  <c r="T812" i="13" s="1"/>
  <c r="I965" i="13"/>
  <c r="I580" i="13"/>
  <c r="I734" i="13"/>
  <c r="T734" i="13" s="1"/>
  <c r="I887" i="13"/>
  <c r="I947" i="13"/>
  <c r="I794" i="13"/>
  <c r="T794" i="13" s="1"/>
  <c r="I640" i="13"/>
  <c r="G30" i="38" l="1"/>
  <c r="G98" i="38" s="1"/>
  <c r="M15" i="38"/>
  <c r="M30" i="38"/>
  <c r="O15" i="38"/>
  <c r="O30" i="38" s="1"/>
  <c r="L15" i="38"/>
  <c r="L30" i="38"/>
  <c r="J15" i="38"/>
  <c r="J30" i="38" s="1"/>
  <c r="I15" i="38"/>
  <c r="I30" i="38"/>
  <c r="D42" i="38"/>
  <c r="C42" i="38" s="1"/>
  <c r="F15" i="38"/>
  <c r="F30" i="38" s="1"/>
  <c r="P15" i="38"/>
  <c r="P30" i="38"/>
  <c r="H760" i="13"/>
  <c r="S760" i="13" s="1"/>
  <c r="H1237" i="13"/>
  <c r="H1338" i="13" s="1"/>
  <c r="H1341" i="13" s="1"/>
  <c r="I1211" i="13"/>
  <c r="I1235" i="13"/>
  <c r="I1223" i="13"/>
  <c r="I610" i="13"/>
  <c r="I917" i="13"/>
  <c r="I1077" i="13"/>
  <c r="J1075" i="13"/>
  <c r="J1233" i="13"/>
  <c r="J1066" i="13"/>
  <c r="J1222" i="13"/>
  <c r="J1074" i="13"/>
  <c r="J1232" i="13"/>
  <c r="I1067" i="13"/>
  <c r="J1070" i="13"/>
  <c r="J1228" i="13"/>
  <c r="J312" i="13"/>
  <c r="C312" i="13" s="1"/>
  <c r="J1226" i="13"/>
  <c r="J1060" i="13"/>
  <c r="J1216" i="13"/>
  <c r="J1058" i="13"/>
  <c r="J1214" i="13"/>
  <c r="J1065" i="13"/>
  <c r="J1064" i="13"/>
  <c r="J1220" i="13"/>
  <c r="J1063" i="13"/>
  <c r="J1219" i="13"/>
  <c r="J1061" i="13"/>
  <c r="J1217" i="13"/>
  <c r="J1059" i="13"/>
  <c r="J1215" i="13"/>
  <c r="J1062" i="13"/>
  <c r="J1218" i="13"/>
  <c r="I922" i="13"/>
  <c r="I768" i="13"/>
  <c r="T768" i="13" s="1"/>
  <c r="I924" i="13"/>
  <c r="I770" i="13"/>
  <c r="T770" i="13" s="1"/>
  <c r="I921" i="13"/>
  <c r="I767" i="13"/>
  <c r="T767" i="13" s="1"/>
  <c r="I923" i="13"/>
  <c r="I769" i="13"/>
  <c r="T769" i="13" s="1"/>
  <c r="I928" i="13"/>
  <c r="T774" i="13"/>
  <c r="I932" i="13"/>
  <c r="T778" i="13"/>
  <c r="S739" i="13"/>
  <c r="H748" i="13"/>
  <c r="S748" i="13" s="1"/>
  <c r="X873" i="13"/>
  <c r="X875" i="13"/>
  <c r="W873" i="13"/>
  <c r="W875" i="13"/>
  <c r="H14" i="45"/>
  <c r="J76" i="13"/>
  <c r="I765" i="13"/>
  <c r="T765" i="13" s="1"/>
  <c r="I919" i="13"/>
  <c r="I925" i="13"/>
  <c r="I646" i="13"/>
  <c r="I984" i="13"/>
  <c r="I918" i="13"/>
  <c r="I764" i="13"/>
  <c r="I766" i="13"/>
  <c r="T766" i="13" s="1"/>
  <c r="I849" i="13"/>
  <c r="T849" i="13" s="1"/>
  <c r="I671" i="13"/>
  <c r="I664" i="13"/>
  <c r="I634" i="13"/>
  <c r="I1020" i="13"/>
  <c r="I622" i="13"/>
  <c r="I806" i="13"/>
  <c r="T806" i="13" s="1"/>
  <c r="I913" i="13"/>
  <c r="I759" i="13"/>
  <c r="T759" i="13" s="1"/>
  <c r="F31" i="18"/>
  <c r="F27" i="18"/>
  <c r="I142" i="18"/>
  <c r="I150" i="18" s="1"/>
  <c r="I59" i="18"/>
  <c r="I103" i="18" s="1"/>
  <c r="L1593" i="13"/>
  <c r="J51" i="18"/>
  <c r="C51" i="18" s="1"/>
  <c r="F142" i="18"/>
  <c r="G17" i="18"/>
  <c r="I102" i="13"/>
  <c r="K39" i="34"/>
  <c r="L39" i="34" s="1"/>
  <c r="M39" i="34" s="1"/>
  <c r="H268" i="13"/>
  <c r="H101" i="13"/>
  <c r="F29" i="18"/>
  <c r="M1343" i="13"/>
  <c r="M1344" i="13" s="1"/>
  <c r="F30" i="18"/>
  <c r="J1207" i="13"/>
  <c r="J1051" i="13"/>
  <c r="J1072" i="13"/>
  <c r="J1073" i="13"/>
  <c r="J1079" i="13"/>
  <c r="J1076" i="13"/>
  <c r="J1205" i="13"/>
  <c r="J1049" i="13"/>
  <c r="J1203" i="13"/>
  <c r="J1047" i="13"/>
  <c r="J1071" i="13"/>
  <c r="J1465" i="13"/>
  <c r="J1593" i="13"/>
  <c r="K1465" i="13"/>
  <c r="K1593" i="13"/>
  <c r="I1465" i="13"/>
  <c r="I1593" i="13"/>
  <c r="I611" i="13"/>
  <c r="J313" i="13"/>
  <c r="J1202" i="13"/>
  <c r="J1209" i="13"/>
  <c r="J1206" i="13"/>
  <c r="J1204" i="13"/>
  <c r="J1208" i="13"/>
  <c r="H1081" i="13"/>
  <c r="H1182" i="13" s="1"/>
  <c r="H902" i="13"/>
  <c r="H914" i="13" s="1"/>
  <c r="I594" i="13"/>
  <c r="I747" i="13"/>
  <c r="T747" i="13" s="1"/>
  <c r="L1343" i="13"/>
  <c r="L1344" i="13" s="1"/>
  <c r="I602" i="13"/>
  <c r="I601" i="13"/>
  <c r="I600" i="13"/>
  <c r="I906" i="13"/>
  <c r="I752" i="13"/>
  <c r="T752" i="13" s="1"/>
  <c r="H1023" i="13"/>
  <c r="I905" i="13"/>
  <c r="I751" i="13"/>
  <c r="I901" i="13"/>
  <c r="B43" i="38"/>
  <c r="H1593" i="13"/>
  <c r="I166" i="13"/>
  <c r="J164" i="13"/>
  <c r="J140" i="13"/>
  <c r="H15" i="18" s="1"/>
  <c r="J152" i="13"/>
  <c r="G16" i="18"/>
  <c r="J458" i="13"/>
  <c r="J302" i="13"/>
  <c r="J753" i="13" s="1"/>
  <c r="U753" i="13" s="1"/>
  <c r="J289" i="13"/>
  <c r="C289" i="13" s="1"/>
  <c r="J445" i="13"/>
  <c r="J448" i="13"/>
  <c r="J292" i="13"/>
  <c r="C292" i="13" s="1"/>
  <c r="J315" i="13"/>
  <c r="J920" i="13" s="1"/>
  <c r="J459" i="13"/>
  <c r="J303" i="13"/>
  <c r="J754" i="13" s="1"/>
  <c r="U754" i="13" s="1"/>
  <c r="I615" i="13"/>
  <c r="I614" i="13"/>
  <c r="J294" i="13"/>
  <c r="C294" i="13" s="1"/>
  <c r="J450" i="13"/>
  <c r="J452" i="13"/>
  <c r="J296" i="13"/>
  <c r="J747" i="13" s="1"/>
  <c r="U747" i="13" s="1"/>
  <c r="J449" i="13"/>
  <c r="J293" i="13"/>
  <c r="C293" i="13" s="1"/>
  <c r="J316" i="13"/>
  <c r="J300" i="13"/>
  <c r="J751" i="13" s="1"/>
  <c r="J456" i="13"/>
  <c r="J319" i="13"/>
  <c r="J463" i="13"/>
  <c r="J307" i="13"/>
  <c r="J758" i="13" s="1"/>
  <c r="U758" i="13" s="1"/>
  <c r="J317" i="13"/>
  <c r="J446" i="13"/>
  <c r="J290" i="13"/>
  <c r="C290" i="13" s="1"/>
  <c r="J301" i="13"/>
  <c r="J457" i="13"/>
  <c r="J320" i="13"/>
  <c r="J460" i="13"/>
  <c r="J304" i="13"/>
  <c r="J755" i="13" s="1"/>
  <c r="U755" i="13" s="1"/>
  <c r="J447" i="13"/>
  <c r="J291" i="13"/>
  <c r="C291" i="13" s="1"/>
  <c r="J314" i="13"/>
  <c r="J919" i="13" s="1"/>
  <c r="H619" i="13"/>
  <c r="H716" i="13" s="1"/>
  <c r="I617" i="13"/>
  <c r="I616" i="13"/>
  <c r="J462" i="13"/>
  <c r="J306" i="13"/>
  <c r="J757" i="13" s="1"/>
  <c r="U757" i="13" s="1"/>
  <c r="J305" i="13"/>
  <c r="J756" i="13" s="1"/>
  <c r="U756" i="13" s="1"/>
  <c r="J461" i="13"/>
  <c r="J444" i="13"/>
  <c r="J288" i="13"/>
  <c r="J308" i="13"/>
  <c r="J451" i="13"/>
  <c r="J295" i="13"/>
  <c r="C295" i="13" s="1"/>
  <c r="J318" i="13"/>
  <c r="I613" i="13"/>
  <c r="I828" i="13"/>
  <c r="T828" i="13" s="1"/>
  <c r="I604" i="13"/>
  <c r="I911" i="13"/>
  <c r="I908" i="13"/>
  <c r="J267" i="13"/>
  <c r="H595" i="13"/>
  <c r="H607" i="13" s="1"/>
  <c r="I321" i="13"/>
  <c r="I926" i="13" s="1"/>
  <c r="I309" i="13"/>
  <c r="I598" i="13"/>
  <c r="I297" i="13"/>
  <c r="G29" i="18" s="1"/>
  <c r="I453" i="13"/>
  <c r="I465" i="13" s="1"/>
  <c r="K164" i="13"/>
  <c r="F30" i="45"/>
  <c r="K152" i="13"/>
  <c r="I674" i="13"/>
  <c r="K140" i="13"/>
  <c r="I15" i="18" s="1"/>
  <c r="I29" i="18" s="1"/>
  <c r="C75" i="13"/>
  <c r="G30" i="45"/>
  <c r="L103" i="13"/>
  <c r="D25" i="45"/>
  <c r="G103" i="13"/>
  <c r="C1464" i="13"/>
  <c r="G95" i="38"/>
  <c r="G97" i="38"/>
  <c r="G99" i="38"/>
  <c r="G96" i="38"/>
  <c r="G94" i="38"/>
  <c r="F94" i="18"/>
  <c r="F124" i="18"/>
  <c r="F123" i="18"/>
  <c r="F122" i="18"/>
  <c r="F116" i="18"/>
  <c r="F120" i="18"/>
  <c r="F119" i="18"/>
  <c r="I968" i="13"/>
  <c r="I793" i="13"/>
  <c r="T793" i="13" s="1"/>
  <c r="I816" i="13"/>
  <c r="T816" i="13" s="1"/>
  <c r="F109" i="18"/>
  <c r="F95" i="18"/>
  <c r="F97" i="18"/>
  <c r="F96" i="18"/>
  <c r="F108" i="18"/>
  <c r="F103" i="18"/>
  <c r="F102" i="18"/>
  <c r="F104" i="18"/>
  <c r="F106" i="18"/>
  <c r="F99" i="18"/>
  <c r="F105" i="18"/>
  <c r="F101" i="18"/>
  <c r="F111" i="18"/>
  <c r="F100" i="18"/>
  <c r="F110" i="18"/>
  <c r="F98" i="18"/>
  <c r="F107" i="18"/>
  <c r="H1465" i="13"/>
  <c r="F68" i="18"/>
  <c r="G134" i="18"/>
  <c r="G150" i="18" s="1"/>
  <c r="C42" i="18"/>
  <c r="H285" i="13"/>
  <c r="F28" i="18"/>
  <c r="F25" i="18"/>
  <c r="I866" i="13"/>
  <c r="T866" i="13" s="1"/>
  <c r="I712" i="13"/>
  <c r="I278" i="13"/>
  <c r="T730" i="13" s="1"/>
  <c r="I959" i="13"/>
  <c r="I283" i="13"/>
  <c r="T735" i="13" s="1"/>
  <c r="G24" i="18"/>
  <c r="G21" i="18"/>
  <c r="G93" i="38"/>
  <c r="G92" i="38"/>
  <c r="G91" i="38"/>
  <c r="G90" i="38"/>
  <c r="G89" i="38"/>
  <c r="G88" i="38"/>
  <c r="G87" i="38"/>
  <c r="G86" i="38"/>
  <c r="G85" i="38"/>
  <c r="G84" i="38"/>
  <c r="G59" i="18"/>
  <c r="G34" i="18" s="1"/>
  <c r="D14" i="38"/>
  <c r="C14" i="38" s="1"/>
  <c r="H30" i="38"/>
  <c r="H98" i="38" s="1"/>
  <c r="N30" i="38"/>
  <c r="N98" i="38" s="1"/>
  <c r="K30" i="38"/>
  <c r="K98" i="38" s="1"/>
  <c r="G68" i="18"/>
  <c r="J68" i="18"/>
  <c r="J157" i="18" s="1"/>
  <c r="L1465" i="13"/>
  <c r="I68" i="18"/>
  <c r="I995" i="13"/>
  <c r="I941" i="13"/>
  <c r="H43" i="18"/>
  <c r="H134" i="18" s="1"/>
  <c r="I776" i="13"/>
  <c r="T776" i="13" s="1"/>
  <c r="I652" i="13"/>
  <c r="I929" i="13"/>
  <c r="I999" i="13"/>
  <c r="I842" i="13"/>
  <c r="T842" i="13" s="1"/>
  <c r="I846" i="13"/>
  <c r="T846" i="13" s="1"/>
  <c r="I856" i="13"/>
  <c r="T856" i="13" s="1"/>
  <c r="I656" i="13"/>
  <c r="I834" i="13"/>
  <c r="T834" i="13" s="1"/>
  <c r="I680" i="13"/>
  <c r="I621" i="13"/>
  <c r="I1012" i="13"/>
  <c r="I791" i="13"/>
  <c r="T791" i="13" s="1"/>
  <c r="I775" i="13"/>
  <c r="T775" i="13" s="1"/>
  <c r="I859" i="13"/>
  <c r="T859" i="13" s="1"/>
  <c r="I1009" i="13"/>
  <c r="I810" i="13"/>
  <c r="T810" i="13" s="1"/>
  <c r="I997" i="13"/>
  <c r="I631" i="13"/>
  <c r="I907" i="13"/>
  <c r="I944" i="13"/>
  <c r="I1002" i="13"/>
  <c r="I695" i="13"/>
  <c r="I788" i="13"/>
  <c r="T788" i="13" s="1"/>
  <c r="I625" i="13"/>
  <c r="I677" i="13"/>
  <c r="I694" i="13"/>
  <c r="I909" i="13"/>
  <c r="I985" i="13"/>
  <c r="J128" i="13"/>
  <c r="J100" i="13" s="1"/>
  <c r="I441" i="13"/>
  <c r="H890" i="13"/>
  <c r="H736" i="13"/>
  <c r="S736" i="13" s="1"/>
  <c r="I848" i="13"/>
  <c r="T848" i="13" s="1"/>
  <c r="I831" i="13"/>
  <c r="T831" i="13" s="1"/>
  <c r="I942" i="13"/>
  <c r="I779" i="13"/>
  <c r="T779" i="13" s="1"/>
  <c r="H583" i="13"/>
  <c r="I789" i="13"/>
  <c r="T789" i="13" s="1"/>
  <c r="I665" i="13"/>
  <c r="I1199" i="13"/>
  <c r="J1035" i="13"/>
  <c r="J1191" i="13"/>
  <c r="J277" i="13"/>
  <c r="C277" i="13" s="1"/>
  <c r="J432" i="13"/>
  <c r="J1195" i="13"/>
  <c r="J1039" i="13"/>
  <c r="J281" i="13"/>
  <c r="C281" i="13" s="1"/>
  <c r="J437" i="13"/>
  <c r="J1187" i="13"/>
  <c r="J1031" i="13"/>
  <c r="J120" i="13"/>
  <c r="J99" i="13" s="1"/>
  <c r="J428" i="13"/>
  <c r="J273" i="13"/>
  <c r="I1043" i="13"/>
  <c r="I733" i="13"/>
  <c r="T733" i="13" s="1"/>
  <c r="I886" i="13"/>
  <c r="I579" i="13"/>
  <c r="I741" i="13"/>
  <c r="T741" i="13" s="1"/>
  <c r="I588" i="13"/>
  <c r="I895" i="13"/>
  <c r="I578" i="13"/>
  <c r="I885" i="13"/>
  <c r="I732" i="13"/>
  <c r="T732" i="13" s="1"/>
  <c r="J1249" i="13"/>
  <c r="J1090" i="13"/>
  <c r="J329" i="13"/>
  <c r="C329" i="13" s="1"/>
  <c r="J474" i="13"/>
  <c r="J1243" i="13"/>
  <c r="J1084" i="13"/>
  <c r="J468" i="13"/>
  <c r="J323" i="13"/>
  <c r="J1190" i="13"/>
  <c r="J1034" i="13"/>
  <c r="J276" i="13"/>
  <c r="C276" i="13" s="1"/>
  <c r="J431" i="13"/>
  <c r="J1189" i="13"/>
  <c r="J1033" i="13"/>
  <c r="J275" i="13"/>
  <c r="J430" i="13"/>
  <c r="I894" i="13"/>
  <c r="I587" i="13"/>
  <c r="I740" i="13"/>
  <c r="T740" i="13" s="1"/>
  <c r="I729" i="13"/>
  <c r="T729" i="13" s="1"/>
  <c r="I882" i="13"/>
  <c r="I575" i="13"/>
  <c r="I739" i="13"/>
  <c r="I893" i="13"/>
  <c r="I586" i="13"/>
  <c r="I573" i="13"/>
  <c r="I880" i="13"/>
  <c r="I727" i="13"/>
  <c r="T727" i="13" s="1"/>
  <c r="I725" i="13"/>
  <c r="T725" i="13" s="1"/>
  <c r="I878" i="13"/>
  <c r="I571" i="13"/>
  <c r="J1038" i="13"/>
  <c r="J1194" i="13"/>
  <c r="J280" i="13"/>
  <c r="J436" i="13"/>
  <c r="J1032" i="13"/>
  <c r="J1188" i="13"/>
  <c r="J429" i="13"/>
  <c r="J274" i="13"/>
  <c r="J1040" i="13"/>
  <c r="J1196" i="13"/>
  <c r="J282" i="13"/>
  <c r="C282" i="13" s="1"/>
  <c r="J438" i="13"/>
  <c r="I746" i="13"/>
  <c r="T746" i="13" s="1"/>
  <c r="I900" i="13"/>
  <c r="I593" i="13"/>
  <c r="I896" i="13"/>
  <c r="I742" i="13"/>
  <c r="T742" i="13" s="1"/>
  <c r="I589" i="13"/>
  <c r="I572" i="13"/>
  <c r="I879" i="13"/>
  <c r="I726" i="13"/>
  <c r="T726" i="13" s="1"/>
  <c r="I897" i="13"/>
  <c r="I743" i="13"/>
  <c r="T743" i="13" s="1"/>
  <c r="I590" i="13"/>
  <c r="I591" i="13"/>
  <c r="I898" i="13"/>
  <c r="I744" i="13"/>
  <c r="T744" i="13" s="1"/>
  <c r="I781" i="13"/>
  <c r="T781" i="13" s="1"/>
  <c r="I899" i="13"/>
  <c r="I745" i="13"/>
  <c r="T745" i="13" s="1"/>
  <c r="I592" i="13"/>
  <c r="I728" i="13"/>
  <c r="T728" i="13" s="1"/>
  <c r="I881" i="13"/>
  <c r="I574" i="13"/>
  <c r="I988" i="13"/>
  <c r="I713" i="13"/>
  <c r="I993" i="13"/>
  <c r="I835" i="13"/>
  <c r="T835" i="13" s="1"/>
  <c r="I826" i="13"/>
  <c r="T826" i="13" s="1"/>
  <c r="I815" i="13"/>
  <c r="T815" i="13" s="1"/>
  <c r="I647" i="13"/>
  <c r="I639" i="13"/>
  <c r="I930" i="13"/>
  <c r="I599" i="13"/>
  <c r="I836" i="13"/>
  <c r="T836" i="13" s="1"/>
  <c r="I953" i="13"/>
  <c r="I655" i="13"/>
  <c r="I644" i="13"/>
  <c r="I800" i="13"/>
  <c r="T800" i="13" s="1"/>
  <c r="I682" i="13"/>
  <c r="I962" i="13"/>
  <c r="I676" i="13"/>
  <c r="I952" i="13"/>
  <c r="I801" i="13"/>
  <c r="T801" i="13" s="1"/>
  <c r="I850" i="13"/>
  <c r="T850" i="13" s="1"/>
  <c r="I804" i="13"/>
  <c r="T804" i="13" s="1"/>
  <c r="I822" i="13"/>
  <c r="T822" i="13" s="1"/>
  <c r="I670" i="13"/>
  <c r="I661" i="13"/>
  <c r="I785" i="13"/>
  <c r="T785" i="13" s="1"/>
  <c r="I934" i="13"/>
  <c r="I603" i="13"/>
  <c r="I983" i="13"/>
  <c r="I819" i="13"/>
  <c r="T819" i="13" s="1"/>
  <c r="I786" i="13"/>
  <c r="T786" i="13" s="1"/>
  <c r="I971" i="13"/>
  <c r="I994" i="13"/>
  <c r="I668" i="13"/>
  <c r="I1017" i="13"/>
  <c r="I798" i="13"/>
  <c r="T798" i="13" s="1"/>
  <c r="I823" i="13"/>
  <c r="T823" i="13" s="1"/>
  <c r="I672" i="13"/>
  <c r="I946" i="13"/>
  <c r="I844" i="13"/>
  <c r="T844" i="13" s="1"/>
  <c r="I867" i="13"/>
  <c r="T867" i="13" s="1"/>
  <c r="I840" i="13"/>
  <c r="T840" i="13" s="1"/>
  <c r="I669" i="13"/>
  <c r="I818" i="13"/>
  <c r="T818" i="13" s="1"/>
  <c r="I1000" i="13"/>
  <c r="I858" i="13"/>
  <c r="T858" i="13" s="1"/>
  <c r="I821" i="13"/>
  <c r="T821" i="13" s="1"/>
  <c r="I847" i="13"/>
  <c r="T847" i="13" s="1"/>
  <c r="I687" i="13"/>
  <c r="I708" i="13"/>
  <c r="I662" i="13"/>
  <c r="J361" i="13"/>
  <c r="C361" i="13" s="1"/>
  <c r="J1281" i="13"/>
  <c r="J506" i="13"/>
  <c r="J1122" i="13"/>
  <c r="J560" i="13"/>
  <c r="J415" i="13"/>
  <c r="J1176" i="13"/>
  <c r="J1335" i="13"/>
  <c r="J1277" i="13"/>
  <c r="J502" i="13"/>
  <c r="J1118" i="13"/>
  <c r="J357" i="13"/>
  <c r="C357" i="13" s="1"/>
  <c r="J1121" i="13"/>
  <c r="J505" i="13"/>
  <c r="J360" i="13"/>
  <c r="J1280" i="13"/>
  <c r="J1274" i="13"/>
  <c r="J499" i="13"/>
  <c r="J354" i="13"/>
  <c r="J1115" i="13"/>
  <c r="J475" i="13"/>
  <c r="J1091" i="13"/>
  <c r="J330" i="13"/>
  <c r="J1250" i="13"/>
  <c r="J524" i="13"/>
  <c r="J1140" i="13"/>
  <c r="J1299" i="13"/>
  <c r="J379" i="13"/>
  <c r="J346" i="13"/>
  <c r="C346" i="13" s="1"/>
  <c r="J491" i="13"/>
  <c r="J1266" i="13"/>
  <c r="J1107" i="13"/>
  <c r="J1169" i="13"/>
  <c r="J553" i="13"/>
  <c r="J1328" i="13"/>
  <c r="J408" i="13"/>
  <c r="C408" i="13" s="1"/>
  <c r="J358" i="13"/>
  <c r="C358" i="13" s="1"/>
  <c r="J1119" i="13"/>
  <c r="J1278" i="13"/>
  <c r="J503" i="13"/>
  <c r="J339" i="13"/>
  <c r="C339" i="13" s="1"/>
  <c r="J1259" i="13"/>
  <c r="J1100" i="13"/>
  <c r="J484" i="13"/>
  <c r="J412" i="13"/>
  <c r="C412" i="13" s="1"/>
  <c r="J1173" i="13"/>
  <c r="J557" i="13"/>
  <c r="J1332" i="13"/>
  <c r="J1151" i="13"/>
  <c r="J390" i="13"/>
  <c r="C390" i="13" s="1"/>
  <c r="J535" i="13"/>
  <c r="J1310" i="13"/>
  <c r="J518" i="13"/>
  <c r="J1134" i="13"/>
  <c r="J1293" i="13"/>
  <c r="J373" i="13"/>
  <c r="J530" i="13"/>
  <c r="J385" i="13"/>
  <c r="J1146" i="13"/>
  <c r="J1305" i="13"/>
  <c r="J333" i="13"/>
  <c r="C333" i="13" s="1"/>
  <c r="J1094" i="13"/>
  <c r="J478" i="13"/>
  <c r="J1253" i="13"/>
  <c r="J509" i="13"/>
  <c r="J364" i="13"/>
  <c r="C364" i="13" s="1"/>
  <c r="J1284" i="13"/>
  <c r="J1125" i="13"/>
  <c r="J497" i="13"/>
  <c r="J352" i="13"/>
  <c r="C352" i="13" s="1"/>
  <c r="J1272" i="13"/>
  <c r="J1113" i="13"/>
  <c r="J1330" i="13"/>
  <c r="J410" i="13"/>
  <c r="C410" i="13" s="1"/>
  <c r="J555" i="13"/>
  <c r="J1171" i="13"/>
  <c r="I1003" i="13"/>
  <c r="I829" i="13"/>
  <c r="T829" i="13" s="1"/>
  <c r="I832" i="13"/>
  <c r="T832" i="13" s="1"/>
  <c r="I854" i="13"/>
  <c r="T854" i="13" s="1"/>
  <c r="I969" i="13"/>
  <c r="I960" i="13"/>
  <c r="H68" i="18"/>
  <c r="H157" i="18" s="1"/>
  <c r="I563" i="13"/>
  <c r="J1174" i="13"/>
  <c r="J558" i="13"/>
  <c r="J1333" i="13"/>
  <c r="J413" i="13"/>
  <c r="C413" i="13" s="1"/>
  <c r="J1165" i="13"/>
  <c r="J549" i="13"/>
  <c r="J404" i="13"/>
  <c r="C404" i="13" s="1"/>
  <c r="J1324" i="13"/>
  <c r="J548" i="13"/>
  <c r="J1323" i="13"/>
  <c r="J1164" i="13"/>
  <c r="J403" i="13"/>
  <c r="J383" i="13"/>
  <c r="C383" i="13" s="1"/>
  <c r="J1303" i="13"/>
  <c r="J528" i="13"/>
  <c r="J1144" i="13"/>
  <c r="J1321" i="13"/>
  <c r="J546" i="13"/>
  <c r="J401" i="13"/>
  <c r="C401" i="13" s="1"/>
  <c r="J1162" i="13"/>
  <c r="J1124" i="13"/>
  <c r="J508" i="13"/>
  <c r="J363" i="13"/>
  <c r="C363" i="13" s="1"/>
  <c r="J1283" i="13"/>
  <c r="J370" i="13"/>
  <c r="C370" i="13" s="1"/>
  <c r="J1290" i="13"/>
  <c r="J515" i="13"/>
  <c r="J1131" i="13"/>
  <c r="J487" i="13"/>
  <c r="J1103" i="13"/>
  <c r="J342" i="13"/>
  <c r="J1262" i="13"/>
  <c r="J1104" i="13"/>
  <c r="J1263" i="13"/>
  <c r="J488" i="13"/>
  <c r="J343" i="13"/>
  <c r="C343" i="13" s="1"/>
  <c r="J340" i="13"/>
  <c r="C340" i="13" s="1"/>
  <c r="J1101" i="13"/>
  <c r="J1260" i="13"/>
  <c r="J485" i="13"/>
  <c r="J391" i="13"/>
  <c r="J1311" i="13"/>
  <c r="J536" i="13"/>
  <c r="J1152" i="13"/>
  <c r="J347" i="13"/>
  <c r="C347" i="13" s="1"/>
  <c r="J1267" i="13"/>
  <c r="J1108" i="13"/>
  <c r="J492" i="13"/>
  <c r="J552" i="13"/>
  <c r="J1327" i="13"/>
  <c r="J407" i="13"/>
  <c r="C407" i="13" s="1"/>
  <c r="J1168" i="13"/>
  <c r="J382" i="13"/>
  <c r="C382" i="13" s="1"/>
  <c r="J1143" i="13"/>
  <c r="J527" i="13"/>
  <c r="J1302" i="13"/>
  <c r="J335" i="13"/>
  <c r="C335" i="13" s="1"/>
  <c r="J480" i="13"/>
  <c r="J1096" i="13"/>
  <c r="J1255" i="13"/>
  <c r="J1092" i="13"/>
  <c r="J331" i="13"/>
  <c r="C331" i="13" s="1"/>
  <c r="J1251" i="13"/>
  <c r="J476" i="13"/>
  <c r="J369" i="13"/>
  <c r="C369" i="13" s="1"/>
  <c r="J514" i="13"/>
  <c r="J1130" i="13"/>
  <c r="J1289" i="13"/>
  <c r="J1098" i="13"/>
  <c r="J337" i="13"/>
  <c r="C337" i="13" s="1"/>
  <c r="J1257" i="13"/>
  <c r="J482" i="13"/>
  <c r="I977" i="13"/>
  <c r="I1011" i="13"/>
  <c r="I675" i="13"/>
  <c r="I817" i="13"/>
  <c r="T817" i="13" s="1"/>
  <c r="I910" i="13"/>
  <c r="I777" i="13"/>
  <c r="T777" i="13" s="1"/>
  <c r="I667" i="13"/>
  <c r="I1007" i="13"/>
  <c r="I645" i="13"/>
  <c r="I650" i="13"/>
  <c r="I978" i="13"/>
  <c r="J1314" i="13"/>
  <c r="J539" i="13"/>
  <c r="J1155" i="13"/>
  <c r="J394" i="13"/>
  <c r="C394" i="13" s="1"/>
  <c r="J398" i="13"/>
  <c r="C398" i="13" s="1"/>
  <c r="J1159" i="13"/>
  <c r="J1318" i="13"/>
  <c r="J543" i="13"/>
  <c r="J1254" i="13"/>
  <c r="J1095" i="13"/>
  <c r="J334" i="13"/>
  <c r="C334" i="13" s="1"/>
  <c r="J479" i="13"/>
  <c r="J351" i="13"/>
  <c r="C351" i="13" s="1"/>
  <c r="J496" i="13"/>
  <c r="J1112" i="13"/>
  <c r="J1271" i="13"/>
  <c r="J537" i="13"/>
  <c r="J1312" i="13"/>
  <c r="J392" i="13"/>
  <c r="C392" i="13" s="1"/>
  <c r="J1153" i="13"/>
  <c r="J1133" i="13"/>
  <c r="J1292" i="13"/>
  <c r="J517" i="13"/>
  <c r="J372" i="13"/>
  <c r="C372" i="13" s="1"/>
  <c r="J359" i="13"/>
  <c r="C359" i="13" s="1"/>
  <c r="J1279" i="13"/>
  <c r="J504" i="13"/>
  <c r="J1120" i="13"/>
  <c r="J355" i="13"/>
  <c r="C355" i="13" s="1"/>
  <c r="J1275" i="13"/>
  <c r="J1116" i="13"/>
  <c r="J500" i="13"/>
  <c r="J1286" i="13"/>
  <c r="J1127" i="13"/>
  <c r="J366" i="13"/>
  <c r="J511" i="13"/>
  <c r="J377" i="13"/>
  <c r="C377" i="13" s="1"/>
  <c r="J1297" i="13"/>
  <c r="J1138" i="13"/>
  <c r="J522" i="13"/>
  <c r="J1309" i="13"/>
  <c r="J534" i="13"/>
  <c r="J1150" i="13"/>
  <c r="J389" i="13"/>
  <c r="C389" i="13" s="1"/>
  <c r="J1161" i="13"/>
  <c r="J545" i="13"/>
  <c r="J400" i="13"/>
  <c r="C400" i="13" s="1"/>
  <c r="J1320" i="13"/>
  <c r="J378" i="13"/>
  <c r="C378" i="13" s="1"/>
  <c r="J1298" i="13"/>
  <c r="J1139" i="13"/>
  <c r="J523" i="13"/>
  <c r="J327" i="13"/>
  <c r="J1088" i="13"/>
  <c r="J1247" i="13"/>
  <c r="J472" i="13"/>
  <c r="J1268" i="13"/>
  <c r="J493" i="13"/>
  <c r="J1109" i="13"/>
  <c r="J348" i="13"/>
  <c r="J1128" i="13"/>
  <c r="J512" i="13"/>
  <c r="J367" i="13"/>
  <c r="C367" i="13" s="1"/>
  <c r="J1287" i="13"/>
  <c r="J388" i="13"/>
  <c r="C388" i="13" s="1"/>
  <c r="J533" i="13"/>
  <c r="J1149" i="13"/>
  <c r="J1308" i="13"/>
  <c r="J345" i="13"/>
  <c r="C345" i="13" s="1"/>
  <c r="J490" i="13"/>
  <c r="J1265" i="13"/>
  <c r="J1106" i="13"/>
  <c r="J416" i="13"/>
  <c r="C416" i="13" s="1"/>
  <c r="J561" i="13"/>
  <c r="J1177" i="13"/>
  <c r="J1336" i="13"/>
  <c r="J395" i="13"/>
  <c r="C395" i="13" s="1"/>
  <c r="J1156" i="13"/>
  <c r="J1315" i="13"/>
  <c r="J540" i="13"/>
  <c r="I825" i="13"/>
  <c r="T825" i="13" s="1"/>
  <c r="I710" i="13"/>
  <c r="I714" i="13"/>
  <c r="I868" i="13"/>
  <c r="T868" i="13" s="1"/>
  <c r="J1317" i="13"/>
  <c r="J542" i="13"/>
  <c r="J1158" i="13"/>
  <c r="J397" i="13"/>
  <c r="J376" i="13"/>
  <c r="C376" i="13" s="1"/>
  <c r="J1296" i="13"/>
  <c r="J521" i="13"/>
  <c r="J1137" i="13"/>
  <c r="J341" i="13"/>
  <c r="C341" i="13" s="1"/>
  <c r="J486" i="13"/>
  <c r="J1261" i="13"/>
  <c r="J1102" i="13"/>
  <c r="J481" i="13"/>
  <c r="J1097" i="13"/>
  <c r="J336" i="13"/>
  <c r="J1256" i="13"/>
  <c r="J470" i="13"/>
  <c r="J325" i="13"/>
  <c r="C325" i="13" s="1"/>
  <c r="J1245" i="13"/>
  <c r="J1086" i="13"/>
  <c r="J516" i="13"/>
  <c r="J1291" i="13"/>
  <c r="J1132" i="13"/>
  <c r="J371" i="13"/>
  <c r="C371" i="13" s="1"/>
  <c r="J406" i="13"/>
  <c r="C406" i="13" s="1"/>
  <c r="J1326" i="13"/>
  <c r="J1167" i="13"/>
  <c r="J551" i="13"/>
  <c r="J1175" i="13"/>
  <c r="J414" i="13"/>
  <c r="C414" i="13" s="1"/>
  <c r="J1334" i="13"/>
  <c r="J559" i="13"/>
  <c r="J1248" i="13"/>
  <c r="J473" i="13"/>
  <c r="J328" i="13"/>
  <c r="C328" i="13" s="1"/>
  <c r="J1089" i="13"/>
  <c r="J1306" i="13"/>
  <c r="J531" i="13"/>
  <c r="J386" i="13"/>
  <c r="C386" i="13" s="1"/>
  <c r="J1147" i="13"/>
  <c r="J1163" i="13"/>
  <c r="J1322" i="13"/>
  <c r="J547" i="13"/>
  <c r="J402" i="13"/>
  <c r="C402" i="13" s="1"/>
  <c r="J554" i="13"/>
  <c r="J1329" i="13"/>
  <c r="J409" i="13"/>
  <c r="J1170" i="13"/>
  <c r="J1273" i="13"/>
  <c r="J353" i="13"/>
  <c r="C353" i="13" s="1"/>
  <c r="J498" i="13"/>
  <c r="J1114" i="13"/>
  <c r="J525" i="13"/>
  <c r="J1300" i="13"/>
  <c r="J380" i="13"/>
  <c r="C380" i="13" s="1"/>
  <c r="J1141" i="13"/>
  <c r="J469" i="13"/>
  <c r="J324" i="13"/>
  <c r="J1085" i="13"/>
  <c r="J1244" i="13"/>
  <c r="J1304" i="13"/>
  <c r="J1145" i="13"/>
  <c r="J529" i="13"/>
  <c r="J384" i="13"/>
  <c r="C384" i="13" s="1"/>
  <c r="J1135" i="13"/>
  <c r="J374" i="13"/>
  <c r="C374" i="13" s="1"/>
  <c r="J1294" i="13"/>
  <c r="J519" i="13"/>
  <c r="J1157" i="13"/>
  <c r="J541" i="13"/>
  <c r="J396" i="13"/>
  <c r="C396" i="13" s="1"/>
  <c r="J1316" i="13"/>
  <c r="J510" i="13"/>
  <c r="J365" i="13"/>
  <c r="C365" i="13" s="1"/>
  <c r="J1126" i="13"/>
  <c r="J1285" i="13"/>
  <c r="J349" i="13"/>
  <c r="C349" i="13" s="1"/>
  <c r="J494" i="13"/>
  <c r="J1269" i="13"/>
  <c r="J1110" i="13"/>
  <c r="I632" i="13"/>
  <c r="I862" i="13"/>
  <c r="T862" i="13" s="1"/>
  <c r="I970" i="13"/>
  <c r="I1179" i="13"/>
  <c r="I638" i="13"/>
  <c r="I792" i="13"/>
  <c r="T792" i="13" s="1"/>
  <c r="I945" i="13"/>
  <c r="I811" i="13"/>
  <c r="T811" i="13" s="1"/>
  <c r="I964" i="13"/>
  <c r="I657" i="13"/>
  <c r="I807" i="13"/>
  <c r="T807" i="13" s="1"/>
  <c r="I1005" i="13"/>
  <c r="I852" i="13"/>
  <c r="T852" i="13" s="1"/>
  <c r="I698" i="13"/>
  <c r="I418" i="13"/>
  <c r="I865" i="13"/>
  <c r="T865" i="13" s="1"/>
  <c r="I711" i="13"/>
  <c r="I1018" i="13"/>
  <c r="H566" i="13"/>
  <c r="H772" i="13" l="1"/>
  <c r="S772" i="13" s="1"/>
  <c r="J610" i="13"/>
  <c r="J917" i="13"/>
  <c r="D14" i="45"/>
  <c r="H22" i="45"/>
  <c r="F98" i="38"/>
  <c r="F95" i="38"/>
  <c r="F88" i="38"/>
  <c r="F99" i="38"/>
  <c r="F87" i="38"/>
  <c r="F97" i="38"/>
  <c r="F86" i="38"/>
  <c r="F96" i="38"/>
  <c r="F93" i="38"/>
  <c r="F94" i="38"/>
  <c r="F92" i="38"/>
  <c r="F89" i="38"/>
  <c r="F91" i="38"/>
  <c r="F90" i="38"/>
  <c r="F84" i="38"/>
  <c r="P85" i="38"/>
  <c r="J85" i="38"/>
  <c r="L98" i="38"/>
  <c r="L95" i="38"/>
  <c r="L93" i="38"/>
  <c r="L92" i="38"/>
  <c r="L84" i="38"/>
  <c r="L86" i="38"/>
  <c r="L94" i="38"/>
  <c r="L91" i="38"/>
  <c r="L90" i="38"/>
  <c r="L89" i="38"/>
  <c r="L99" i="38"/>
  <c r="L96" i="38"/>
  <c r="L88" i="38"/>
  <c r="L97" i="38"/>
  <c r="L87" i="38"/>
  <c r="L85" i="38"/>
  <c r="J98" i="38"/>
  <c r="J94" i="38"/>
  <c r="J87" i="38"/>
  <c r="J96" i="38"/>
  <c r="J86" i="38"/>
  <c r="J95" i="38"/>
  <c r="J93" i="38"/>
  <c r="J97" i="38"/>
  <c r="J92" i="38"/>
  <c r="J84" i="38"/>
  <c r="J88" i="38"/>
  <c r="J99" i="38"/>
  <c r="J91" i="38"/>
  <c r="J90" i="38"/>
  <c r="J89" i="38"/>
  <c r="F85" i="38"/>
  <c r="O98" i="38"/>
  <c r="O99" i="38"/>
  <c r="O89" i="38"/>
  <c r="O88" i="38"/>
  <c r="O94" i="38"/>
  <c r="O90" i="38"/>
  <c r="O87" i="38"/>
  <c r="O97" i="38"/>
  <c r="O86" i="38"/>
  <c r="O93" i="38"/>
  <c r="O96" i="38"/>
  <c r="O92" i="38"/>
  <c r="O84" i="38"/>
  <c r="O95" i="38"/>
  <c r="O91" i="38"/>
  <c r="O85" i="38"/>
  <c r="P98" i="38"/>
  <c r="P89" i="38"/>
  <c r="P95" i="38"/>
  <c r="P88" i="38"/>
  <c r="P96" i="38"/>
  <c r="P87" i="38"/>
  <c r="P97" i="38"/>
  <c r="P86" i="38"/>
  <c r="P99" i="38"/>
  <c r="P93" i="38"/>
  <c r="P94" i="38"/>
  <c r="P92" i="38"/>
  <c r="P84" i="38"/>
  <c r="P90" i="38"/>
  <c r="P91" i="38"/>
  <c r="I98" i="38"/>
  <c r="I91" i="38"/>
  <c r="I95" i="38"/>
  <c r="I94" i="38"/>
  <c r="I90" i="38"/>
  <c r="I97" i="38"/>
  <c r="I89" i="38"/>
  <c r="I92" i="38"/>
  <c r="I99" i="38"/>
  <c r="I87" i="38"/>
  <c r="I96" i="38"/>
  <c r="I84" i="38"/>
  <c r="I88" i="38"/>
  <c r="I93" i="38"/>
  <c r="I86" i="38"/>
  <c r="M98" i="38"/>
  <c r="M96" i="38"/>
  <c r="M91" i="38"/>
  <c r="M90" i="38"/>
  <c r="M84" i="38"/>
  <c r="M89" i="38"/>
  <c r="M88" i="38"/>
  <c r="M99" i="38"/>
  <c r="M86" i="38"/>
  <c r="M92" i="38"/>
  <c r="M95" i="38"/>
  <c r="M87" i="38"/>
  <c r="M97" i="38"/>
  <c r="M94" i="38"/>
  <c r="M93" i="38"/>
  <c r="I85" i="38"/>
  <c r="M85" i="38"/>
  <c r="M43" i="38"/>
  <c r="P43" i="38"/>
  <c r="I43" i="38"/>
  <c r="N43" i="38"/>
  <c r="H43" i="38"/>
  <c r="F43" i="38"/>
  <c r="G43" i="38"/>
  <c r="O43" i="38"/>
  <c r="J43" i="38"/>
  <c r="K43" i="38"/>
  <c r="L43" i="38"/>
  <c r="J763" i="13"/>
  <c r="U763" i="13" s="1"/>
  <c r="J1211" i="13"/>
  <c r="I1237" i="13"/>
  <c r="I1338" i="13" s="1"/>
  <c r="I1341" i="13" s="1"/>
  <c r="J1223" i="13"/>
  <c r="J1235" i="13"/>
  <c r="I101" i="13"/>
  <c r="I1398" i="13" s="1"/>
  <c r="K1077" i="13"/>
  <c r="J1077" i="13"/>
  <c r="K1067" i="13"/>
  <c r="J923" i="13"/>
  <c r="J769" i="13"/>
  <c r="U769" i="13" s="1"/>
  <c r="J925" i="13"/>
  <c r="J771" i="13"/>
  <c r="U771" i="13" s="1"/>
  <c r="J922" i="13"/>
  <c r="J768" i="13"/>
  <c r="U768" i="13" s="1"/>
  <c r="J924" i="13"/>
  <c r="J770" i="13"/>
  <c r="U770" i="13" s="1"/>
  <c r="J921" i="13"/>
  <c r="J767" i="13"/>
  <c r="U767" i="13" s="1"/>
  <c r="C323" i="13"/>
  <c r="U774" i="13"/>
  <c r="C327" i="13"/>
  <c r="U778" i="13"/>
  <c r="C280" i="13"/>
  <c r="F280" i="13"/>
  <c r="C273" i="13"/>
  <c r="F273" i="13"/>
  <c r="C274" i="13"/>
  <c r="F274" i="13"/>
  <c r="C275" i="13"/>
  <c r="F275" i="13"/>
  <c r="H421" i="13"/>
  <c r="S874" i="13" s="1"/>
  <c r="S737" i="13"/>
  <c r="T739" i="13"/>
  <c r="I748" i="13"/>
  <c r="T748" i="13" s="1"/>
  <c r="C403" i="13"/>
  <c r="C324" i="13"/>
  <c r="C391" i="13"/>
  <c r="T751" i="13"/>
  <c r="I760" i="13"/>
  <c r="T760" i="13" s="1"/>
  <c r="J913" i="13"/>
  <c r="J759" i="13"/>
  <c r="U759" i="13" s="1"/>
  <c r="C320" i="13"/>
  <c r="U751" i="13"/>
  <c r="C379" i="13"/>
  <c r="C397" i="13"/>
  <c r="C348" i="13"/>
  <c r="C342" i="13"/>
  <c r="C330" i="13"/>
  <c r="C354" i="13"/>
  <c r="C360" i="13"/>
  <c r="J766" i="13"/>
  <c r="U766" i="13" s="1"/>
  <c r="J918" i="13"/>
  <c r="J764" i="13"/>
  <c r="U764" i="13" s="1"/>
  <c r="T764" i="13"/>
  <c r="C373" i="13"/>
  <c r="C409" i="13"/>
  <c r="C336" i="13"/>
  <c r="C366" i="13"/>
  <c r="C385" i="13"/>
  <c r="C415" i="13"/>
  <c r="C314" i="13"/>
  <c r="J765" i="13"/>
  <c r="U765" i="13" s="1"/>
  <c r="H1398" i="13"/>
  <c r="C313" i="13"/>
  <c r="M1398" i="13"/>
  <c r="L1398" i="13"/>
  <c r="J611" i="13"/>
  <c r="F150" i="18"/>
  <c r="I107" i="18"/>
  <c r="I34" i="18"/>
  <c r="I106" i="18"/>
  <c r="I120" i="18"/>
  <c r="I96" i="18"/>
  <c r="I95" i="18"/>
  <c r="I111" i="18"/>
  <c r="I98" i="18"/>
  <c r="I94" i="18"/>
  <c r="I108" i="18"/>
  <c r="I110" i="18"/>
  <c r="I102" i="18"/>
  <c r="I119" i="18"/>
  <c r="I116" i="18"/>
  <c r="I109" i="18"/>
  <c r="I124" i="18"/>
  <c r="I99" i="18"/>
  <c r="I105" i="18"/>
  <c r="I122" i="18"/>
  <c r="I104" i="18"/>
  <c r="I97" i="18"/>
  <c r="I101" i="18"/>
  <c r="I123" i="18"/>
  <c r="I100" i="18"/>
  <c r="J142" i="18"/>
  <c r="J150" i="18" s="1"/>
  <c r="K150" i="18" s="1"/>
  <c r="J59" i="18"/>
  <c r="J103" i="18" s="1"/>
  <c r="H17" i="18"/>
  <c r="J102" i="13"/>
  <c r="L1409" i="13"/>
  <c r="L1408" i="13"/>
  <c r="L50" i="34"/>
  <c r="G30" i="18"/>
  <c r="H16" i="18"/>
  <c r="J1067" i="13"/>
  <c r="E12" i="18"/>
  <c r="G1372" i="13"/>
  <c r="J12" i="18"/>
  <c r="L1372" i="13"/>
  <c r="C302" i="13"/>
  <c r="I268" i="13"/>
  <c r="I31" i="18"/>
  <c r="C308" i="13"/>
  <c r="C307" i="13"/>
  <c r="C296" i="13"/>
  <c r="I902" i="13"/>
  <c r="C306" i="13"/>
  <c r="C305" i="13"/>
  <c r="C304" i="13"/>
  <c r="C303" i="13"/>
  <c r="C301" i="13"/>
  <c r="J752" i="13"/>
  <c r="U752" i="13" s="1"/>
  <c r="I1023" i="13"/>
  <c r="H870" i="13"/>
  <c r="J166" i="13"/>
  <c r="C319" i="13"/>
  <c r="I1081" i="13"/>
  <c r="I1182" i="13" s="1"/>
  <c r="J614" i="13"/>
  <c r="C316" i="13"/>
  <c r="J613" i="13"/>
  <c r="C315" i="13"/>
  <c r="J616" i="13"/>
  <c r="C318" i="13"/>
  <c r="J615" i="13"/>
  <c r="C317" i="13"/>
  <c r="I619" i="13"/>
  <c r="J617" i="13"/>
  <c r="I16" i="18"/>
  <c r="M103" i="13"/>
  <c r="J321" i="13"/>
  <c r="J926" i="13" s="1"/>
  <c r="I595" i="13"/>
  <c r="J309" i="13"/>
  <c r="J453" i="13"/>
  <c r="J465" i="13" s="1"/>
  <c r="G18" i="18"/>
  <c r="G23" i="18" s="1"/>
  <c r="C288" i="13"/>
  <c r="J297" i="13"/>
  <c r="H29" i="18" s="1"/>
  <c r="C300" i="13"/>
  <c r="K166" i="13"/>
  <c r="I912" i="13"/>
  <c r="I605" i="13"/>
  <c r="J18" i="18"/>
  <c r="J31" i="18"/>
  <c r="L32" i="34"/>
  <c r="H30" i="45"/>
  <c r="D30" i="45" s="1"/>
  <c r="D22" i="45"/>
  <c r="I118" i="18"/>
  <c r="I157" i="18"/>
  <c r="G118" i="18"/>
  <c r="G157" i="18"/>
  <c r="F118" i="18"/>
  <c r="F157" i="18"/>
  <c r="N97" i="38"/>
  <c r="N95" i="38"/>
  <c r="N99" i="38"/>
  <c r="N96" i="38"/>
  <c r="K95" i="38"/>
  <c r="K97" i="38"/>
  <c r="K99" i="38"/>
  <c r="K96" i="38"/>
  <c r="H97" i="38"/>
  <c r="H95" i="38"/>
  <c r="H96" i="38"/>
  <c r="H99" i="38"/>
  <c r="H94" i="38"/>
  <c r="G100" i="38"/>
  <c r="K94" i="38"/>
  <c r="N94" i="38"/>
  <c r="G123" i="18"/>
  <c r="G122" i="18"/>
  <c r="G124" i="18"/>
  <c r="G116" i="18"/>
  <c r="G120" i="18"/>
  <c r="G119" i="18"/>
  <c r="C43" i="18"/>
  <c r="C134" i="18"/>
  <c r="J283" i="13"/>
  <c r="J278" i="13"/>
  <c r="I285" i="13"/>
  <c r="G22" i="18"/>
  <c r="G27" i="18"/>
  <c r="G25" i="18"/>
  <c r="G28" i="18"/>
  <c r="G31" i="18"/>
  <c r="H21" i="18"/>
  <c r="C21" i="18" s="1"/>
  <c r="H24" i="18"/>
  <c r="C24" i="18" s="1"/>
  <c r="G95" i="18"/>
  <c r="H150" i="18"/>
  <c r="H59" i="18"/>
  <c r="K68" i="18"/>
  <c r="K157" i="18" s="1"/>
  <c r="G111" i="18"/>
  <c r="G103" i="18"/>
  <c r="G107" i="18"/>
  <c r="G105" i="18"/>
  <c r="G104" i="18"/>
  <c r="G110" i="18"/>
  <c r="G109" i="18"/>
  <c r="G106" i="18"/>
  <c r="G102" i="18"/>
  <c r="G108" i="18"/>
  <c r="G98" i="18"/>
  <c r="G97" i="18"/>
  <c r="G96" i="18"/>
  <c r="G101" i="18"/>
  <c r="G99" i="18"/>
  <c r="G94" i="18"/>
  <c r="G100" i="18"/>
  <c r="H93" i="38"/>
  <c r="H92" i="38"/>
  <c r="H91" i="38"/>
  <c r="H90" i="38"/>
  <c r="H89" i="38"/>
  <c r="H88" i="38"/>
  <c r="H87" i="38"/>
  <c r="H86" i="38"/>
  <c r="H85" i="38"/>
  <c r="H84" i="38"/>
  <c r="K93" i="38"/>
  <c r="K92" i="38"/>
  <c r="K91" i="38"/>
  <c r="K90" i="38"/>
  <c r="K89" i="38"/>
  <c r="K88" i="38"/>
  <c r="K87" i="38"/>
  <c r="K86" i="38"/>
  <c r="K85" i="38"/>
  <c r="K84" i="38"/>
  <c r="N93" i="38"/>
  <c r="N92" i="38"/>
  <c r="N91" i="38"/>
  <c r="N90" i="38"/>
  <c r="N89" i="38"/>
  <c r="N88" i="38"/>
  <c r="N87" i="38"/>
  <c r="N86" i="38"/>
  <c r="N85" i="38"/>
  <c r="N84" i="38"/>
  <c r="D15" i="38"/>
  <c r="E30" i="38"/>
  <c r="E98" i="38" s="1"/>
  <c r="I736" i="13"/>
  <c r="I583" i="13"/>
  <c r="I890" i="13"/>
  <c r="J1199" i="13"/>
  <c r="J733" i="13"/>
  <c r="U733" i="13" s="1"/>
  <c r="J579" i="13"/>
  <c r="J886" i="13"/>
  <c r="J575" i="13"/>
  <c r="J729" i="13"/>
  <c r="U729" i="13" s="1"/>
  <c r="J882" i="13"/>
  <c r="J898" i="13"/>
  <c r="J591" i="13"/>
  <c r="J744" i="13"/>
  <c r="U744" i="13" s="1"/>
  <c r="J726" i="13"/>
  <c r="U726" i="13" s="1"/>
  <c r="J879" i="13"/>
  <c r="J572" i="13"/>
  <c r="J1043" i="13"/>
  <c r="J590" i="13"/>
  <c r="J897" i="13"/>
  <c r="J743" i="13"/>
  <c r="U743" i="13" s="1"/>
  <c r="J734" i="13"/>
  <c r="U734" i="13" s="1"/>
  <c r="J580" i="13"/>
  <c r="J887" i="13"/>
  <c r="J739" i="13"/>
  <c r="J586" i="13"/>
  <c r="J893" i="13"/>
  <c r="J732" i="13"/>
  <c r="U732" i="13" s="1"/>
  <c r="J885" i="13"/>
  <c r="J578" i="13"/>
  <c r="J740" i="13"/>
  <c r="U740" i="13" s="1"/>
  <c r="J587" i="13"/>
  <c r="J894" i="13"/>
  <c r="J899" i="13"/>
  <c r="J745" i="13"/>
  <c r="U745" i="13" s="1"/>
  <c r="J592" i="13"/>
  <c r="J775" i="13"/>
  <c r="U775" i="13" s="1"/>
  <c r="J928" i="13"/>
  <c r="J621" i="13"/>
  <c r="J725" i="13"/>
  <c r="U725" i="13" s="1"/>
  <c r="J878" i="13"/>
  <c r="J571" i="13"/>
  <c r="J589" i="13"/>
  <c r="J742" i="13"/>
  <c r="U742" i="13" s="1"/>
  <c r="J896" i="13"/>
  <c r="J727" i="13"/>
  <c r="U727" i="13" s="1"/>
  <c r="J880" i="13"/>
  <c r="J573" i="13"/>
  <c r="J728" i="13"/>
  <c r="U728" i="13" s="1"/>
  <c r="J574" i="13"/>
  <c r="J881" i="13"/>
  <c r="J781" i="13"/>
  <c r="U781" i="13" s="1"/>
  <c r="J934" i="13"/>
  <c r="J627" i="13"/>
  <c r="J746" i="13"/>
  <c r="U746" i="13" s="1"/>
  <c r="J593" i="13"/>
  <c r="J900" i="13"/>
  <c r="J441" i="13"/>
  <c r="J588" i="13"/>
  <c r="J741" i="13"/>
  <c r="U741" i="13" s="1"/>
  <c r="J895" i="13"/>
  <c r="I566" i="13"/>
  <c r="J682" i="13"/>
  <c r="J836" i="13"/>
  <c r="U836" i="13" s="1"/>
  <c r="J989" i="13"/>
  <c r="J563" i="13"/>
  <c r="J858" i="13"/>
  <c r="U858" i="13" s="1"/>
  <c r="J1011" i="13"/>
  <c r="J704" i="13"/>
  <c r="J946" i="13"/>
  <c r="J639" i="13"/>
  <c r="J793" i="13"/>
  <c r="U793" i="13" s="1"/>
  <c r="J828" i="13"/>
  <c r="U828" i="13" s="1"/>
  <c r="J981" i="13"/>
  <c r="J674" i="13"/>
  <c r="J693" i="13"/>
  <c r="J847" i="13"/>
  <c r="U847" i="13" s="1"/>
  <c r="J1000" i="13"/>
  <c r="J868" i="13"/>
  <c r="U868" i="13" s="1"/>
  <c r="J1021" i="13"/>
  <c r="J714" i="13"/>
  <c r="J643" i="13"/>
  <c r="J797" i="13"/>
  <c r="U797" i="13" s="1"/>
  <c r="J950" i="13"/>
  <c r="J840" i="13"/>
  <c r="U840" i="13" s="1"/>
  <c r="J993" i="13"/>
  <c r="J686" i="13"/>
  <c r="J779" i="13"/>
  <c r="U779" i="13" s="1"/>
  <c r="J932" i="13"/>
  <c r="J625" i="13"/>
  <c r="J830" i="13"/>
  <c r="U830" i="13" s="1"/>
  <c r="J983" i="13"/>
  <c r="J676" i="13"/>
  <c r="J829" i="13"/>
  <c r="U829" i="13" s="1"/>
  <c r="J982" i="13"/>
  <c r="J675" i="13"/>
  <c r="J960" i="13"/>
  <c r="J653" i="13"/>
  <c r="J807" i="13"/>
  <c r="U807" i="13" s="1"/>
  <c r="J964" i="13"/>
  <c r="J811" i="13"/>
  <c r="U811" i="13" s="1"/>
  <c r="J657" i="13"/>
  <c r="J803" i="13"/>
  <c r="U803" i="13" s="1"/>
  <c r="J649" i="13"/>
  <c r="J956" i="13"/>
  <c r="J850" i="13"/>
  <c r="U850" i="13" s="1"/>
  <c r="J1003" i="13"/>
  <c r="J696" i="13"/>
  <c r="J603" i="13"/>
  <c r="J910" i="13"/>
  <c r="J942" i="13"/>
  <c r="J789" i="13"/>
  <c r="U789" i="13" s="1"/>
  <c r="J635" i="13"/>
  <c r="J936" i="13"/>
  <c r="J783" i="13"/>
  <c r="U783" i="13" s="1"/>
  <c r="J629" i="13"/>
  <c r="J911" i="13"/>
  <c r="J604" i="13"/>
  <c r="J785" i="13"/>
  <c r="U785" i="13" s="1"/>
  <c r="J631" i="13"/>
  <c r="J938" i="13"/>
  <c r="J688" i="13"/>
  <c r="J842" i="13"/>
  <c r="U842" i="13" s="1"/>
  <c r="J995" i="13"/>
  <c r="J867" i="13"/>
  <c r="U867" i="13" s="1"/>
  <c r="J713" i="13"/>
  <c r="J1020" i="13"/>
  <c r="J694" i="13"/>
  <c r="J848" i="13"/>
  <c r="U848" i="13" s="1"/>
  <c r="J1001" i="13"/>
  <c r="J1007" i="13"/>
  <c r="J854" i="13"/>
  <c r="U854" i="13" s="1"/>
  <c r="J700" i="13"/>
  <c r="J669" i="13"/>
  <c r="J976" i="13"/>
  <c r="J823" i="13"/>
  <c r="U823" i="13" s="1"/>
  <c r="J849" i="13"/>
  <c r="U849" i="13" s="1"/>
  <c r="J1002" i="13"/>
  <c r="J695" i="13"/>
  <c r="J906" i="13"/>
  <c r="J599" i="13"/>
  <c r="J646" i="13"/>
  <c r="J953" i="13"/>
  <c r="J800" i="13"/>
  <c r="U800" i="13" s="1"/>
  <c r="J994" i="13"/>
  <c r="J687" i="13"/>
  <c r="J841" i="13"/>
  <c r="U841" i="13" s="1"/>
  <c r="J824" i="13"/>
  <c r="U824" i="13" s="1"/>
  <c r="J670" i="13"/>
  <c r="J977" i="13"/>
  <c r="J692" i="13"/>
  <c r="J999" i="13"/>
  <c r="J846" i="13"/>
  <c r="U846" i="13" s="1"/>
  <c r="J667" i="13"/>
  <c r="J974" i="13"/>
  <c r="J821" i="13"/>
  <c r="U821" i="13" s="1"/>
  <c r="J633" i="13"/>
  <c r="J940" i="13"/>
  <c r="J787" i="13"/>
  <c r="U787" i="13" s="1"/>
  <c r="J905" i="13"/>
  <c r="J598" i="13"/>
  <c r="J987" i="13"/>
  <c r="J834" i="13"/>
  <c r="U834" i="13" s="1"/>
  <c r="J680" i="13"/>
  <c r="J645" i="13"/>
  <c r="J799" i="13"/>
  <c r="U799" i="13" s="1"/>
  <c r="J952" i="13"/>
  <c r="J689" i="13"/>
  <c r="J843" i="13"/>
  <c r="U843" i="13" s="1"/>
  <c r="J996" i="13"/>
  <c r="J792" i="13"/>
  <c r="U792" i="13" s="1"/>
  <c r="J638" i="13"/>
  <c r="J945" i="13"/>
  <c r="J975" i="13"/>
  <c r="J822" i="13"/>
  <c r="U822" i="13" s="1"/>
  <c r="J668" i="13"/>
  <c r="J681" i="13"/>
  <c r="J988" i="13"/>
  <c r="J835" i="13"/>
  <c r="U835" i="13" s="1"/>
  <c r="J671" i="13"/>
  <c r="J978" i="13"/>
  <c r="J825" i="13"/>
  <c r="U825" i="13" s="1"/>
  <c r="J901" i="13"/>
  <c r="J594" i="13"/>
  <c r="J710" i="13"/>
  <c r="J1017" i="13"/>
  <c r="J864" i="13"/>
  <c r="U864" i="13" s="1"/>
  <c r="J944" i="13"/>
  <c r="J791" i="13"/>
  <c r="U791" i="13" s="1"/>
  <c r="J637" i="13"/>
  <c r="J810" i="13"/>
  <c r="U810" i="13" s="1"/>
  <c r="J656" i="13"/>
  <c r="J963" i="13"/>
  <c r="J798" i="13"/>
  <c r="U798" i="13" s="1"/>
  <c r="J951" i="13"/>
  <c r="J644" i="13"/>
  <c r="J966" i="13"/>
  <c r="J659" i="13"/>
  <c r="J813" i="13"/>
  <c r="U813" i="13" s="1"/>
  <c r="J912" i="13"/>
  <c r="J605" i="13"/>
  <c r="J970" i="13"/>
  <c r="J817" i="13"/>
  <c r="U817" i="13" s="1"/>
  <c r="J663" i="13"/>
  <c r="J826" i="13"/>
  <c r="U826" i="13" s="1"/>
  <c r="J979" i="13"/>
  <c r="J672" i="13"/>
  <c r="J1179" i="13"/>
  <c r="J985" i="13"/>
  <c r="J678" i="13"/>
  <c r="J832" i="13"/>
  <c r="U832" i="13" s="1"/>
  <c r="J861" i="13"/>
  <c r="U861" i="13" s="1"/>
  <c r="J707" i="13"/>
  <c r="J1014" i="13"/>
  <c r="J684" i="13"/>
  <c r="J838" i="13"/>
  <c r="U838" i="13" s="1"/>
  <c r="J991" i="13"/>
  <c r="J780" i="13"/>
  <c r="U780" i="13" s="1"/>
  <c r="J933" i="13"/>
  <c r="J626" i="13"/>
  <c r="J941" i="13"/>
  <c r="J788" i="13"/>
  <c r="U788" i="13" s="1"/>
  <c r="J634" i="13"/>
  <c r="J972" i="13"/>
  <c r="J665" i="13"/>
  <c r="J819" i="13"/>
  <c r="U819" i="13" s="1"/>
  <c r="J852" i="13"/>
  <c r="U852" i="13" s="1"/>
  <c r="J1005" i="13"/>
  <c r="J698" i="13"/>
  <c r="J818" i="13"/>
  <c r="U818" i="13" s="1"/>
  <c r="J664" i="13"/>
  <c r="J971" i="13"/>
  <c r="J997" i="13"/>
  <c r="J690" i="13"/>
  <c r="J844" i="13"/>
  <c r="U844" i="13" s="1"/>
  <c r="J786" i="13"/>
  <c r="U786" i="13" s="1"/>
  <c r="J939" i="13"/>
  <c r="J632" i="13"/>
  <c r="J948" i="13"/>
  <c r="J795" i="13"/>
  <c r="U795" i="13" s="1"/>
  <c r="J641" i="13"/>
  <c r="J855" i="13"/>
  <c r="U855" i="13" s="1"/>
  <c r="J1008" i="13"/>
  <c r="J701" i="13"/>
  <c r="J865" i="13"/>
  <c r="U865" i="13" s="1"/>
  <c r="J1018" i="13"/>
  <c r="J711" i="13"/>
  <c r="J1013" i="13"/>
  <c r="J706" i="13"/>
  <c r="J860" i="13"/>
  <c r="U860" i="13" s="1"/>
  <c r="J831" i="13"/>
  <c r="U831" i="13" s="1"/>
  <c r="J984" i="13"/>
  <c r="J677" i="13"/>
  <c r="J962" i="13"/>
  <c r="J655" i="13"/>
  <c r="J809" i="13"/>
  <c r="U809" i="13" s="1"/>
  <c r="J647" i="13"/>
  <c r="J801" i="13"/>
  <c r="U801" i="13" s="1"/>
  <c r="J954" i="13"/>
  <c r="J776" i="13"/>
  <c r="U776" i="13" s="1"/>
  <c r="J622" i="13"/>
  <c r="J929" i="13"/>
  <c r="J418" i="13"/>
  <c r="J958" i="13"/>
  <c r="J805" i="13"/>
  <c r="U805" i="13" s="1"/>
  <c r="J651" i="13"/>
  <c r="J1019" i="13"/>
  <c r="J712" i="13"/>
  <c r="J866" i="13"/>
  <c r="U866" i="13" s="1"/>
  <c r="J930" i="13"/>
  <c r="J777" i="13"/>
  <c r="U777" i="13" s="1"/>
  <c r="J623" i="13"/>
  <c r="J600" i="13"/>
  <c r="J907" i="13"/>
  <c r="J602" i="13"/>
  <c r="J909" i="13"/>
  <c r="J859" i="13"/>
  <c r="U859" i="13" s="1"/>
  <c r="J1012" i="13"/>
  <c r="J705" i="13"/>
  <c r="J601" i="13"/>
  <c r="J908" i="13"/>
  <c r="J947" i="13"/>
  <c r="J794" i="13"/>
  <c r="U794" i="13" s="1"/>
  <c r="J640" i="13"/>
  <c r="J661" i="13"/>
  <c r="J968" i="13"/>
  <c r="J815" i="13"/>
  <c r="U815" i="13" s="1"/>
  <c r="J699" i="13"/>
  <c r="J853" i="13"/>
  <c r="U853" i="13" s="1"/>
  <c r="J1006" i="13"/>
  <c r="J702" i="13"/>
  <c r="J856" i="13"/>
  <c r="U856" i="13" s="1"/>
  <c r="J1009" i="13"/>
  <c r="J708" i="13"/>
  <c r="J1015" i="13"/>
  <c r="J862" i="13"/>
  <c r="U862" i="13" s="1"/>
  <c r="J957" i="13"/>
  <c r="J650" i="13"/>
  <c r="J804" i="13"/>
  <c r="U804" i="13" s="1"/>
  <c r="J662" i="13"/>
  <c r="J969" i="13"/>
  <c r="J816" i="13"/>
  <c r="U816" i="13" s="1"/>
  <c r="J990" i="13"/>
  <c r="J683" i="13"/>
  <c r="J837" i="13"/>
  <c r="U837" i="13" s="1"/>
  <c r="J935" i="13"/>
  <c r="J628" i="13"/>
  <c r="J782" i="13"/>
  <c r="U782" i="13" s="1"/>
  <c r="J652" i="13"/>
  <c r="J806" i="13"/>
  <c r="U806" i="13" s="1"/>
  <c r="J959" i="13"/>
  <c r="J965" i="13"/>
  <c r="J658" i="13"/>
  <c r="J812" i="13"/>
  <c r="U812" i="13" s="1"/>
  <c r="H1026" i="13"/>
  <c r="H719" i="13"/>
  <c r="K1081" i="13" l="1"/>
  <c r="K1182" i="13" s="1"/>
  <c r="F100" i="38"/>
  <c r="P100" i="38"/>
  <c r="O100" i="38"/>
  <c r="L100" i="38"/>
  <c r="M100" i="38"/>
  <c r="I100" i="38"/>
  <c r="J100" i="38"/>
  <c r="D43" i="38"/>
  <c r="C43" i="38" s="1"/>
  <c r="J1237" i="13"/>
  <c r="J1338" i="13" s="1"/>
  <c r="J1341" i="13" s="1"/>
  <c r="K1338" i="13"/>
  <c r="J101" i="13"/>
  <c r="J1398" i="13" s="1"/>
  <c r="I914" i="13"/>
  <c r="I1026" i="13" s="1"/>
  <c r="B35" i="38"/>
  <c r="C283" i="13"/>
  <c r="U735" i="13"/>
  <c r="T736" i="13"/>
  <c r="I421" i="13"/>
  <c r="T874" i="13" s="1"/>
  <c r="T737" i="13"/>
  <c r="C278" i="13"/>
  <c r="F278" i="13"/>
  <c r="J279" i="13"/>
  <c r="U731" i="13" s="1"/>
  <c r="U730" i="13"/>
  <c r="S870" i="13"/>
  <c r="S871" i="13"/>
  <c r="S872" i="13" s="1"/>
  <c r="U739" i="13"/>
  <c r="J748" i="13"/>
  <c r="J118" i="18"/>
  <c r="H873" i="13"/>
  <c r="S875" i="13" s="1"/>
  <c r="I772" i="13"/>
  <c r="T772" i="13" s="1"/>
  <c r="J760" i="13"/>
  <c r="H30" i="18"/>
  <c r="J124" i="18"/>
  <c r="J104" i="18"/>
  <c r="J119" i="18"/>
  <c r="J101" i="18"/>
  <c r="J106" i="18"/>
  <c r="J99" i="18"/>
  <c r="J120" i="18"/>
  <c r="J102" i="18"/>
  <c r="J95" i="18"/>
  <c r="K59" i="18"/>
  <c r="K118" i="18" s="1"/>
  <c r="J109" i="18"/>
  <c r="J108" i="18"/>
  <c r="J105" i="18"/>
  <c r="J96" i="18"/>
  <c r="J98" i="18"/>
  <c r="J123" i="18"/>
  <c r="J97" i="18"/>
  <c r="J122" i="18"/>
  <c r="J100" i="18"/>
  <c r="J94" i="18"/>
  <c r="J116" i="18"/>
  <c r="J111" i="18"/>
  <c r="J107" i="18"/>
  <c r="J110" i="18"/>
  <c r="J34" i="18"/>
  <c r="C142" i="18"/>
  <c r="C150" i="18" s="1"/>
  <c r="K268" i="13"/>
  <c r="K101" i="13"/>
  <c r="K1398" i="13" s="1"/>
  <c r="M1409" i="13"/>
  <c r="M1408" i="13"/>
  <c r="M1411" i="13"/>
  <c r="M50" i="34"/>
  <c r="M29" i="34"/>
  <c r="M23" i="34"/>
  <c r="M47" i="34"/>
  <c r="C16" i="18"/>
  <c r="I30" i="18"/>
  <c r="K12" i="18"/>
  <c r="M1372" i="13"/>
  <c r="J268" i="13"/>
  <c r="C297" i="13"/>
  <c r="J1023" i="13"/>
  <c r="I870" i="13"/>
  <c r="I716" i="13"/>
  <c r="C321" i="13"/>
  <c r="J619" i="13"/>
  <c r="J716" i="13" s="1"/>
  <c r="C309" i="13"/>
  <c r="J1081" i="13"/>
  <c r="J1182" i="13" s="1"/>
  <c r="I18" i="18"/>
  <c r="I32" i="18" s="1"/>
  <c r="I607" i="13"/>
  <c r="C15" i="18"/>
  <c r="J595" i="13"/>
  <c r="J607" i="13" s="1"/>
  <c r="J902" i="13"/>
  <c r="J914" i="13" s="1"/>
  <c r="H1370" i="13"/>
  <c r="B38" i="38" s="1"/>
  <c r="C418" i="13"/>
  <c r="D30" i="38"/>
  <c r="D94" i="38" s="1"/>
  <c r="C15" i="38"/>
  <c r="K31" i="18"/>
  <c r="K18" i="18"/>
  <c r="M32" i="34"/>
  <c r="J13" i="18"/>
  <c r="J39" i="18" s="1"/>
  <c r="J32" i="18"/>
  <c r="J19" i="18"/>
  <c r="J23" i="18"/>
  <c r="J26" i="18"/>
  <c r="C17" i="18"/>
  <c r="I103" i="13"/>
  <c r="F18" i="18"/>
  <c r="C68" i="18"/>
  <c r="C157" i="18"/>
  <c r="E95" i="38"/>
  <c r="E99" i="38"/>
  <c r="E96" i="38"/>
  <c r="E97" i="38"/>
  <c r="N100" i="38"/>
  <c r="E94" i="38"/>
  <c r="H100" i="38"/>
  <c r="K100" i="38"/>
  <c r="H123" i="18"/>
  <c r="H124" i="18"/>
  <c r="H122" i="18"/>
  <c r="H116" i="18"/>
  <c r="H120" i="18"/>
  <c r="H119" i="18"/>
  <c r="H118" i="18"/>
  <c r="H31" i="18"/>
  <c r="J285" i="13"/>
  <c r="J421" i="13" s="1"/>
  <c r="U874" i="13" s="1"/>
  <c r="G26" i="18"/>
  <c r="G32" i="18"/>
  <c r="G19" i="18"/>
  <c r="H22" i="18"/>
  <c r="C22" i="18" s="1"/>
  <c r="H27" i="18"/>
  <c r="C27" i="18" s="1"/>
  <c r="H25" i="18"/>
  <c r="C25" i="18" s="1"/>
  <c r="H28" i="18"/>
  <c r="C28" i="18" s="1"/>
  <c r="H18" i="18"/>
  <c r="H32" i="18" s="1"/>
  <c r="H95" i="18"/>
  <c r="H34" i="18"/>
  <c r="C59" i="18"/>
  <c r="D73" i="18" s="1"/>
  <c r="H111" i="18"/>
  <c r="H103" i="18"/>
  <c r="H107" i="18"/>
  <c r="H105" i="18"/>
  <c r="H109" i="18"/>
  <c r="H110" i="18"/>
  <c r="H104" i="18"/>
  <c r="H102" i="18"/>
  <c r="H98" i="18"/>
  <c r="H96" i="18"/>
  <c r="H100" i="18"/>
  <c r="H108" i="18"/>
  <c r="H99" i="18"/>
  <c r="H106" i="18"/>
  <c r="H97" i="18"/>
  <c r="H101" i="18"/>
  <c r="H94" i="18"/>
  <c r="E31" i="38"/>
  <c r="F31" i="38" s="1"/>
  <c r="G31" i="38" s="1"/>
  <c r="H31" i="38" s="1"/>
  <c r="I31" i="38" s="1"/>
  <c r="J31" i="38" s="1"/>
  <c r="K31" i="38" s="1"/>
  <c r="L31" i="38" s="1"/>
  <c r="M31" i="38" s="1"/>
  <c r="N31" i="38" s="1"/>
  <c r="O31" i="38" s="1"/>
  <c r="P31" i="38" s="1"/>
  <c r="E93" i="38"/>
  <c r="E92" i="38"/>
  <c r="E91" i="38"/>
  <c r="E90" i="38"/>
  <c r="E89" i="38"/>
  <c r="E88" i="38"/>
  <c r="E86" i="38"/>
  <c r="E85" i="38"/>
  <c r="E87" i="38"/>
  <c r="E84" i="38"/>
  <c r="J583" i="13"/>
  <c r="J736" i="13"/>
  <c r="J890" i="13"/>
  <c r="D47" i="38"/>
  <c r="C47" i="38" s="1"/>
  <c r="J566" i="13"/>
  <c r="N35" i="38" l="1"/>
  <c r="G35" i="38"/>
  <c r="O35" i="38"/>
  <c r="F35" i="38"/>
  <c r="H35" i="38"/>
  <c r="P35" i="38"/>
  <c r="I35" i="38"/>
  <c r="J35" i="38"/>
  <c r="L35" i="38"/>
  <c r="M35" i="38"/>
  <c r="K35" i="38"/>
  <c r="L38" i="38"/>
  <c r="O38" i="38"/>
  <c r="M38" i="38"/>
  <c r="H38" i="38"/>
  <c r="I38" i="38"/>
  <c r="F38" i="38"/>
  <c r="N38" i="38"/>
  <c r="G38" i="38"/>
  <c r="E38" i="38"/>
  <c r="J38" i="38"/>
  <c r="K38" i="38"/>
  <c r="P38" i="38"/>
  <c r="J103" i="13"/>
  <c r="J50" i="34" s="1"/>
  <c r="K1341" i="13"/>
  <c r="K1343" i="13" s="1"/>
  <c r="K1344" i="13" s="1"/>
  <c r="I1370" i="13"/>
  <c r="T871" i="13"/>
  <c r="T872" i="13" s="1"/>
  <c r="I873" i="13"/>
  <c r="U748" i="13"/>
  <c r="J737" i="13"/>
  <c r="U737" i="13" s="1"/>
  <c r="U736" i="13"/>
  <c r="C30" i="18"/>
  <c r="T870" i="13"/>
  <c r="J772" i="13"/>
  <c r="U772" i="13" s="1"/>
  <c r="U760" i="13"/>
  <c r="H1343" i="13"/>
  <c r="H1344" i="13" s="1"/>
  <c r="S873" i="13"/>
  <c r="K103" i="13"/>
  <c r="K1408" i="13" s="1"/>
  <c r="K102" i="18"/>
  <c r="K119" i="18"/>
  <c r="K124" i="18"/>
  <c r="K104" i="18"/>
  <c r="K96" i="18"/>
  <c r="K100" i="18"/>
  <c r="K120" i="18"/>
  <c r="K105" i="18"/>
  <c r="K106" i="18"/>
  <c r="K34" i="18"/>
  <c r="C34" i="18" s="1"/>
  <c r="K94" i="18"/>
  <c r="K97" i="18"/>
  <c r="K111" i="18"/>
  <c r="K101" i="18"/>
  <c r="K110" i="18"/>
  <c r="K122" i="18"/>
  <c r="K107" i="18"/>
  <c r="K99" i="18"/>
  <c r="K116" i="18"/>
  <c r="K123" i="18"/>
  <c r="K109" i="18"/>
  <c r="K108" i="18"/>
  <c r="K98" i="18"/>
  <c r="K95" i="18"/>
  <c r="K103" i="18"/>
  <c r="I1372" i="13"/>
  <c r="I1409" i="13"/>
  <c r="I1408" i="13"/>
  <c r="I50" i="34"/>
  <c r="I719" i="13"/>
  <c r="D87" i="38"/>
  <c r="D95" i="38"/>
  <c r="J870" i="13"/>
  <c r="U871" i="13" s="1"/>
  <c r="U872" i="13" s="1"/>
  <c r="C29" i="18"/>
  <c r="I26" i="18"/>
  <c r="I23" i="18"/>
  <c r="I19" i="18"/>
  <c r="G12" i="18"/>
  <c r="D99" i="38"/>
  <c r="D92" i="38"/>
  <c r="D91" i="38"/>
  <c r="D93" i="38"/>
  <c r="P32" i="38"/>
  <c r="D86" i="38"/>
  <c r="D90" i="38"/>
  <c r="C30" i="38"/>
  <c r="C31" i="38" s="1"/>
  <c r="D98" i="38"/>
  <c r="D88" i="38"/>
  <c r="D84" i="38"/>
  <c r="D97" i="38"/>
  <c r="D89" i="38"/>
  <c r="D85" i="38"/>
  <c r="D96" i="38"/>
  <c r="L1588" i="13"/>
  <c r="J62" i="18" s="1"/>
  <c r="K13" i="18"/>
  <c r="K39" i="18" s="1"/>
  <c r="M1588" i="13"/>
  <c r="K62" i="18" s="1"/>
  <c r="K26" i="18"/>
  <c r="K19" i="18"/>
  <c r="K32" i="18"/>
  <c r="K23" i="18"/>
  <c r="C31" i="18"/>
  <c r="F32" i="18"/>
  <c r="F23" i="18"/>
  <c r="F26" i="18"/>
  <c r="F19" i="18"/>
  <c r="I32" i="34"/>
  <c r="D70" i="18"/>
  <c r="D67" i="18"/>
  <c r="C18" i="18"/>
  <c r="K101" i="38"/>
  <c r="H101" i="38"/>
  <c r="G101" i="38"/>
  <c r="F101" i="38"/>
  <c r="E100" i="38"/>
  <c r="I101" i="38"/>
  <c r="M101" i="38"/>
  <c r="E101" i="38"/>
  <c r="L101" i="38"/>
  <c r="J101" i="38"/>
  <c r="P101" i="38"/>
  <c r="O101" i="38"/>
  <c r="N101" i="38"/>
  <c r="C124" i="18"/>
  <c r="C123" i="18"/>
  <c r="C122" i="18"/>
  <c r="C116" i="18"/>
  <c r="C119" i="18"/>
  <c r="C118" i="18"/>
  <c r="C120" i="18"/>
  <c r="C285" i="13"/>
  <c r="G32" i="38"/>
  <c r="L32" i="38"/>
  <c r="F32" i="38"/>
  <c r="H23" i="18"/>
  <c r="H26" i="18"/>
  <c r="H19" i="18"/>
  <c r="C95" i="18"/>
  <c r="D95" i="18" s="1"/>
  <c r="J32" i="38"/>
  <c r="K32" i="38"/>
  <c r="I32" i="38"/>
  <c r="N32" i="38"/>
  <c r="O32" i="38"/>
  <c r="M32" i="38"/>
  <c r="E32" i="38"/>
  <c r="H32" i="38"/>
  <c r="D66" i="18"/>
  <c r="C111" i="18"/>
  <c r="D111" i="18" s="1"/>
  <c r="D59" i="18"/>
  <c r="C103" i="18"/>
  <c r="D103" i="18" s="1"/>
  <c r="D51" i="18"/>
  <c r="C107" i="18"/>
  <c r="D107" i="18" s="1"/>
  <c r="D55" i="18"/>
  <c r="C105" i="18"/>
  <c r="D105" i="18" s="1"/>
  <c r="D52" i="18"/>
  <c r="D53" i="18"/>
  <c r="C110" i="18"/>
  <c r="D110" i="18" s="1"/>
  <c r="D58" i="18"/>
  <c r="C109" i="18"/>
  <c r="D109" i="18" s="1"/>
  <c r="C104" i="18"/>
  <c r="D104" i="18" s="1"/>
  <c r="D57" i="18"/>
  <c r="C99" i="18"/>
  <c r="D99" i="18" s="1"/>
  <c r="C102" i="18"/>
  <c r="D102" i="18" s="1"/>
  <c r="C98" i="18"/>
  <c r="D98" i="18" s="1"/>
  <c r="D46" i="18"/>
  <c r="D49" i="18"/>
  <c r="D45" i="18"/>
  <c r="C96" i="18"/>
  <c r="D96" i="18" s="1"/>
  <c r="C108" i="18"/>
  <c r="D108" i="18" s="1"/>
  <c r="D50" i="18"/>
  <c r="D56" i="18"/>
  <c r="C100" i="18"/>
  <c r="D100" i="18" s="1"/>
  <c r="D47" i="18"/>
  <c r="C101" i="18"/>
  <c r="D101" i="18" s="1"/>
  <c r="C97" i="18"/>
  <c r="D97" i="18" s="1"/>
  <c r="C106" i="18"/>
  <c r="D106" i="18" s="1"/>
  <c r="D48" i="18"/>
  <c r="D44" i="18"/>
  <c r="D54" i="18"/>
  <c r="D69" i="18"/>
  <c r="C94" i="18"/>
  <c r="D94" i="18" s="1"/>
  <c r="D42" i="18"/>
  <c r="D43" i="18"/>
  <c r="J1026" i="13"/>
  <c r="J719" i="13"/>
  <c r="J23" i="34" l="1"/>
  <c r="M24" i="34" s="1"/>
  <c r="P139" i="38"/>
  <c r="J47" i="34"/>
  <c r="M48" i="34" s="1"/>
  <c r="J1411" i="13"/>
  <c r="J1372" i="13"/>
  <c r="J1408" i="13"/>
  <c r="H12" i="18"/>
  <c r="H13" i="18" s="1"/>
  <c r="H39" i="18" s="1"/>
  <c r="J1409" i="13"/>
  <c r="J29" i="34"/>
  <c r="M30" i="34" s="1"/>
  <c r="J32" i="34"/>
  <c r="D38" i="38"/>
  <c r="C38" i="38" s="1"/>
  <c r="D35" i="38"/>
  <c r="C35" i="38" s="1"/>
  <c r="J873" i="13"/>
  <c r="T873" i="13"/>
  <c r="T875" i="13"/>
  <c r="T876" i="13" s="1"/>
  <c r="S876" i="13"/>
  <c r="V876" i="13"/>
  <c r="X876" i="13"/>
  <c r="W876" i="13"/>
  <c r="B36" i="38"/>
  <c r="U870" i="13"/>
  <c r="L23" i="34"/>
  <c r="L29" i="34"/>
  <c r="K32" i="34"/>
  <c r="I12" i="18"/>
  <c r="I13" i="18" s="1"/>
  <c r="I39" i="18" s="1"/>
  <c r="K23" i="34"/>
  <c r="K1409" i="13"/>
  <c r="K29" i="34"/>
  <c r="L47" i="34"/>
  <c r="K50" i="34"/>
  <c r="K1411" i="13"/>
  <c r="K1372" i="13"/>
  <c r="K1588" i="13" s="1"/>
  <c r="I62" i="18" s="1"/>
  <c r="I153" i="18" s="1"/>
  <c r="L1411" i="13"/>
  <c r="K47" i="34"/>
  <c r="I1343" i="13"/>
  <c r="I1588" i="13" s="1"/>
  <c r="G62" i="18" s="1"/>
  <c r="N139" i="38"/>
  <c r="M139" i="38"/>
  <c r="J137" i="38"/>
  <c r="K137" i="38"/>
  <c r="E137" i="38"/>
  <c r="I137" i="38"/>
  <c r="O139" i="38"/>
  <c r="N137" i="38"/>
  <c r="G139" i="38"/>
  <c r="O137" i="38"/>
  <c r="H139" i="38"/>
  <c r="L137" i="38"/>
  <c r="E139" i="38"/>
  <c r="M137" i="38"/>
  <c r="F139" i="38"/>
  <c r="H137" i="38"/>
  <c r="K139" i="38"/>
  <c r="L139" i="38"/>
  <c r="G13" i="18"/>
  <c r="G39" i="18" s="1"/>
  <c r="P137" i="38"/>
  <c r="I139" i="38"/>
  <c r="J139" i="38"/>
  <c r="F137" i="38"/>
  <c r="G137" i="38"/>
  <c r="C32" i="18"/>
  <c r="D100" i="38"/>
  <c r="C23" i="18"/>
  <c r="J153" i="18"/>
  <c r="J114" i="18"/>
  <c r="C26" i="18"/>
  <c r="C19" i="18"/>
  <c r="J1370" i="13"/>
  <c r="C1370" i="13" s="1"/>
  <c r="C421" i="13"/>
  <c r="D68" i="18"/>
  <c r="K36" i="38" l="1"/>
  <c r="E36" i="38"/>
  <c r="L36" i="38"/>
  <c r="M36" i="38"/>
  <c r="N36" i="38"/>
  <c r="O36" i="38"/>
  <c r="H36" i="38"/>
  <c r="P36" i="38"/>
  <c r="I36" i="38"/>
  <c r="G36" i="38"/>
  <c r="J36" i="38"/>
  <c r="F36" i="38"/>
  <c r="U873" i="13"/>
  <c r="U875" i="13"/>
  <c r="U876" i="13" s="1"/>
  <c r="J1343" i="13"/>
  <c r="J1588" i="13" s="1"/>
  <c r="H62" i="18" s="1"/>
  <c r="I114" i="18"/>
  <c r="I1344" i="13"/>
  <c r="K153" i="18"/>
  <c r="K114" i="18"/>
  <c r="G114" i="18"/>
  <c r="G153" i="18"/>
  <c r="H136" i="38" l="1"/>
  <c r="H138" i="38"/>
  <c r="N136" i="38"/>
  <c r="N138" i="38"/>
  <c r="E136" i="38"/>
  <c r="E138" i="38"/>
  <c r="K136" i="38"/>
  <c r="K138" i="38"/>
  <c r="J1344" i="13"/>
  <c r="H114" i="18"/>
  <c r="H153" i="18"/>
  <c r="C129" i="18" l="1"/>
  <c r="K63" i="18" l="1"/>
  <c r="K154" i="18" s="1"/>
  <c r="H63" i="18"/>
  <c r="H154" i="18" s="1"/>
  <c r="I63" i="18"/>
  <c r="I115" i="18" s="1"/>
  <c r="J63" i="18"/>
  <c r="J115" i="18" s="1"/>
  <c r="F63" i="18"/>
  <c r="F115" i="18" s="1"/>
  <c r="G63" i="18"/>
  <c r="G115" i="18" s="1"/>
  <c r="G154" i="18" l="1"/>
  <c r="J154" i="18"/>
  <c r="H115" i="18"/>
  <c r="I154" i="18"/>
  <c r="K115" i="18"/>
  <c r="F154" i="18"/>
  <c r="C63" i="18"/>
  <c r="C115" i="18" l="1"/>
  <c r="D63" i="18"/>
  <c r="C154" i="18"/>
  <c r="G1081" i="13" l="1"/>
  <c r="G1182" i="13" s="1"/>
  <c r="G772" i="13"/>
  <c r="G873" i="13" s="1"/>
  <c r="E18" i="18"/>
  <c r="E23" i="18" s="1"/>
  <c r="G912" i="13" l="1"/>
  <c r="G914" i="13" s="1"/>
  <c r="H103" i="13"/>
  <c r="G607" i="13"/>
  <c r="G719" i="13" s="1"/>
  <c r="I51" i="34" l="1"/>
  <c r="H1410" i="13"/>
  <c r="H1409" i="13"/>
  <c r="H1408" i="13"/>
  <c r="H1411" i="13"/>
  <c r="H29" i="34"/>
  <c r="H50" i="34"/>
  <c r="H51" i="34"/>
  <c r="H53" i="34" s="1"/>
  <c r="H47" i="34"/>
  <c r="H23" i="34"/>
  <c r="I1411" i="13"/>
  <c r="I29" i="34"/>
  <c r="L30" i="34" s="1"/>
  <c r="I47" i="34"/>
  <c r="L48" i="34" s="1"/>
  <c r="I23" i="34"/>
  <c r="F12" i="18"/>
  <c r="F13" i="18" s="1"/>
  <c r="H1372" i="13"/>
  <c r="E13" i="18"/>
  <c r="H32" i="34"/>
  <c r="L1379" i="13" l="1"/>
  <c r="M1379" i="13"/>
  <c r="I1379" i="13"/>
  <c r="J1379" i="13"/>
  <c r="K1379" i="13"/>
  <c r="H1379" i="13"/>
  <c r="H1418" i="13" s="1"/>
  <c r="H1419" i="13" s="1"/>
  <c r="L1410" i="13"/>
  <c r="M1410" i="13"/>
  <c r="I1410" i="13"/>
  <c r="J1410" i="13"/>
  <c r="K1410" i="13"/>
  <c r="M51" i="34"/>
  <c r="M54" i="34" s="1"/>
  <c r="J51" i="34"/>
  <c r="J54" i="34" s="1"/>
  <c r="K51" i="34"/>
  <c r="L51" i="34"/>
  <c r="I53" i="34"/>
  <c r="H25" i="34"/>
  <c r="I25" i="34" s="1"/>
  <c r="J25" i="34" s="1"/>
  <c r="K24" i="34"/>
  <c r="H31" i="34"/>
  <c r="I31" i="34" s="1"/>
  <c r="J31" i="34" s="1"/>
  <c r="K30" i="34"/>
  <c r="L24" i="34"/>
  <c r="I54" i="34"/>
  <c r="C12" i="18"/>
  <c r="H1588" i="13"/>
  <c r="F62" i="18" s="1"/>
  <c r="B39" i="38"/>
  <c r="F39" i="18"/>
  <c r="C39" i="18" s="1"/>
  <c r="C13" i="18"/>
  <c r="K48" i="34"/>
  <c r="H49" i="34"/>
  <c r="I49" i="34" s="1"/>
  <c r="H54" i="34"/>
  <c r="B53" i="38" s="1"/>
  <c r="C1372" i="13"/>
  <c r="J53" i="34" l="1"/>
  <c r="K53" i="34" s="1"/>
  <c r="L53" i="34" s="1"/>
  <c r="M53" i="34" s="1"/>
  <c r="J39" i="38"/>
  <c r="K39" i="38"/>
  <c r="L39" i="38"/>
  <c r="E39" i="38"/>
  <c r="M39" i="38"/>
  <c r="F39" i="38"/>
  <c r="N39" i="38"/>
  <c r="G39" i="38"/>
  <c r="O39" i="38"/>
  <c r="H39" i="38"/>
  <c r="P39" i="38"/>
  <c r="I39" i="38"/>
  <c r="F53" i="38"/>
  <c r="G53" i="38"/>
  <c r="E53" i="38"/>
  <c r="J1418" i="13"/>
  <c r="J1419" i="13" s="1"/>
  <c r="I1418" i="13"/>
  <c r="I1419" i="13" s="1"/>
  <c r="M1418" i="13"/>
  <c r="L54" i="34"/>
  <c r="K1418" i="13"/>
  <c r="L1418" i="13"/>
  <c r="H1437" i="13"/>
  <c r="H1592" i="13" s="1"/>
  <c r="B40" i="38"/>
  <c r="K54" i="34"/>
  <c r="K25" i="34"/>
  <c r="L25" i="34" s="1"/>
  <c r="M25" i="34" s="1"/>
  <c r="K31" i="34"/>
  <c r="L31" i="34" s="1"/>
  <c r="M31" i="34" s="1"/>
  <c r="F114" i="18"/>
  <c r="F153" i="18"/>
  <c r="C153" i="18" s="1"/>
  <c r="H55" i="34"/>
  <c r="I55" i="34"/>
  <c r="I56" i="34" s="1"/>
  <c r="J49" i="34"/>
  <c r="G40" i="38" l="1"/>
  <c r="O40" i="38"/>
  <c r="H40" i="38"/>
  <c r="H55" i="38" s="1"/>
  <c r="H110" i="38" s="1"/>
  <c r="P40" i="38"/>
  <c r="I40" i="38"/>
  <c r="E40" i="38"/>
  <c r="J40" i="38"/>
  <c r="M40" i="38"/>
  <c r="K40" i="38"/>
  <c r="K55" i="38" s="1"/>
  <c r="K110" i="38" s="1"/>
  <c r="L40" i="38"/>
  <c r="F40" i="38"/>
  <c r="N40" i="38"/>
  <c r="N55" i="38" s="1"/>
  <c r="N110" i="38" s="1"/>
  <c r="D39" i="38"/>
  <c r="C39" i="38" s="1"/>
  <c r="D53" i="38"/>
  <c r="J1437" i="13"/>
  <c r="J1592" i="13" s="1"/>
  <c r="I1437" i="13"/>
  <c r="I1585" i="13" s="1"/>
  <c r="I1591" i="13" s="1"/>
  <c r="F64" i="18"/>
  <c r="F117" i="18" s="1"/>
  <c r="D54" i="34"/>
  <c r="K1437" i="13"/>
  <c r="K1419" i="13"/>
  <c r="L1437" i="13"/>
  <c r="L1419" i="13"/>
  <c r="M1419" i="13"/>
  <c r="M1437" i="13"/>
  <c r="H1585" i="13"/>
  <c r="H1591" i="13" s="1"/>
  <c r="H1594" i="13" s="1"/>
  <c r="H1595" i="13" s="1"/>
  <c r="F125" i="18"/>
  <c r="H56" i="34"/>
  <c r="F65" i="18"/>
  <c r="F160" i="18" s="1"/>
  <c r="E129" i="18"/>
  <c r="G65" i="18"/>
  <c r="J55" i="34"/>
  <c r="J56" i="34" s="1"/>
  <c r="K49" i="34"/>
  <c r="D40" i="38" l="1"/>
  <c r="C40" i="38" s="1"/>
  <c r="E55" i="38"/>
  <c r="E122" i="38" s="1"/>
  <c r="K123" i="38"/>
  <c r="K115" i="38"/>
  <c r="K112" i="38"/>
  <c r="K56" i="38"/>
  <c r="K73" i="38" s="1"/>
  <c r="K130" i="38" s="1"/>
  <c r="K116" i="38"/>
  <c r="K124" i="38"/>
  <c r="K108" i="38"/>
  <c r="K119" i="38"/>
  <c r="K117" i="38"/>
  <c r="K114" i="38"/>
  <c r="K121" i="38"/>
  <c r="K111" i="38"/>
  <c r="K109" i="38"/>
  <c r="K118" i="38"/>
  <c r="K107" i="38"/>
  <c r="K120" i="38"/>
  <c r="K106" i="38"/>
  <c r="K122" i="38"/>
  <c r="K113" i="38"/>
  <c r="H117" i="38"/>
  <c r="H106" i="38"/>
  <c r="H116" i="38"/>
  <c r="H121" i="38"/>
  <c r="H112" i="38"/>
  <c r="H56" i="38"/>
  <c r="H73" i="38" s="1"/>
  <c r="H130" i="38" s="1"/>
  <c r="H122" i="38"/>
  <c r="H120" i="38"/>
  <c r="H119" i="38"/>
  <c r="H124" i="38"/>
  <c r="H114" i="38"/>
  <c r="H108" i="38"/>
  <c r="H113" i="38"/>
  <c r="H111" i="38"/>
  <c r="H123" i="38"/>
  <c r="H107" i="38"/>
  <c r="H109" i="38"/>
  <c r="H115" i="38"/>
  <c r="H118" i="38"/>
  <c r="N119" i="38"/>
  <c r="N111" i="38"/>
  <c r="N108" i="38"/>
  <c r="N109" i="38"/>
  <c r="N112" i="38"/>
  <c r="N118" i="38"/>
  <c r="N106" i="38"/>
  <c r="N117" i="38"/>
  <c r="N115" i="38"/>
  <c r="N120" i="38"/>
  <c r="N122" i="38"/>
  <c r="N107" i="38"/>
  <c r="N124" i="38"/>
  <c r="N116" i="38"/>
  <c r="N56" i="38"/>
  <c r="N73" i="38" s="1"/>
  <c r="N130" i="38" s="1"/>
  <c r="N123" i="38"/>
  <c r="N113" i="38"/>
  <c r="N121" i="38"/>
  <c r="N114" i="38"/>
  <c r="J1585" i="13"/>
  <c r="J1591" i="13" s="1"/>
  <c r="J1594" i="13" s="1"/>
  <c r="J1595" i="13" s="1"/>
  <c r="H64" i="18"/>
  <c r="H156" i="18" s="1"/>
  <c r="F156" i="18"/>
  <c r="I1592" i="13"/>
  <c r="I1594" i="13" s="1"/>
  <c r="I1595" i="13" s="1"/>
  <c r="G64" i="18"/>
  <c r="G75" i="18" s="1"/>
  <c r="K1592" i="13"/>
  <c r="K1585" i="13"/>
  <c r="K1591" i="13" s="1"/>
  <c r="I64" i="18"/>
  <c r="C1437" i="13"/>
  <c r="L1592" i="13"/>
  <c r="L1585" i="13"/>
  <c r="L1591" i="13" s="1"/>
  <c r="J64" i="18"/>
  <c r="K64" i="18"/>
  <c r="M1585" i="13"/>
  <c r="M1591" i="13" s="1"/>
  <c r="M1592" i="13"/>
  <c r="F164" i="18"/>
  <c r="C53" i="38"/>
  <c r="B55" i="38"/>
  <c r="F75" i="18"/>
  <c r="F35" i="18" s="1"/>
  <c r="F15" i="45"/>
  <c r="F121" i="18"/>
  <c r="G15" i="45"/>
  <c r="G121" i="18"/>
  <c r="G160" i="18"/>
  <c r="H65" i="18"/>
  <c r="K55" i="34"/>
  <c r="K56" i="34" s="1"/>
  <c r="L49" i="34"/>
  <c r="G164" i="18"/>
  <c r="G125" i="18"/>
  <c r="E118" i="38" l="1"/>
  <c r="E111" i="38"/>
  <c r="E123" i="38"/>
  <c r="E116" i="38"/>
  <c r="E110" i="38"/>
  <c r="E121" i="38"/>
  <c r="E119" i="38"/>
  <c r="E120" i="38"/>
  <c r="E114" i="38"/>
  <c r="E107" i="38"/>
  <c r="E117" i="38"/>
  <c r="E108" i="38"/>
  <c r="E57" i="38"/>
  <c r="E113" i="38"/>
  <c r="E112" i="38"/>
  <c r="E56" i="38"/>
  <c r="E73" i="38" s="1"/>
  <c r="E77" i="38" s="1"/>
  <c r="E115" i="38"/>
  <c r="E106" i="38"/>
  <c r="E124" i="38"/>
  <c r="E109" i="38"/>
  <c r="E126" i="38"/>
  <c r="H117" i="18"/>
  <c r="F165" i="18"/>
  <c r="F167" i="18" s="1"/>
  <c r="F170" i="18" s="1"/>
  <c r="G156" i="18"/>
  <c r="G165" i="18" s="1"/>
  <c r="G167" i="18" s="1"/>
  <c r="G117" i="18"/>
  <c r="L1594" i="13"/>
  <c r="L1595" i="13" s="1"/>
  <c r="K1594" i="13"/>
  <c r="K1595" i="13" s="1"/>
  <c r="M1594" i="13"/>
  <c r="M1595" i="13" s="1"/>
  <c r="K117" i="18"/>
  <c r="K156" i="18"/>
  <c r="I156" i="18"/>
  <c r="I117" i="18"/>
  <c r="C64" i="18"/>
  <c r="J117" i="18"/>
  <c r="J156" i="18"/>
  <c r="F77" i="18"/>
  <c r="G77" i="18"/>
  <c r="G35" i="18"/>
  <c r="G36" i="18" s="1"/>
  <c r="H75" i="18"/>
  <c r="I65" i="18"/>
  <c r="H15" i="45"/>
  <c r="H160" i="18"/>
  <c r="H121" i="18"/>
  <c r="H125" i="18"/>
  <c r="H164" i="18"/>
  <c r="M49" i="34"/>
  <c r="M55" i="34" s="1"/>
  <c r="M56" i="34" s="1"/>
  <c r="L55" i="34"/>
  <c r="L56" i="34" s="1"/>
  <c r="E130" i="38" l="1"/>
  <c r="E134" i="38" s="1"/>
  <c r="F132" i="38" s="1"/>
  <c r="F75" i="38"/>
  <c r="E127" i="38"/>
  <c r="F168" i="18"/>
  <c r="F172" i="18"/>
  <c r="D64" i="18"/>
  <c r="C117" i="18"/>
  <c r="C156" i="18"/>
  <c r="F90" i="18"/>
  <c r="D55" i="34"/>
  <c r="H165" i="18"/>
  <c r="H167" i="18" s="1"/>
  <c r="H172" i="18" s="1"/>
  <c r="I75" i="18"/>
  <c r="I35" i="18" s="1"/>
  <c r="I36" i="18" s="1"/>
  <c r="G168" i="18"/>
  <c r="G172" i="18"/>
  <c r="G170" i="18"/>
  <c r="G81" i="18"/>
  <c r="G78" i="18"/>
  <c r="G127" i="18" s="1"/>
  <c r="G88" i="18"/>
  <c r="G89" i="18" s="1"/>
  <c r="G126" i="18"/>
  <c r="H77" i="18"/>
  <c r="H35" i="18"/>
  <c r="H36" i="18" s="1"/>
  <c r="F81" i="18"/>
  <c r="F82" i="18" s="1"/>
  <c r="F126" i="18"/>
  <c r="F88" i="18"/>
  <c r="F89" i="18" s="1"/>
  <c r="F78" i="18"/>
  <c r="F127" i="18" s="1"/>
  <c r="F36" i="18"/>
  <c r="J65" i="18"/>
  <c r="I15" i="45"/>
  <c r="I160" i="18"/>
  <c r="I121" i="18"/>
  <c r="K65" i="18"/>
  <c r="I164" i="18"/>
  <c r="I125" i="18"/>
  <c r="H170" i="18" l="1"/>
  <c r="H168" i="18"/>
  <c r="I77" i="18"/>
  <c r="I78" i="18" s="1"/>
  <c r="I127" i="18" s="1"/>
  <c r="J75" i="18"/>
  <c r="J35" i="18" s="1"/>
  <c r="I165" i="18"/>
  <c r="I167" i="18" s="1"/>
  <c r="F129" i="18"/>
  <c r="G90" i="18"/>
  <c r="H126" i="18"/>
  <c r="H78" i="18"/>
  <c r="H127" i="18" s="1"/>
  <c r="H88" i="18"/>
  <c r="H89" i="18" s="1"/>
  <c r="H81" i="18"/>
  <c r="G82" i="18"/>
  <c r="K164" i="18"/>
  <c r="K125" i="18"/>
  <c r="K160" i="18"/>
  <c r="K121" i="18"/>
  <c r="K15" i="45"/>
  <c r="C65" i="18"/>
  <c r="J164" i="18"/>
  <c r="J125" i="18"/>
  <c r="J121" i="18"/>
  <c r="J160" i="18"/>
  <c r="J15" i="45"/>
  <c r="J165" i="18" l="1"/>
  <c r="J167" i="18" s="1"/>
  <c r="J168" i="18" s="1"/>
  <c r="K168" i="18" s="1"/>
  <c r="I170" i="18"/>
  <c r="I88" i="18"/>
  <c r="I89" i="18" s="1"/>
  <c r="I81" i="18"/>
  <c r="I126" i="18"/>
  <c r="K75" i="18"/>
  <c r="K35" i="18" s="1"/>
  <c r="K36" i="18" s="1"/>
  <c r="H82" i="18"/>
  <c r="K165" i="18"/>
  <c r="J77" i="18"/>
  <c r="H90" i="18"/>
  <c r="G129" i="18"/>
  <c r="J36" i="18"/>
  <c r="I172" i="18"/>
  <c r="I168" i="18"/>
  <c r="C160" i="18"/>
  <c r="C125" i="18"/>
  <c r="C121" i="18"/>
  <c r="D65" i="18"/>
  <c r="C164" i="18"/>
  <c r="J170" i="18" l="1"/>
  <c r="J172" i="18"/>
  <c r="K167" i="18"/>
  <c r="K172" i="18" s="1"/>
  <c r="C35" i="18"/>
  <c r="C36" i="18"/>
  <c r="I82" i="18"/>
  <c r="J81" i="18"/>
  <c r="K77" i="18"/>
  <c r="J88" i="18"/>
  <c r="J89" i="18" s="1"/>
  <c r="J126" i="18"/>
  <c r="J78" i="18"/>
  <c r="J127" i="18" s="1"/>
  <c r="C165" i="18"/>
  <c r="C167" i="18" s="1"/>
  <c r="C170" i="18" s="1"/>
  <c r="H129" i="18"/>
  <c r="I90" i="18"/>
  <c r="K170" i="18" l="1"/>
  <c r="J82" i="18"/>
  <c r="K88" i="18"/>
  <c r="K89" i="18" s="1"/>
  <c r="K81" i="18"/>
  <c r="K126" i="18"/>
  <c r="K78" i="18"/>
  <c r="K127" i="18" s="1"/>
  <c r="I129" i="18"/>
  <c r="J90" i="18"/>
  <c r="K82" i="18" l="1"/>
  <c r="J129" i="18"/>
  <c r="K90" i="18"/>
  <c r="K129" i="18" s="1"/>
  <c r="G1026" i="13" l="1"/>
  <c r="G1343" i="13" s="1"/>
  <c r="G1344" i="13" l="1"/>
  <c r="G1588" i="13"/>
  <c r="C1588" i="13" s="1"/>
  <c r="G1585" i="13"/>
  <c r="G1591" i="13" l="1"/>
  <c r="G1594" i="13" s="1"/>
  <c r="G1595" i="13" s="1"/>
  <c r="C1585" i="13"/>
  <c r="E62" i="18"/>
  <c r="E75" i="18" s="1"/>
  <c r="E77" i="18" s="1"/>
  <c r="C62" i="18" l="1"/>
  <c r="D62" i="18" s="1"/>
  <c r="E15" i="45"/>
  <c r="D15" i="45" s="1"/>
  <c r="E81" i="18"/>
  <c r="E85" i="18"/>
  <c r="F85" i="18" s="1"/>
  <c r="E79" i="18"/>
  <c r="F79" i="18" s="1"/>
  <c r="G79" i="18" s="1"/>
  <c r="H79" i="18" s="1"/>
  <c r="I79" i="18" s="1"/>
  <c r="J79" i="18" s="1"/>
  <c r="K79" i="18" s="1"/>
  <c r="C114" i="18" l="1"/>
  <c r="C75" i="18"/>
  <c r="C77" i="18" s="1"/>
  <c r="G85" i="18"/>
  <c r="D75" i="18" l="1"/>
  <c r="H85" i="18"/>
  <c r="C126" i="18"/>
  <c r="D77" i="18"/>
  <c r="I85" i="18" l="1"/>
  <c r="J85" i="18" l="1"/>
  <c r="K85" i="18" l="1"/>
  <c r="F136" i="38"/>
  <c r="F138" i="38"/>
  <c r="L138" i="38"/>
  <c r="I138" i="38"/>
  <c r="I55" i="38"/>
  <c r="O136" i="38"/>
  <c r="F55" i="38"/>
  <c r="F119" i="38" s="1"/>
  <c r="F56" i="38" l="1"/>
  <c r="F73" i="38" s="1"/>
  <c r="F113" i="38"/>
  <c r="F79" i="38"/>
  <c r="F108" i="38"/>
  <c r="F114" i="38"/>
  <c r="F123" i="38"/>
  <c r="I122" i="38"/>
  <c r="I124" i="38"/>
  <c r="I116" i="38"/>
  <c r="I123" i="38"/>
  <c r="I112" i="38"/>
  <c r="I111" i="38"/>
  <c r="I56" i="38"/>
  <c r="I73" i="38" s="1"/>
  <c r="I130" i="38" s="1"/>
  <c r="I110" i="38"/>
  <c r="I108" i="38"/>
  <c r="I106" i="38"/>
  <c r="I113" i="38"/>
  <c r="I117" i="38"/>
  <c r="I121" i="38"/>
  <c r="I118" i="38"/>
  <c r="I114" i="38"/>
  <c r="I109" i="38"/>
  <c r="I119" i="38"/>
  <c r="I120" i="38"/>
  <c r="I115" i="38"/>
  <c r="F118" i="38"/>
  <c r="F120" i="38"/>
  <c r="F124" i="38"/>
  <c r="I107" i="38"/>
  <c r="F110" i="38"/>
  <c r="F117" i="38"/>
  <c r="F112" i="38"/>
  <c r="I136" i="38"/>
  <c r="F107" i="38"/>
  <c r="F57" i="38"/>
  <c r="F109" i="38"/>
  <c r="F116" i="38"/>
  <c r="F111" i="38"/>
  <c r="F122" i="38"/>
  <c r="F126" i="38"/>
  <c r="O138" i="38"/>
  <c r="F106" i="38"/>
  <c r="F115" i="38"/>
  <c r="L55" i="38"/>
  <c r="L136" i="38"/>
  <c r="F121" i="38"/>
  <c r="O55" i="38"/>
  <c r="O56" i="38" l="1"/>
  <c r="O73" i="38" s="1"/>
  <c r="O130" i="38" s="1"/>
  <c r="O122" i="38"/>
  <c r="O118" i="38"/>
  <c r="O120" i="38"/>
  <c r="O108" i="38"/>
  <c r="O116" i="38"/>
  <c r="O111" i="38"/>
  <c r="O117" i="38"/>
  <c r="O110" i="38"/>
  <c r="O112" i="38"/>
  <c r="O114" i="38"/>
  <c r="O113" i="38"/>
  <c r="O106" i="38"/>
  <c r="O121" i="38"/>
  <c r="O119" i="38"/>
  <c r="O115" i="38"/>
  <c r="O124" i="38"/>
  <c r="O109" i="38"/>
  <c r="O123" i="38"/>
  <c r="O107" i="38"/>
  <c r="L106" i="38"/>
  <c r="L118" i="38"/>
  <c r="L122" i="38"/>
  <c r="L111" i="38"/>
  <c r="L117" i="38"/>
  <c r="L121" i="38"/>
  <c r="L123" i="38"/>
  <c r="L119" i="38"/>
  <c r="L109" i="38"/>
  <c r="L115" i="38"/>
  <c r="L113" i="38"/>
  <c r="L116" i="38"/>
  <c r="L56" i="38"/>
  <c r="L73" i="38" s="1"/>
  <c r="L130" i="38" s="1"/>
  <c r="L114" i="38"/>
  <c r="L120" i="38"/>
  <c r="L124" i="38"/>
  <c r="L110" i="38"/>
  <c r="L108" i="38"/>
  <c r="L112" i="38"/>
  <c r="F130" i="38"/>
  <c r="F134" i="38" s="1"/>
  <c r="G132" i="38" s="1"/>
  <c r="F77" i="38"/>
  <c r="L107" i="38"/>
  <c r="G75" i="38" l="1"/>
  <c r="F127" i="38"/>
  <c r="G136" i="38"/>
  <c r="G138" i="38"/>
  <c r="J138" i="38"/>
  <c r="M136" i="38"/>
  <c r="G55" i="38"/>
  <c r="G112" i="38" s="1"/>
  <c r="G124" i="38" l="1"/>
  <c r="G123" i="38"/>
  <c r="G57" i="38"/>
  <c r="H57" i="38" s="1"/>
  <c r="G118" i="38"/>
  <c r="G119" i="38"/>
  <c r="G79" i="38"/>
  <c r="M138" i="38"/>
  <c r="G108" i="38"/>
  <c r="J55" i="38"/>
  <c r="G107" i="38"/>
  <c r="G122" i="38"/>
  <c r="G115" i="38"/>
  <c r="G117" i="38"/>
  <c r="G121" i="38"/>
  <c r="G120" i="38"/>
  <c r="G56" i="38"/>
  <c r="M55" i="38"/>
  <c r="M107" i="38" s="1"/>
  <c r="G116" i="38"/>
  <c r="G106" i="38"/>
  <c r="G126" i="38"/>
  <c r="G113" i="38"/>
  <c r="J136" i="38"/>
  <c r="G109" i="38"/>
  <c r="G110" i="38"/>
  <c r="G114" i="38"/>
  <c r="G111" i="38"/>
  <c r="G73" i="38" l="1"/>
  <c r="J56" i="38"/>
  <c r="J73" i="38" s="1"/>
  <c r="J130" i="38" s="1"/>
  <c r="J119" i="38"/>
  <c r="J122" i="38"/>
  <c r="J120" i="38"/>
  <c r="J106" i="38"/>
  <c r="J116" i="38"/>
  <c r="J111" i="38"/>
  <c r="J124" i="38"/>
  <c r="J108" i="38"/>
  <c r="J118" i="38"/>
  <c r="J112" i="38"/>
  <c r="J123" i="38"/>
  <c r="J115" i="38"/>
  <c r="J114" i="38"/>
  <c r="J109" i="38"/>
  <c r="J113" i="38"/>
  <c r="J121" i="38"/>
  <c r="J107" i="38"/>
  <c r="J110" i="38"/>
  <c r="J117" i="38"/>
  <c r="P55" i="38"/>
  <c r="P107" i="38" s="1"/>
  <c r="D36" i="38"/>
  <c r="P136" i="38"/>
  <c r="P138" i="38"/>
  <c r="I57" i="38"/>
  <c r="M56" i="38"/>
  <c r="M73" i="38" s="1"/>
  <c r="M130" i="38" s="1"/>
  <c r="M122" i="38"/>
  <c r="M123" i="38"/>
  <c r="M109" i="38"/>
  <c r="M121" i="38"/>
  <c r="M124" i="38"/>
  <c r="M115" i="38"/>
  <c r="M111" i="38"/>
  <c r="M119" i="38"/>
  <c r="M108" i="38"/>
  <c r="M114" i="38"/>
  <c r="M113" i="38"/>
  <c r="M112" i="38"/>
  <c r="M106" i="38"/>
  <c r="M116" i="38"/>
  <c r="M117" i="38"/>
  <c r="M110" i="38"/>
  <c r="M120" i="38"/>
  <c r="M118" i="38"/>
  <c r="J57" i="38" l="1"/>
  <c r="C36" i="38"/>
  <c r="C55" i="38" s="1"/>
  <c r="D55" i="38"/>
  <c r="P109" i="38"/>
  <c r="P118" i="38"/>
  <c r="P106" i="38"/>
  <c r="P121" i="38"/>
  <c r="P113" i="38"/>
  <c r="P116" i="38"/>
  <c r="P122" i="38"/>
  <c r="P112" i="38"/>
  <c r="P110" i="38"/>
  <c r="P108" i="38"/>
  <c r="P123" i="38"/>
  <c r="P114" i="38"/>
  <c r="P111" i="38"/>
  <c r="P119" i="38"/>
  <c r="P120" i="38"/>
  <c r="P56" i="38"/>
  <c r="P73" i="38" s="1"/>
  <c r="P130" i="38" s="1"/>
  <c r="P124" i="38"/>
  <c r="P115" i="38"/>
  <c r="P117" i="38"/>
  <c r="G130" i="38"/>
  <c r="G134" i="38" s="1"/>
  <c r="H132" i="38" s="1"/>
  <c r="H134" i="38" s="1"/>
  <c r="I132" i="38" s="1"/>
  <c r="I134" i="38" s="1"/>
  <c r="J132" i="38" s="1"/>
  <c r="J134" i="38" s="1"/>
  <c r="K132" i="38" s="1"/>
  <c r="K134" i="38" s="1"/>
  <c r="L132" i="38" s="1"/>
  <c r="L134" i="38" s="1"/>
  <c r="M132" i="38" s="1"/>
  <c r="M134" i="38" s="1"/>
  <c r="N132" i="38" s="1"/>
  <c r="N134" i="38" s="1"/>
  <c r="O132" i="38" s="1"/>
  <c r="O134" i="38" s="1"/>
  <c r="P132" i="38" s="1"/>
  <c r="G77" i="38"/>
  <c r="P134" i="38" l="1"/>
  <c r="D56" i="38"/>
  <c r="E58" i="38"/>
  <c r="E59" i="38" s="1"/>
  <c r="D122" i="38"/>
  <c r="D111" i="38"/>
  <c r="D119" i="38"/>
  <c r="E125" i="38"/>
  <c r="D114" i="38"/>
  <c r="D108" i="38"/>
  <c r="D124" i="38"/>
  <c r="D130" i="38" s="1"/>
  <c r="D134" i="38" s="1"/>
  <c r="F125" i="38"/>
  <c r="D117" i="38"/>
  <c r="D113" i="38"/>
  <c r="F58" i="38"/>
  <c r="F59" i="38" s="1"/>
  <c r="D73" i="38"/>
  <c r="D77" i="38" s="1"/>
  <c r="D109" i="38"/>
  <c r="D121" i="38"/>
  <c r="D110" i="38"/>
  <c r="D106" i="38"/>
  <c r="D112" i="38"/>
  <c r="D120" i="38"/>
  <c r="D116" i="38"/>
  <c r="D115" i="38"/>
  <c r="D123" i="38"/>
  <c r="D118" i="38"/>
  <c r="G58" i="38"/>
  <c r="G59" i="38" s="1"/>
  <c r="G125" i="38"/>
  <c r="H58" i="38"/>
  <c r="H59" i="38" s="1"/>
  <c r="H125" i="38"/>
  <c r="C56" i="38"/>
  <c r="I58" i="38"/>
  <c r="I59" i="38" s="1"/>
  <c r="D107" i="38"/>
  <c r="I125" i="38"/>
  <c r="H75" i="38"/>
  <c r="G127" i="38"/>
  <c r="J125" i="38"/>
  <c r="K57" i="38"/>
  <c r="J58" i="38"/>
  <c r="J59" i="38" s="1"/>
  <c r="H126" i="38" l="1"/>
  <c r="H79" i="38"/>
  <c r="H77" i="38"/>
  <c r="K58" i="38"/>
  <c r="K59" i="38" s="1"/>
  <c r="L57" i="38"/>
  <c r="K125" i="38"/>
  <c r="L58" i="38" l="1"/>
  <c r="L59" i="38" s="1"/>
  <c r="M57" i="38"/>
  <c r="L125" i="38"/>
  <c r="H127" i="38"/>
  <c r="I75" i="38"/>
  <c r="I77" i="38" l="1"/>
  <c r="I126" i="38"/>
  <c r="I79" i="38"/>
  <c r="M125" i="38"/>
  <c r="M58" i="38"/>
  <c r="M59" i="38" s="1"/>
  <c r="N57" i="38"/>
  <c r="N125" i="38" l="1"/>
  <c r="N58" i="38"/>
  <c r="N59" i="38" s="1"/>
  <c r="O57" i="38"/>
  <c r="J75" i="38"/>
  <c r="I127" i="38"/>
  <c r="O58" i="38" l="1"/>
  <c r="O59" i="38" s="1"/>
  <c r="P57" i="38"/>
  <c r="O125" i="38"/>
  <c r="J77" i="38"/>
  <c r="J79" i="38"/>
  <c r="J126" i="38"/>
  <c r="K75" i="38" l="1"/>
  <c r="J127" i="38"/>
  <c r="P125" i="38"/>
  <c r="P58" i="38"/>
  <c r="P59" i="38" s="1"/>
  <c r="K79" i="38" l="1"/>
  <c r="K126" i="38"/>
  <c r="K77" i="38"/>
  <c r="K127" i="38" l="1"/>
  <c r="L75" i="38"/>
  <c r="L126" i="38" l="1"/>
  <c r="L79" i="38"/>
  <c r="L77" i="38"/>
  <c r="L127" i="38" l="1"/>
  <c r="M75" i="38"/>
  <c r="M77" i="38" l="1"/>
  <c r="M79" i="38"/>
  <c r="M126" i="38"/>
  <c r="N75" i="38" l="1"/>
  <c r="M127" i="38"/>
  <c r="N77" i="38" l="1"/>
  <c r="N126" i="38"/>
  <c r="N79" i="38"/>
  <c r="O75" i="38" l="1"/>
  <c r="N127" i="38"/>
  <c r="O79" i="38" l="1"/>
  <c r="O77" i="38"/>
  <c r="O126" i="38"/>
  <c r="P75" i="38" l="1"/>
  <c r="O127" i="38"/>
  <c r="P79" i="38" l="1"/>
  <c r="P77" i="38"/>
  <c r="P127" i="38" s="1"/>
  <c r="P12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tc={9909DB41-4054-4051-8E9D-3A06A152DDC1}</author>
    <author>tc={AE8693CC-D799-40D8-BC0A-DDEFCADE3B8B}</author>
    <author>tc={14D4832A-A429-4B66-9D06-54B3C5043617}</author>
    <author>tc={B847000C-AC3D-464A-9FCB-AF07C0B48B0E}</author>
    <author>tc={B6F42B41-A78D-412D-AF3D-9126A5E0D606}</author>
    <author>tc={60129E67-CD70-46E7-91DA-906463589E3F}</author>
    <author>tc={E0B74DCF-2136-4060-977D-5542CAFEBFAB}</author>
  </authors>
  <commentList>
    <comment ref="C10" authorId="0" shapeId="0" xr:uid="{9BE13840-302E-4FF8-AADE-C8C73A1C217B}">
      <text>
        <r>
          <rPr>
            <b/>
            <sz val="9"/>
            <color rgb="FF000000"/>
            <rFont val="Tahoma"/>
            <family val="2"/>
          </rPr>
          <t>Michael Dang:</t>
        </r>
        <r>
          <rPr>
            <sz val="9"/>
            <color rgb="FF000000"/>
            <rFont val="Tahoma"/>
            <family val="2"/>
          </rPr>
          <t xml:space="preserve">
</t>
        </r>
        <r>
          <rPr>
            <sz val="9"/>
            <color rgb="FF000000"/>
            <rFont val="Tahoma"/>
            <family val="2"/>
          </rPr>
          <t>Freeze pane anchor cell.</t>
        </r>
      </text>
    </comment>
    <comment ref="B42" authorId="1" shapeId="0" xr:uid="{9909DB41-4054-4051-8E9D-3A06A152DD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renamed to match profile</t>
        </r>
      </text>
    </comment>
    <comment ref="B62" authorId="2" shapeId="0" xr:uid="{AE8693CC-D799-40D8-BC0A-DDEFCADE3B8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renamed to match profile and other tabs</t>
        </r>
      </text>
    </comment>
    <comment ref="C62" authorId="3" shapeId="0" xr:uid="{14D4832A-A429-4B66-9D06-54B3C504361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r>
      </text>
    </comment>
    <comment ref="E84" authorId="0" shapeId="0" xr:uid="{E3B9A9DE-F92D-4A6E-93B6-9F6261F000D6}">
      <text>
        <r>
          <rPr>
            <b/>
            <sz val="9"/>
            <color indexed="81"/>
            <rFont val="Tahoma"/>
            <family val="2"/>
          </rPr>
          <t>Michael Dang:</t>
        </r>
        <r>
          <rPr>
            <sz val="9"/>
            <color indexed="81"/>
            <rFont val="Tahoma"/>
            <family val="2"/>
          </rPr>
          <t xml:space="preserve">
Enables applicants to determine how much additional funding they may need to operate in the black. From year one.</t>
        </r>
      </text>
    </comment>
    <comment ref="B110" authorId="4" shapeId="0" xr:uid="{B847000C-AC3D-464A-9FCB-AF07C0B48B0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14" authorId="5" shapeId="0" xr:uid="{B6F42B41-A78D-412D-AF3D-9126A5E0D6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33" authorId="6" shapeId="0" xr:uid="{60129E67-CD70-46E7-91DA-906463589E3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53" authorId="7" shapeId="0" xr:uid="{E0B74DCF-2136-4060-977D-5542CAFEBF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34" authorId="0" shapeId="0" xr:uid="{877274FE-C3DE-45BF-9CA9-59230A229641}">
      <text>
        <r>
          <rPr>
            <b/>
            <sz val="9"/>
            <color indexed="81"/>
            <rFont val="Tahoma"/>
            <family val="2"/>
          </rPr>
          <t>Michael Dang:</t>
        </r>
        <r>
          <rPr>
            <sz val="9"/>
            <color indexed="81"/>
            <rFont val="Tahoma"/>
            <family val="2"/>
          </rPr>
          <t xml:space="preserve">
A five mile distance as the crow flies or by google maps travel distance.</t>
        </r>
      </text>
    </comment>
    <comment ref="J34" authorId="0" shapeId="0" xr:uid="{EF4D393B-5EBA-4AD6-90F6-01BEA2752923}">
      <text>
        <r>
          <rPr>
            <b/>
            <sz val="9"/>
            <color indexed="81"/>
            <rFont val="Tahoma"/>
            <family val="2"/>
          </rPr>
          <t>Michael Dang:</t>
        </r>
        <r>
          <rPr>
            <sz val="9"/>
            <color indexed="81"/>
            <rFont val="Tahoma"/>
            <family val="2"/>
          </rPr>
          <t xml:space="preserve">
Based on Google Maps or another mapping program of your choice.
The distance from the school can be to your targeted location or to nearby cross-streets.</t>
        </r>
      </text>
    </comment>
    <comment ref="B64" authorId="0" shapeId="0" xr:uid="{F9616F37-F417-4E72-8769-D1B95F43CF73}">
      <text>
        <r>
          <rPr>
            <b/>
            <sz val="9"/>
            <color indexed="81"/>
            <rFont val="Tahoma"/>
            <family val="2"/>
          </rPr>
          <t>Michael Dang:</t>
        </r>
        <r>
          <rPr>
            <sz val="9"/>
            <color indexed="81"/>
            <rFont val="Tahoma"/>
            <family val="2"/>
          </rPr>
          <t xml:space="preserve">
A five mile distance as the crow flies or by google maps travel distance.</t>
        </r>
      </text>
    </comment>
    <comment ref="J64" authorId="0" shapeId="0" xr:uid="{420CC0D5-5259-4AEA-8B69-31C856E93355}">
      <text>
        <r>
          <rPr>
            <b/>
            <sz val="9"/>
            <color indexed="81"/>
            <rFont val="Tahoma"/>
            <family val="2"/>
          </rPr>
          <t>Michael Dang:</t>
        </r>
        <r>
          <rPr>
            <sz val="9"/>
            <color indexed="81"/>
            <rFont val="Tahoma"/>
            <family val="2"/>
          </rPr>
          <t xml:space="preserve">
Based on Google Maps or another mapping program of your choice.
The distance from the school can be to your targeted location or to nearby cross-streets.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Dang</author>
    <author>tc={B7BA76B9-72DC-4B51-84FC-DCB653FB95D7}</author>
  </authors>
  <commentList>
    <comment ref="D12" authorId="0" shapeId="0" xr:uid="{12EB477B-03F1-4DC3-9717-93931FE722F8}">
      <text>
        <r>
          <rPr>
            <b/>
            <sz val="9"/>
            <color indexed="81"/>
            <rFont val="Tahoma"/>
            <family val="2"/>
          </rPr>
          <t>Michael Dang:</t>
        </r>
        <r>
          <rPr>
            <sz val="9"/>
            <color indexed="81"/>
            <rFont val="Tahoma"/>
            <family val="2"/>
          </rPr>
          <t xml:space="preserve">
Freeze Pane Anchor cell.
Place cursor here if you wish to freeze the panes so you can see which e so you can continue to see the years for the columns you want to review. </t>
        </r>
      </text>
    </comment>
    <comment ref="C49" authorId="0" shapeId="0" xr:uid="{5934904A-2966-413F-A3FA-21439F601078}">
      <text>
        <r>
          <rPr>
            <b/>
            <sz val="9"/>
            <color rgb="FF000000"/>
            <rFont val="Tahoma"/>
            <family val="2"/>
          </rPr>
          <t>Michael Dang:</t>
        </r>
        <r>
          <rPr>
            <sz val="9"/>
            <color rgb="FF000000"/>
            <rFont val="Tahoma"/>
            <family val="2"/>
          </rPr>
          <t xml:space="preserve">
</t>
        </r>
        <r>
          <rPr>
            <sz val="9"/>
            <color rgb="FF000000"/>
            <rFont val="Tahoma"/>
            <family val="2"/>
          </rPr>
          <t>From $350. 2019.11.14</t>
        </r>
      </text>
    </comment>
    <comment ref="C52" authorId="0" shapeId="0" xr:uid="{CC321BF1-F485-4B98-A27B-7233CBA8EF3F}">
      <text>
        <r>
          <rPr>
            <b/>
            <sz val="9"/>
            <color indexed="81"/>
            <rFont val="Tahoma"/>
            <family val="2"/>
          </rPr>
          <t>Michael Dang:</t>
        </r>
        <r>
          <rPr>
            <sz val="9"/>
            <color indexed="81"/>
            <rFont val="Tahoma"/>
            <family val="2"/>
          </rPr>
          <t xml:space="preserve">
From $1,500. 2019.11.14</t>
        </r>
      </text>
    </comment>
    <comment ref="B1380" authorId="1" shapeId="0" xr:uid="{B7BA76B9-72DC-4B51-84FC-DCB653FB95D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removed marketing from this section</t>
        </r>
      </text>
    </comment>
    <comment ref="D1422" authorId="0" shapeId="0" xr:uid="{9C85975A-49C8-455A-BDEF-155DD7424EDC}">
      <text>
        <r>
          <rPr>
            <b/>
            <sz val="9"/>
            <color indexed="81"/>
            <rFont val="Tahoma"/>
            <family val="2"/>
          </rPr>
          <t>Michael Dang:</t>
        </r>
        <r>
          <rPr>
            <sz val="9"/>
            <color indexed="81"/>
            <rFont val="Tahoma"/>
            <family val="2"/>
          </rPr>
          <t xml:space="preserve">
Per year</t>
        </r>
      </text>
    </comment>
    <comment ref="D1424" authorId="0" shapeId="0" xr:uid="{F2262E10-2F82-4887-B88B-F13BF615CBA5}">
      <text>
        <r>
          <rPr>
            <b/>
            <sz val="9"/>
            <color indexed="81"/>
            <rFont val="Tahoma"/>
            <family val="2"/>
          </rPr>
          <t>Michael Dang:</t>
        </r>
        <r>
          <rPr>
            <sz val="9"/>
            <color indexed="81"/>
            <rFont val="Tahoma"/>
            <family val="2"/>
          </rPr>
          <t xml:space="preserve">
Per year</t>
        </r>
      </text>
    </comment>
    <comment ref="D1430" authorId="0" shapeId="0" xr:uid="{497817A4-6D09-4898-BADC-683CD0B83F21}">
      <text>
        <r>
          <rPr>
            <b/>
            <sz val="9"/>
            <color indexed="81"/>
            <rFont val="Tahoma"/>
            <family val="2"/>
          </rPr>
          <t>Michael Dang:</t>
        </r>
        <r>
          <rPr>
            <sz val="9"/>
            <color indexed="81"/>
            <rFont val="Tahoma"/>
            <family val="2"/>
          </rPr>
          <t xml:space="preserve">
Per student</t>
        </r>
      </text>
    </comment>
    <comment ref="D1431" authorId="0" shapeId="0" xr:uid="{020E42A5-8E49-45D2-9D3D-62A0E0CD6A03}">
      <text>
        <r>
          <rPr>
            <b/>
            <sz val="9"/>
            <color indexed="81"/>
            <rFont val="Tahoma"/>
            <family val="2"/>
          </rPr>
          <t>Michael Dang:</t>
        </r>
        <r>
          <rPr>
            <sz val="9"/>
            <color indexed="81"/>
            <rFont val="Tahoma"/>
            <family val="2"/>
          </rPr>
          <t xml:space="preserve">
Per student (not covered by Title I)</t>
        </r>
      </text>
    </comment>
    <comment ref="D1432" authorId="0" shapeId="0" xr:uid="{AECC61D7-2428-490C-8DA5-878BB66DDA94}">
      <text>
        <r>
          <rPr>
            <b/>
            <sz val="9"/>
            <color indexed="81"/>
            <rFont val="Tahoma"/>
            <family val="2"/>
          </rPr>
          <t>Michael Dang:</t>
        </r>
        <r>
          <rPr>
            <sz val="9"/>
            <color indexed="81"/>
            <rFont val="Tahoma"/>
            <family val="2"/>
          </rPr>
          <t xml:space="preserve">
Per student</t>
        </r>
      </text>
    </comment>
    <comment ref="D1433" authorId="0" shapeId="0" xr:uid="{23966D1D-CC9F-41AC-82CA-12C657693F66}">
      <text>
        <r>
          <rPr>
            <b/>
            <sz val="9"/>
            <color indexed="81"/>
            <rFont val="Tahoma"/>
            <family val="2"/>
          </rPr>
          <t>Michael Dang:</t>
        </r>
        <r>
          <rPr>
            <sz val="9"/>
            <color indexed="81"/>
            <rFont val="Tahoma"/>
            <family val="2"/>
          </rPr>
          <t xml:space="preserve">
Input "yes or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tc={049FD8B7-A556-4458-B741-9CE337C84F58}</author>
    <author>tc={7EE94EAF-B192-4E48-A3B1-248D938F898C}</author>
    <author>tc={70378DE7-6B40-4D69-A2B5-CDAE21ECCA12}</author>
    <author>tc={4D20B39F-CCD5-40F6-88A7-DA908090EB1A}</author>
    <author>tc={5A1E9927-B689-4F2F-9FDF-9AC411BA394B}</author>
    <author>tc={8B4CE012-06EE-44EF-B9A4-70A151D8CD64}</author>
    <author>tc={4A77444D-2667-414A-ACA6-5CACB9E7392C}</author>
    <author>tc={C044C3D4-0587-448F-AE58-11BAA9E73751}</author>
    <author>tc={CE06D8D1-4B55-4EF4-8B14-2444C8B0CA22}</author>
  </authors>
  <commentList>
    <comment ref="C10" authorId="0" shapeId="0" xr:uid="{3315E524-0BEB-40C6-936D-06C202AE862C}">
      <text>
        <r>
          <rPr>
            <b/>
            <sz val="9"/>
            <color indexed="81"/>
            <rFont val="Tahoma"/>
            <family val="2"/>
          </rPr>
          <t>Michael Dang:</t>
        </r>
        <r>
          <rPr>
            <sz val="9"/>
            <color indexed="81"/>
            <rFont val="Tahoma"/>
            <family val="2"/>
          </rPr>
          <t xml:space="preserve">
Freeze Pane Anchor cell</t>
        </r>
      </text>
    </comment>
    <comment ref="G24" authorId="1" shapeId="0" xr:uid="{049FD8B7-A556-4458-B741-9CE337C84F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r>
      </text>
    </comment>
    <comment ref="H24" authorId="2" shapeId="0" xr:uid="{7EE94EAF-B192-4E48-A3B1-248D938F89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r>
      </text>
    </comment>
    <comment ref="G25" authorId="3" shapeId="0" xr:uid="{70378DE7-6B40-4D69-A2B5-CDAE21ECCA1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H25" authorId="4" shapeId="0" xr:uid="{4D20B39F-CCD5-40F6-88A7-DA908090EB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G63" authorId="5" shapeId="0" xr:uid="{5A1E9927-B689-4F2F-9FDF-9AC411BA394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H63" authorId="6" shapeId="0" xr:uid="{8B4CE012-06EE-44EF-B9A4-70A151D8CD6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G64" authorId="7" shapeId="0" xr:uid="{4A77444D-2667-414A-ACA6-5CACB9E7392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r>
      </text>
    </comment>
    <comment ref="H64" authorId="8" shapeId="0" xr:uid="{C044C3D4-0587-448F-AE58-11BAA9E737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r>
      </text>
    </comment>
    <comment ref="G68" authorId="9" shapeId="0" xr:uid="{CE06D8D1-4B55-4EF4-8B14-2444C8B0CA2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Dang</author>
    <author>tc={F988B70B-290B-4766-ABAF-6F3E355164A9}</author>
    <author>tc={B4301313-E1AF-4271-9069-A45BFC26B287}</author>
    <author>tc={D66716B6-DB56-4581-A047-8B89F69EE2A7}</author>
  </authors>
  <commentList>
    <comment ref="C9" authorId="0" shapeId="0" xr:uid="{F305822C-5614-4D9A-B298-105109B161AF}">
      <text>
        <r>
          <rPr>
            <b/>
            <sz val="9"/>
            <color indexed="81"/>
            <rFont val="Tahoma"/>
            <family val="2"/>
          </rPr>
          <t>Michael Dang:</t>
        </r>
        <r>
          <rPr>
            <sz val="9"/>
            <color indexed="81"/>
            <rFont val="Tahoma"/>
            <family val="2"/>
          </rPr>
          <t xml:space="preserve">
</t>
        </r>
        <r>
          <rPr>
            <b/>
            <sz val="9"/>
            <color indexed="81"/>
            <rFont val="Tahoma"/>
            <family val="2"/>
          </rPr>
          <t>Freeze anchor cell</t>
        </r>
        <r>
          <rPr>
            <sz val="9"/>
            <color indexed="81"/>
            <rFont val="Tahoma"/>
            <family val="2"/>
          </rPr>
          <t xml:space="preserve">.  If you place your cursor in this cell then freeze frames you will be able to see the years across the top while you scroll down to where you normally would not see the years. </t>
        </r>
      </text>
    </comment>
    <comment ref="D19" authorId="1" shapeId="0" xr:uid="{F988B70B-290B-4766-ABAF-6F3E355164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r>
      </text>
    </comment>
    <comment ref="G54" authorId="2" shapeId="0" xr:uid="{B4301313-E1AF-4271-9069-A45BFC26B28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H54" authorId="3" shapeId="0" xr:uid="{D66716B6-DB56-4581-A047-8B89F69EE2A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tc={428C169F-7646-4CB0-B350-6B3997D0EBEC}</author>
    <author>tc={747F349B-9CDE-4C7C-8445-7504F225BB0C}</author>
    <author>tc={5F5A5891-0F7E-438F-98FE-D46B19DAAF7A}</author>
    <author>tc={E1B0AABC-FE85-4305-BCDA-D864236FBEFC}</author>
    <author>tc={0B2BF462-FA3C-4697-880A-84E104C1867C}</author>
    <author>tc={105A4EF2-9C02-45A7-B312-9628B5927DF1}</author>
    <author>tc={5FEA338C-255D-43F8-9B7C-705D98B58B85}</author>
  </authors>
  <commentList>
    <comment ref="A14" authorId="0" shapeId="0" xr:uid="{428C169F-7646-4CB0-B350-6B3997D0EBE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to align with profile tab</t>
        </r>
      </text>
    </comment>
    <comment ref="A35" authorId="1" shapeId="0" xr:uid="{747F349B-9CDE-4C7C-8445-7504F225BB0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r>
      </text>
    </comment>
    <comment ref="D35" authorId="2" shapeId="0" xr:uid="{5F5A5891-0F7E-438F-98FE-D46B19DAAF7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conditional formatting added</t>
        </r>
      </text>
    </comment>
    <comment ref="A84" authorId="3" shapeId="0" xr:uid="{E1B0AABC-FE85-4305-BCDA-D864236FBEF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A103" authorId="4" shapeId="0" xr:uid="{0B2BF462-FA3C-4697-880A-84E104C1867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formulas changed in this section to reflect percent of total expenses rather than revenue to avoid division by zero errors</t>
        </r>
      </text>
    </comment>
    <comment ref="A106" authorId="5" shapeId="0" xr:uid="{105A4EF2-9C02-45A7-B312-9628B5927DF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A126" authorId="6" shapeId="0" xr:uid="{5FEA338C-255D-43F8-9B7C-705D98B58B8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lines to display cash expenses for each month as a percentage of the beginning and ending cash balance to highlight areas of potential liquidity concerns.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Rebecca Feiden</author>
  </authors>
  <commentList>
    <comment ref="C9" authorId="0" shapeId="0" xr:uid="{00000000-0006-0000-0500-000001000000}">
      <text>
        <r>
          <rPr>
            <b/>
            <sz val="9"/>
            <color indexed="81"/>
            <rFont val="Tahoma"/>
            <family val="2"/>
          </rPr>
          <t>Rebecca Feiden:</t>
        </r>
        <r>
          <rPr>
            <sz val="9"/>
            <color indexed="81"/>
            <rFont val="Tahoma"/>
            <family val="2"/>
          </rPr>
          <t xml:space="preserve">
Used SY 2017-18 projections from NDE Budget Template</t>
        </r>
      </text>
    </comment>
  </commentList>
</comments>
</file>

<file path=xl/sharedStrings.xml><?xml version="1.0" encoding="utf-8"?>
<sst xmlns="http://schemas.openxmlformats.org/spreadsheetml/2006/main" count="1882" uniqueCount="975">
  <si>
    <t>Per Year</t>
    <phoneticPr fontId="7" type="noConversion"/>
  </si>
  <si>
    <t>Monthly equipment cost</t>
  </si>
  <si>
    <t>Girl's cheerleading</t>
  </si>
  <si>
    <t>Girls Cheerleading (12 home games; 12 away games)</t>
  </si>
  <si>
    <t>Ending Fund Balance</t>
  </si>
  <si>
    <t>Per student per day</t>
  </si>
  <si>
    <t>Federal Lunch Program</t>
  </si>
  <si>
    <t xml:space="preserve">Federal Lunch Program </t>
  </si>
  <si>
    <t>Lunch Program</t>
  </si>
  <si>
    <t>Staff recruitment</t>
  </si>
  <si>
    <t>Desktop computers</t>
  </si>
  <si>
    <t>Investment Income</t>
  </si>
  <si>
    <t>Setup cost</t>
  </si>
  <si>
    <t>Student fees</t>
  </si>
  <si>
    <t>Desktop computer costs (faculty and computers for carts)</t>
  </si>
  <si>
    <t>Custodial</t>
  </si>
  <si>
    <t>Office Supplies</t>
  </si>
  <si>
    <t>Boy's soccer</t>
  </si>
  <si>
    <t>Girl's soccer</t>
  </si>
  <si>
    <t>Number of copiers needed</t>
  </si>
  <si>
    <t>Students per copier</t>
  </si>
  <si>
    <t>Copier - usage fee</t>
  </si>
  <si>
    <t>Charter application</t>
  </si>
  <si>
    <t>(Input year or "NA")</t>
  </si>
  <si>
    <t>Total Grade Level Teacher Medical Costs</t>
  </si>
  <si>
    <t>School Pays?</t>
  </si>
  <si>
    <t>Girls Lacrosse (8 home games; 8 away games)</t>
  </si>
  <si>
    <t>Football</t>
  </si>
  <si>
    <t>Boy's basketball</t>
  </si>
  <si>
    <t xml:space="preserve">     Other Equipment</t>
  </si>
  <si>
    <t>Possible grant?</t>
  </si>
  <si>
    <t>Girl's track and field</t>
  </si>
  <si>
    <t>Interest Rate</t>
  </si>
  <si>
    <t>Monthly Debt Service</t>
  </si>
  <si>
    <t>Annual Debt Service</t>
  </si>
  <si>
    <t>Monthly copier lease</t>
  </si>
  <si>
    <t xml:space="preserve">     % of Salaries</t>
  </si>
  <si>
    <t>Food Program</t>
  </si>
  <si>
    <t>Medical</t>
  </si>
  <si>
    <t>FICA</t>
  </si>
  <si>
    <t>State Retirement -  Certified</t>
  </si>
  <si>
    <t>State Retirement -  Non-certified</t>
  </si>
  <si>
    <t>Life Insurance</t>
  </si>
  <si>
    <t>Single Coverage</t>
  </si>
  <si>
    <t>Family Coverage</t>
  </si>
  <si>
    <t>Per year</t>
  </si>
  <si>
    <t>Weighted avg. cost for medical</t>
  </si>
  <si>
    <t>Snacks</t>
  </si>
  <si>
    <t>Breakfast</t>
  </si>
  <si>
    <t>no</t>
  </si>
  <si>
    <t>Input "yes" or "no"</t>
  </si>
  <si>
    <t>Miles driven per bus per year</t>
  </si>
  <si>
    <t>Miles per gallon</t>
  </si>
  <si>
    <t>Total Costs</t>
  </si>
  <si>
    <t xml:space="preserve">     Misc Equipment</t>
  </si>
  <si>
    <t>Gym rental</t>
  </si>
  <si>
    <t>$35/hour? - could be up to $6K</t>
  </si>
  <si>
    <t>TOTAL ATHLETIC COSTS</t>
  </si>
  <si>
    <t>Boys Soccer (8 home games; 8 away games)</t>
  </si>
  <si>
    <t xml:space="preserve">     Soccer balls</t>
  </si>
  <si>
    <t xml:space="preserve">     Shin guards, Misc Equipment</t>
  </si>
  <si>
    <t>Total Instructional Supplies</t>
  </si>
  <si>
    <t>Parent &amp; staff meetings</t>
  </si>
  <si>
    <t>TOTAL EXPENSES</t>
  </si>
  <si>
    <t>TOTAL REVENUE</t>
  </si>
  <si>
    <t>SURPLUS/(DEFICIT)</t>
  </si>
  <si>
    <t>Per FTE</t>
  </si>
  <si>
    <t>Annual Exp</t>
  </si>
  <si>
    <t>Per student</t>
  </si>
  <si>
    <t>Bonus Pool</t>
  </si>
  <si>
    <t>ASSUMPTIONS</t>
  </si>
  <si>
    <t>Assumptions</t>
  </si>
  <si>
    <t>General Operating Expenses</t>
  </si>
  <si>
    <t>Athletic Program</t>
  </si>
  <si>
    <t>School level fundraising</t>
  </si>
  <si>
    <t>Private fundraising (foundations, corporate)</t>
  </si>
  <si>
    <t>Loan Term (years)</t>
  </si>
  <si>
    <t>Boy's track and field</t>
  </si>
  <si>
    <t>Boys track and field (8 home games; 8 away games)</t>
  </si>
  <si>
    <t>Per new student</t>
  </si>
  <si>
    <t>School uniforms - returning students</t>
  </si>
  <si>
    <t>Per returning student</t>
  </si>
  <si>
    <t>Internet and phone monthly service</t>
  </si>
  <si>
    <t>Contractors required for Saturday School</t>
  </si>
  <si>
    <t>% of purchase price</t>
  </si>
  <si>
    <t>Amount Financed</t>
  </si>
  <si>
    <t>Setup fee</t>
  </si>
  <si>
    <t>Per server</t>
  </si>
  <si>
    <t>TOTAL SALARIES</t>
  </si>
  <si>
    <t>BENEFITS</t>
  </si>
  <si>
    <t>Total Food Costs</t>
  </si>
  <si>
    <t>GENERAL OPERATING EXPENSES</t>
  </si>
  <si>
    <t>Facilities</t>
  </si>
  <si>
    <t xml:space="preserve">Personnel </t>
  </si>
  <si>
    <t>Total Grade Level Teacher Salaries</t>
  </si>
  <si>
    <t>Total Administrators and Office Staff</t>
  </si>
  <si>
    <t>Teacher</t>
  </si>
  <si>
    <t>SALARIES</t>
  </si>
  <si>
    <t>TOTAL BENEFITS</t>
  </si>
  <si>
    <t xml:space="preserve">School's percentage of coverage </t>
  </si>
  <si>
    <t>Total Grade Level Teacher FICA Costs</t>
  </si>
  <si>
    <t>Total Grade Level Teacher Life Insurance Costs</t>
  </si>
  <si>
    <t>Lunch program</t>
  </si>
  <si>
    <t>Bus purchasing costs</t>
  </si>
  <si>
    <t>Maintenance costs</t>
  </si>
  <si>
    <t>Miles driven per bus per day</t>
  </si>
  <si>
    <t xml:space="preserve">Maintenance costs per bus </t>
  </si>
  <si>
    <t>annual</t>
  </si>
  <si>
    <t>Students per bus</t>
  </si>
  <si>
    <t>Input part-time employee</t>
  </si>
  <si>
    <t xml:space="preserve">     Basketballs</t>
  </si>
  <si>
    <t xml:space="preserve">     Annualized salary</t>
  </si>
  <si>
    <t>$150 per away game - bus rental</t>
  </si>
  <si>
    <t>Referees</t>
  </si>
  <si>
    <t>Boys Basketball (12 home games; 12 away games)</t>
  </si>
  <si>
    <t>Flag Football (8 home games; 8 away games)</t>
  </si>
  <si>
    <t>Head coach</t>
  </si>
  <si>
    <t>Assistant Coach</t>
  </si>
  <si>
    <t>Equipment</t>
  </si>
  <si>
    <t xml:space="preserve">     Uniforms</t>
  </si>
  <si>
    <t>Assumption?</t>
  </si>
  <si>
    <t xml:space="preserve">     Footballs</t>
  </si>
  <si>
    <t xml:space="preserve">     Flags/Misc Equipment</t>
  </si>
  <si>
    <t>STAFFING COSTS</t>
  </si>
  <si>
    <t>REVENUE</t>
  </si>
  <si>
    <t>Title I</t>
  </si>
  <si>
    <t>EXPENSES</t>
  </si>
  <si>
    <t>2 refs per home game - $50 ref</t>
  </si>
  <si>
    <t>Transportation</t>
  </si>
  <si>
    <t>Textbooks - initial costs</t>
  </si>
  <si>
    <t>Professional development</t>
  </si>
  <si>
    <t>Girls Soccer (8 home games; 8 away games)</t>
  </si>
  <si>
    <t xml:space="preserve">     Soccer goals</t>
  </si>
  <si>
    <t>$1,000 per goal - 2 goals</t>
  </si>
  <si>
    <t>Boys Lacrosse (8 home games; 8 away games)</t>
  </si>
  <si>
    <t>Payroll Services</t>
  </si>
  <si>
    <t>Per cart</t>
  </si>
  <si>
    <t>Cart costs</t>
  </si>
  <si>
    <t>Number of Students</t>
  </si>
  <si>
    <t>Boy's lacrosse</t>
  </si>
  <si>
    <t>Girl's lacrosse</t>
  </si>
  <si>
    <t>Private fundraising (individuals)</t>
  </si>
  <si>
    <t>Per handset</t>
  </si>
  <si>
    <t>Equity</t>
  </si>
  <si>
    <t>Price per gallon</t>
  </si>
  <si>
    <t>Annual fuel costs per bus</t>
  </si>
  <si>
    <t>Per employee per month</t>
  </si>
  <si>
    <t>Annual maintenance costs per bus</t>
  </si>
  <si>
    <t>per mile</t>
  </si>
  <si>
    <t>Fuel costs</t>
  </si>
  <si>
    <t>Saturday School (contractors for instruction)</t>
  </si>
  <si>
    <t>Number of students participating</t>
  </si>
  <si>
    <t>Base year</t>
  </si>
  <si>
    <t>Contracted Services</t>
  </si>
  <si>
    <t>Annual audit</t>
  </si>
  <si>
    <t>Legal funds</t>
  </si>
  <si>
    <t>Total Contract Services</t>
  </si>
  <si>
    <t>PERFORMANCE BONUSES</t>
  </si>
  <si>
    <t>PAYROLL SERVICES</t>
  </si>
  <si>
    <t>Health supplies</t>
  </si>
  <si>
    <t>Postage and shipping</t>
  </si>
  <si>
    <t>K</t>
  </si>
  <si>
    <t>Total Medical Benefits</t>
  </si>
  <si>
    <t>Total FICA</t>
  </si>
  <si>
    <t>Girls track and field (8 home games; 8 away games)</t>
  </si>
  <si>
    <t>Active program?</t>
  </si>
  <si>
    <t>State Retirement</t>
  </si>
  <si>
    <t>Bank fees</t>
  </si>
  <si>
    <t>Total Grade Level Teacher State Retirement Costs</t>
  </si>
  <si>
    <t>General office supplies</t>
  </si>
  <si>
    <t>per away game</t>
  </si>
  <si>
    <t>Price per contractor</t>
  </si>
  <si>
    <t>Per laptop</t>
  </si>
  <si>
    <t>1st</t>
  </si>
  <si>
    <t>2nd</t>
  </si>
  <si>
    <t>3rd</t>
  </si>
  <si>
    <t>4th</t>
  </si>
  <si>
    <t>5th</t>
  </si>
  <si>
    <t>6th</t>
  </si>
  <si>
    <t>7th</t>
  </si>
  <si>
    <t>8th</t>
  </si>
  <si>
    <t>9th</t>
  </si>
  <si>
    <t>10th</t>
  </si>
  <si>
    <t>11th</t>
  </si>
  <si>
    <t>12th</t>
  </si>
  <si>
    <t>Total Student Enrollment</t>
  </si>
  <si>
    <t xml:space="preserve">     Percentage of full-time FTE</t>
  </si>
  <si>
    <t>Number of buses required</t>
  </si>
  <si>
    <t>General building decorum</t>
  </si>
  <si>
    <t>Field trips - out of state</t>
  </si>
  <si>
    <t>Total Administrators</t>
  </si>
  <si>
    <t>Administrators</t>
  </si>
  <si>
    <t>Base Salary</t>
  </si>
  <si>
    <t>Instructional days per year</t>
  </si>
  <si>
    <t>Per grade level</t>
  </si>
  <si>
    <t>Gifts &amp; awards - students</t>
  </si>
  <si>
    <t>Gifts &amp; awards - faculty and staff</t>
  </si>
  <si>
    <t>Number of grade levels</t>
  </si>
  <si>
    <t>Instruction</t>
  </si>
  <si>
    <t>Saturday schools per year</t>
  </si>
  <si>
    <t>TRANSPORTATION COSTS</t>
  </si>
  <si>
    <t>Gallons purchased per year</t>
  </si>
  <si>
    <t>Payroll Tax and Benefits</t>
  </si>
  <si>
    <t>Internet setup</t>
  </si>
  <si>
    <t>Supplies for students</t>
  </si>
  <si>
    <t>Assessment costs</t>
  </si>
  <si>
    <t>Assumed percentage of employees choosing single coverage</t>
    <phoneticPr fontId="7" type="noConversion"/>
  </si>
  <si>
    <t>Number of Employees</t>
  </si>
  <si>
    <t xml:space="preserve">     Per student</t>
  </si>
  <si>
    <t>Percentage of students transported</t>
  </si>
  <si>
    <t>Instuctional supplies - Teachers (just teaching faculty)</t>
  </si>
  <si>
    <t>Textbooks - repurchase of new books</t>
  </si>
  <si>
    <t>Total Grade Level Teachers</t>
  </si>
  <si>
    <t>Per Instructional FTE</t>
  </si>
  <si>
    <t>Saturday food program</t>
  </si>
  <si>
    <t>Office Staff</t>
  </si>
  <si>
    <t>Bus Contracting Costs</t>
    <phoneticPr fontId="7" type="noConversion"/>
  </si>
  <si>
    <t>Bus Contracting Costs</t>
    <phoneticPr fontId="7" type="noConversion"/>
  </si>
  <si>
    <t>Per sq ft</t>
  </si>
  <si>
    <t>Per student per year</t>
  </si>
  <si>
    <t>Per month</t>
  </si>
  <si>
    <t>Number of years use</t>
  </si>
  <si>
    <t>TOTAL TRANSPORTATION COSTS</t>
  </si>
  <si>
    <t>Copier (monthly lease rate)</t>
  </si>
  <si>
    <t>PART-TIME EMPLOYEES</t>
  </si>
  <si>
    <t>TOTAL GENERAL OPERATING EXPENSES</t>
  </si>
  <si>
    <t>Based on % of salary</t>
  </si>
  <si>
    <t>IDEA</t>
  </si>
  <si>
    <t>Per SPED student</t>
  </si>
  <si>
    <t>Bus purchase price (used bus)</t>
  </si>
  <si>
    <t>Library books</t>
  </si>
  <si>
    <t>GASB 45</t>
  </si>
  <si>
    <t>Unemployment Insurance</t>
  </si>
  <si>
    <t>Per employee</t>
  </si>
  <si>
    <t>Total Grade Level Teacher GASB 45</t>
  </si>
  <si>
    <t>Total GASB 45</t>
  </si>
  <si>
    <t>Total Grade Level Teacher Unemployment Insurance</t>
  </si>
  <si>
    <t>Federal Breakfast Program</t>
  </si>
  <si>
    <t>Breakfast Program</t>
  </si>
  <si>
    <t>Breakfast Program -- Federal Reimbursement</t>
  </si>
  <si>
    <t>"yes" or "no"</t>
  </si>
  <si>
    <t>Capital Outlay</t>
  </si>
  <si>
    <t>LEASE OPTION</t>
  </si>
  <si>
    <t>PURCHASE OPTION</t>
  </si>
  <si>
    <t>Square feet purchased</t>
  </si>
  <si>
    <t>Square feet leased</t>
  </si>
  <si>
    <t>Purchase price per sq ft</t>
  </si>
  <si>
    <t>Purchase price</t>
  </si>
  <si>
    <t>Renovation cost per sq ft</t>
  </si>
  <si>
    <t>Total renovation costs</t>
  </si>
  <si>
    <t>Purchase price and renovation costs</t>
  </si>
  <si>
    <t>Equity (down payment)</t>
  </si>
  <si>
    <t>Financing costs (6 months during planning year)</t>
  </si>
  <si>
    <t>Student enrollment</t>
  </si>
  <si>
    <t>Utilities</t>
  </si>
  <si>
    <t>Custodial Services</t>
  </si>
  <si>
    <t>FACILITIES</t>
  </si>
  <si>
    <t>Other start-up grant funds</t>
  </si>
  <si>
    <t>County where school is located</t>
  </si>
  <si>
    <t xml:space="preserve">Field trips </t>
  </si>
  <si>
    <t>School uniforms</t>
  </si>
  <si>
    <t>Athletic expenditures</t>
  </si>
  <si>
    <t>Per Student</t>
  </si>
  <si>
    <t>FINANCIAL PLAN WORKBOOK INSTRUCTIONS</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</si>
  <si>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</si>
  <si>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The general operating expense assumptions section houses the majority of the expenditures that are necessary to operate your charter school.</t>
  </si>
  <si>
    <t>School Inputs</t>
  </si>
  <si>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</si>
  <si>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Technology Support Services</t>
  </si>
  <si>
    <t>Special Ed/Psychology Consultant</t>
  </si>
  <si>
    <t>Annual Expense</t>
  </si>
  <si>
    <t>Travel and Meetings</t>
  </si>
  <si>
    <t>Food services</t>
  </si>
  <si>
    <t>Dues and memberships</t>
  </si>
  <si>
    <t>Yearbook</t>
  </si>
  <si>
    <t>School store</t>
  </si>
  <si>
    <t>Contracted SPED</t>
  </si>
  <si>
    <t>Music program</t>
  </si>
  <si>
    <t>% of S&amp;L Revenues</t>
  </si>
  <si>
    <t>Accounting services</t>
  </si>
  <si>
    <t>Background checks</t>
  </si>
  <si>
    <t>FTE Cell phones (monthly coverage)</t>
  </si>
  <si>
    <t>Per new FTE</t>
  </si>
  <si>
    <t>Number of classrooms</t>
  </si>
  <si>
    <t>Per classroom</t>
  </si>
  <si>
    <t>Computer Software</t>
  </si>
  <si>
    <t>Carson City</t>
  </si>
  <si>
    <t>Churchill</t>
  </si>
  <si>
    <t>Clark</t>
  </si>
  <si>
    <t>Douglas</t>
  </si>
  <si>
    <t>Elko</t>
  </si>
  <si>
    <t>Esmeralda</t>
  </si>
  <si>
    <t>Eureka</t>
  </si>
  <si>
    <t>Humboldt</t>
  </si>
  <si>
    <t>Lander</t>
  </si>
  <si>
    <t>Lincoln</t>
  </si>
  <si>
    <t>Lyon</t>
  </si>
  <si>
    <t>Mineral</t>
  </si>
  <si>
    <t>Nye</t>
  </si>
  <si>
    <t>Pershing</t>
  </si>
  <si>
    <t>Storey</t>
  </si>
  <si>
    <t>Washoe</t>
  </si>
  <si>
    <t>White Pine</t>
  </si>
  <si>
    <t>County District</t>
  </si>
  <si>
    <t>Enrollment</t>
  </si>
  <si>
    <t>Multi-District</t>
  </si>
  <si>
    <t>Subtotal</t>
  </si>
  <si>
    <t>DSA</t>
  </si>
  <si>
    <t>State Special Education Funding</t>
  </si>
  <si>
    <t>Charter start-up funds (Federal R&amp;E already awarded to operator--not SEA grant)</t>
  </si>
  <si>
    <t>R&amp;E start-up funds</t>
  </si>
  <si>
    <t>Other start-up funds</t>
  </si>
  <si>
    <t>DSA Funding</t>
  </si>
  <si>
    <t>July</t>
  </si>
  <si>
    <t>August</t>
  </si>
  <si>
    <t>September</t>
  </si>
  <si>
    <t>October</t>
  </si>
  <si>
    <t>November</t>
  </si>
  <si>
    <t>December</t>
  </si>
  <si>
    <t>January</t>
  </si>
  <si>
    <t>February</t>
  </si>
  <si>
    <t>March</t>
  </si>
  <si>
    <t>April</t>
  </si>
  <si>
    <t xml:space="preserve">May </t>
  </si>
  <si>
    <t>June</t>
  </si>
  <si>
    <t>REVENUES</t>
  </si>
  <si>
    <t>Distributive School Acct</t>
  </si>
  <si>
    <t>Total Revenues</t>
  </si>
  <si>
    <t>Total Revenues Y-T-D</t>
  </si>
  <si>
    <t>EXPENDITURES</t>
  </si>
  <si>
    <t>Salaries</t>
  </si>
  <si>
    <t>Benefits</t>
  </si>
  <si>
    <t>Contracts</t>
  </si>
  <si>
    <t>Total Expenses Y-T-D</t>
  </si>
  <si>
    <t>Projected Cash Balance Statement</t>
  </si>
  <si>
    <t>Net change in Cash (F/B)</t>
  </si>
  <si>
    <t>Begin Cash Balance(F/B)</t>
  </si>
  <si>
    <t>End Cash Balance (F/B)</t>
  </si>
  <si>
    <t>Licensing fees</t>
  </si>
  <si>
    <t>Outside Revenue</t>
  </si>
  <si>
    <t xml:space="preserve">Total </t>
  </si>
  <si>
    <t>FTE Count</t>
  </si>
  <si>
    <t>Grade Level</t>
  </si>
  <si>
    <t>Subject</t>
  </si>
  <si>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</si>
  <si>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t>DSA Sponsorship Fee</t>
  </si>
  <si>
    <t>Total Expenditures</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</si>
  <si>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</si>
  <si>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</si>
  <si>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</si>
  <si>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</si>
  <si>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t>Total Distributive School Account, including local revenue (funding per student)</t>
  </si>
  <si>
    <t>Title III</t>
  </si>
  <si>
    <t>Title IIA</t>
  </si>
  <si>
    <t>Per student FRL Student</t>
  </si>
  <si>
    <t>Per ELL student</t>
  </si>
  <si>
    <t>Title IA</t>
  </si>
  <si>
    <t>Per student FRL Student (note additional $3.50 per non FRL student)</t>
  </si>
  <si>
    <t>Per student (up to 13%)</t>
  </si>
  <si>
    <t>Inflation adjustor</t>
  </si>
  <si>
    <t>Applies to DSA and Sponsorship fee</t>
  </si>
  <si>
    <t>Per emplooyee per year</t>
  </si>
  <si>
    <t>Percentage of Salary</t>
  </si>
  <si>
    <t>yes</t>
  </si>
  <si>
    <t>Student Fees</t>
  </si>
  <si>
    <t>Food Service</t>
  </si>
  <si>
    <t>Fundraising / Donations</t>
  </si>
  <si>
    <t>% Revenue YTD</t>
  </si>
  <si>
    <t>% Budget YTD</t>
  </si>
  <si>
    <t>Number of Occupants</t>
  </si>
  <si>
    <t>Sq ft / Students</t>
  </si>
  <si>
    <t>Sq ft / Occupants</t>
  </si>
  <si>
    <t>YTD (Rev &gt; Exp)</t>
  </si>
  <si>
    <t>Percentage of Revenue</t>
  </si>
  <si>
    <t>SF/pupil</t>
  </si>
  <si>
    <t xml:space="preserve">  Net/p</t>
  </si>
  <si>
    <t>PER PUPIL</t>
  </si>
  <si>
    <t>PERCENT TOTAL REVENUE</t>
  </si>
  <si>
    <t>Number of Admin</t>
  </si>
  <si>
    <t xml:space="preserve">   Student/Admin ratio</t>
  </si>
  <si>
    <t xml:space="preserve">   Teacher/Admin ratio</t>
  </si>
  <si>
    <t>Number of Office (non Admin)</t>
  </si>
  <si>
    <t>Number of Teachers (Total)</t>
  </si>
  <si>
    <t>Number of Teachers (Grade)</t>
  </si>
  <si>
    <t xml:space="preserve">   Student/Office ratio</t>
  </si>
  <si>
    <t xml:space="preserve">   Teacher/Office ratio</t>
  </si>
  <si>
    <t xml:space="preserve">   Surplus % pp funding</t>
  </si>
  <si>
    <t xml:space="preserve">   Subtotal</t>
  </si>
  <si>
    <t>Salaries/Teachers-Grade Level</t>
  </si>
  <si>
    <t xml:space="preserve">   # students &gt; Bkeven</t>
  </si>
  <si>
    <t xml:space="preserve">   % students &gt; Bkeven</t>
  </si>
  <si>
    <t>Square Feet (Facility, Conditioned)</t>
  </si>
  <si>
    <t xml:space="preserve">Title IIA Professional Dev </t>
  </si>
  <si>
    <t>Cash/Expense X</t>
  </si>
  <si>
    <t>Benefits/Salaries Exp</t>
  </si>
  <si>
    <t># Employees</t>
  </si>
  <si>
    <t>Benefits/Employee</t>
  </si>
  <si>
    <t>Salaries/Employee</t>
  </si>
  <si>
    <t>Test Academy</t>
  </si>
  <si>
    <t>SY Ending</t>
  </si>
  <si>
    <t>School Year 1 (Fall Start)</t>
  </si>
  <si>
    <t>SY 1</t>
  </si>
  <si>
    <t>SY 2</t>
  </si>
  <si>
    <t>SY 3</t>
  </si>
  <si>
    <t>SY 4</t>
  </si>
  <si>
    <t>SY 5</t>
  </si>
  <si>
    <t>SY 6</t>
  </si>
  <si>
    <t>Special Education (SPED) Weighted Funding</t>
  </si>
  <si>
    <t>ENROLLMENT</t>
  </si>
  <si>
    <t xml:space="preserve">Winter, Spring  </t>
  </si>
  <si>
    <t>Fall, Winter</t>
  </si>
  <si>
    <t>Total Revenue / Pupil</t>
  </si>
  <si>
    <t>Mike Dang</t>
  </si>
  <si>
    <t>Nevada State Public Charter School Authority</t>
  </si>
  <si>
    <t>Position Description</t>
  </si>
  <si>
    <t>Number of Staff Per Position (FTE's)</t>
  </si>
  <si>
    <t>Office Manager</t>
  </si>
  <si>
    <t>FICA Expense</t>
  </si>
  <si>
    <t>Medicare Expense</t>
  </si>
  <si>
    <t>Public meeting with hosting</t>
  </si>
  <si>
    <t>Staff Recruitment/Hiring</t>
  </si>
  <si>
    <t>Website Development</t>
  </si>
  <si>
    <t>Brochures/Information</t>
  </si>
  <si>
    <t>Nonprofit Incorporation</t>
  </si>
  <si>
    <t>Charter Contract Operations Term</t>
  </si>
  <si>
    <t>SY 0</t>
  </si>
  <si>
    <t>Fall of School Year 1 =</t>
  </si>
  <si>
    <t>School Operations Year 1</t>
  </si>
  <si>
    <t>(Carry over totals and input to appropriate worksheets)</t>
  </si>
  <si>
    <t>(This is a year 1 budget.  It is not a pre-opening budget)</t>
  </si>
  <si>
    <t>Be sure to copy year 1 information from the Cashflow Worksheet</t>
  </si>
  <si>
    <t>Total</t>
  </si>
  <si>
    <t>Application Costs Consultants:</t>
  </si>
  <si>
    <t xml:space="preserve">Other </t>
  </si>
  <si>
    <t>Average Salary 
for Position</t>
  </si>
  <si>
    <t>TOTAL USES THROUGH PRE-OPENING</t>
  </si>
  <si>
    <t>TOTAL SOURCES THROUGH PRE-OPENING</t>
  </si>
  <si>
    <t>Lease sq ft</t>
  </si>
  <si>
    <t>Capital Outlay (building renovations, Tenant Improvements)</t>
  </si>
  <si>
    <t>Projected</t>
  </si>
  <si>
    <t>SY1 Ending</t>
  </si>
  <si>
    <t>SURPLUS/(DEFICIT) Per Pupil</t>
  </si>
  <si>
    <t>NSPF Rtg</t>
  </si>
  <si>
    <t>Location(s) under consideration: (Address or cross street, City, County)</t>
  </si>
  <si>
    <t>702.486.8879</t>
  </si>
  <si>
    <t>Budget Summary Report</t>
  </si>
  <si>
    <t>Office 4</t>
  </si>
  <si>
    <t>DRAFT</t>
  </si>
  <si>
    <t>Sources &gt; Uses (&lt;, less than)</t>
  </si>
  <si>
    <t>SPED</t>
  </si>
  <si>
    <t>ELL</t>
  </si>
  <si>
    <t>FRL
Students</t>
  </si>
  <si>
    <t>ELL
Students</t>
  </si>
  <si>
    <t>FRL</t>
  </si>
  <si>
    <t>OSRev/Tot</t>
  </si>
  <si>
    <t>Rev/CCSD</t>
  </si>
  <si>
    <t>CAM (Common Area Maintenance &amp; Other)</t>
  </si>
  <si>
    <t>Custodial (Non CAM)</t>
  </si>
  <si>
    <t>Part-Time Wages</t>
  </si>
  <si>
    <t>Performance Bonuses</t>
  </si>
  <si>
    <t>Difference</t>
  </si>
  <si>
    <t>Index</t>
  </si>
  <si>
    <t>Planned
Enrollment</t>
  </si>
  <si>
    <t>Pmt
Freq</t>
  </si>
  <si>
    <t>Avg/St</t>
  </si>
  <si>
    <t>SYE-20 Rates</t>
  </si>
  <si>
    <t>Total EMO-CMO-ESP Planned Expenses</t>
  </si>
  <si>
    <t>If Lease, then facility type:</t>
  </si>
  <si>
    <t>Retail/shopping, office, industrial, school, church, other__________</t>
  </si>
  <si>
    <t>City/County sign off of improvement plans--all required work identified</t>
  </si>
  <si>
    <t xml:space="preserve">Supervision of building Design &amp; Remodeling, </t>
  </si>
  <si>
    <t xml:space="preserve">Development of Curriculum and Instruction, </t>
  </si>
  <si>
    <t xml:space="preserve">Professional Development and </t>
  </si>
  <si>
    <t xml:space="preserve">Establishment of College Guidance &amp; Counseling Program. </t>
  </si>
  <si>
    <t xml:space="preserve">      v.      Volunteers at the charter school; and</t>
  </si>
  <si>
    <t>      iii.      The sponsor of the charter school;</t>
  </si>
  <si>
    <t>Premium/SYr</t>
  </si>
  <si>
    <t>Liability - Liability coverage for premises you rent or own.</t>
  </si>
  <si>
    <t>Pd Pmt Amounts</t>
  </si>
  <si>
    <t>Purchasing</t>
  </si>
  <si>
    <t>Sponsorship Fee</t>
  </si>
  <si>
    <t>EMO Payments Net</t>
  </si>
  <si>
    <t>Bank Fees &amp; Points</t>
  </si>
  <si>
    <t>Interest Exp</t>
  </si>
  <si>
    <t>Financing Fees &amp; Points</t>
  </si>
  <si>
    <t>Qrtr</t>
  </si>
  <si>
    <t>Mon</t>
  </si>
  <si>
    <t>Totals</t>
  </si>
  <si>
    <t>Annual Cost</t>
  </si>
  <si>
    <t>New Laptops - faculty (acquisition cost)</t>
  </si>
  <si>
    <t>Laptop replacement (acquisition cost)</t>
  </si>
  <si>
    <t>Laptop depreciation expense</t>
  </si>
  <si>
    <t>Per new laptop</t>
  </si>
  <si>
    <t>Mobile lap top cart  and/or student desktops (acquisition costs)</t>
  </si>
  <si>
    <t>Mobile lap top cart  and/or student desktops replacements (acquisition costs)</t>
  </si>
  <si>
    <t>Mobile lap top cart  and/or student desktops depreciation expense</t>
  </si>
  <si>
    <t>FTE cell phone handset (acquisition cost)</t>
  </si>
  <si>
    <t>FTE cell phone handset replacement (acquisition cost)</t>
  </si>
  <si>
    <t>FTE cell phone handset depreciation expense</t>
  </si>
  <si>
    <t>Server (acquisition cost)</t>
  </si>
  <si>
    <t>Server replacement (acquisition cost)</t>
  </si>
  <si>
    <t>Server depreciation expense</t>
  </si>
  <si>
    <t>Classroom technology (acquisition cost)</t>
  </si>
  <si>
    <t>Classroom technology replacement (acquisition cost)</t>
  </si>
  <si>
    <t>Classroom technology depreciation expense</t>
  </si>
  <si>
    <t>3 year life</t>
  </si>
  <si>
    <t>per NV Personal Property Manual</t>
  </si>
  <si>
    <t>5 year life</t>
  </si>
  <si>
    <t>Other Equipment (security system)(Hardware costs, setup fees) (acquisition cost)</t>
  </si>
  <si>
    <t>Other Equipment replacement (acquisition cost)</t>
  </si>
  <si>
    <t>Depreciation expense (please calculate depreciation on a straight line basis)</t>
  </si>
  <si>
    <t>Expected years</t>
  </si>
  <si>
    <t>Computer Hardware (not already included in prior lines) (acquisition cost)</t>
  </si>
  <si>
    <t>Computer Hardware replacement (cost of acquisition)</t>
  </si>
  <si>
    <t>Computer Hardware depreciation expense</t>
  </si>
  <si>
    <t>Faculty furniture (acquisition cost)</t>
  </si>
  <si>
    <t>Student furniture (acquisition cost)</t>
  </si>
  <si>
    <t>Capital Outlay depreciation expense</t>
  </si>
  <si>
    <t>Total cash cost to lease</t>
  </si>
  <si>
    <t>Total cash costs to purchase</t>
  </si>
  <si>
    <t xml:space="preserve">Estimated annual interest expense </t>
  </si>
  <si>
    <t>(based on PV of all interest payments)</t>
  </si>
  <si>
    <t>TOTAL FACILITIES CASH COSTS</t>
  </si>
  <si>
    <t>Method of Marketing</t>
  </si>
  <si>
    <t>Total Cost</t>
  </si>
  <si>
    <t>Instructional Supplies</t>
  </si>
  <si>
    <t>Athletics</t>
  </si>
  <si>
    <t>Lease/Mortgage</t>
  </si>
  <si>
    <t>Marketing</t>
  </si>
  <si>
    <t>CAM</t>
  </si>
  <si>
    <t>Insurance</t>
  </si>
  <si>
    <t>Loans/Financing Acquired</t>
  </si>
  <si>
    <t>Loans/Financing Repaid</t>
  </si>
  <si>
    <t>FINANCING ACTIVITIES</t>
  </si>
  <si>
    <t>Net Change in cash from operations</t>
  </si>
  <si>
    <t>Net change in cash from financing</t>
  </si>
  <si>
    <t>FFE&amp;T</t>
  </si>
  <si>
    <t xml:space="preserve">Total Revenue </t>
  </si>
  <si>
    <t>Percentage of Expense</t>
  </si>
  <si>
    <t>% of available cash at start of month</t>
  </si>
  <si>
    <t>% of available cash at end of month</t>
  </si>
  <si>
    <t>Loan Balance</t>
  </si>
  <si>
    <t>Interest Expense (assumes 24% APR)</t>
  </si>
  <si>
    <t>State SPED Funding</t>
  </si>
  <si>
    <t>Charter Start up funds</t>
  </si>
  <si>
    <t>Private Fundraising</t>
  </si>
  <si>
    <t>Fundraising Donations</t>
  </si>
  <si>
    <t>Total lease book expense</t>
  </si>
  <si>
    <t>TOTAL FACILITIES Book Expense</t>
  </si>
  <si>
    <t>Total purchase book  expense</t>
  </si>
  <si>
    <t>Covered but</t>
  </si>
  <si>
    <t>Fundraising Donations (w/Ltr of Support)</t>
  </si>
  <si>
    <t>Private Fundraising (w/Ltr of Support)</t>
  </si>
  <si>
    <t>SURPLUS/(DEFICIT)(Cumu')</t>
  </si>
  <si>
    <t>Totals / Max'</t>
  </si>
  <si>
    <t>Growth, # students</t>
  </si>
  <si>
    <t xml:space="preserve">   Target Reenrollment (NRS 388A.273)</t>
  </si>
  <si>
    <t xml:space="preserve">   FRL (# of students)</t>
  </si>
  <si>
    <t xml:space="preserve">   ELL (# of students)</t>
  </si>
  <si>
    <t>Special Education (% of students)</t>
  </si>
  <si>
    <t>ELL (% of students)</t>
  </si>
  <si>
    <t>FRL (% of students)</t>
  </si>
  <si>
    <t>Special Education (# of students)</t>
  </si>
  <si>
    <t>Special Education Teachers (#)</t>
  </si>
  <si>
    <t>Schedule estimate</t>
  </si>
  <si>
    <t>Student / Classroom (w/o teachers)</t>
  </si>
  <si>
    <t>STUDENT RECRUITMENT AND MARKETING</t>
  </si>
  <si>
    <t>SY Ending (SYE)</t>
  </si>
  <si>
    <t>School Year 1 (Fall Start) Teaching Starts</t>
  </si>
  <si>
    <t xml:space="preserve">   Student/Classroom w/o Teacher</t>
  </si>
  <si>
    <t xml:space="preserve">   Student/Teacher</t>
  </si>
  <si>
    <t>Ending Fund Balance (cumulative)</t>
  </si>
  <si>
    <t>Bundled? y/n</t>
  </si>
  <si>
    <t>Coverage</t>
  </si>
  <si>
    <t>Minimum</t>
  </si>
  <si>
    <t>EMO / CMO Fee See Tab</t>
  </si>
  <si>
    <t>Y/N</t>
  </si>
  <si>
    <t>EMO Payments</t>
  </si>
  <si>
    <t>Flat fee per student per year (Years 4-6)</t>
  </si>
  <si>
    <t>Flat fee per student per year (Years 1-3, Startup)</t>
  </si>
  <si>
    <t>% fee per revenue per year (Years 1-3, Startup)</t>
  </si>
  <si>
    <t>% fee per revenue per year (Years 4-6)</t>
  </si>
  <si>
    <t>Other fee structure (describe)</t>
  </si>
  <si>
    <t>Cost</t>
  </si>
  <si>
    <t>Pass Thru?</t>
  </si>
  <si>
    <t>Other (Describe)</t>
  </si>
  <si>
    <t>y</t>
  </si>
  <si>
    <t>Cost plus (Years 4-6)</t>
  </si>
  <si>
    <t>Total Revenue</t>
  </si>
  <si>
    <t>Phone number</t>
  </si>
  <si>
    <t xml:space="preserve">  email address</t>
  </si>
  <si>
    <t>SPED Students/Teacher</t>
  </si>
  <si>
    <t>Grade
Level(s)</t>
  </si>
  <si>
    <t>Capacity</t>
  </si>
  <si>
    <t xml:space="preserve">
Enrollment</t>
  </si>
  <si>
    <t>From</t>
  </si>
  <si>
    <t>Food Costs</t>
  </si>
  <si>
    <t>PART TIME WAGES</t>
  </si>
  <si>
    <t>TOTAL FFE &amp; T COSTS (book expense)</t>
  </si>
  <si>
    <t>TOTAL FFE &amp; T COSTS (cash acquisition cost)</t>
  </si>
  <si>
    <t>Management fees (Other--not EMO; not CMO)</t>
  </si>
  <si>
    <t>Other fee structure (describe)%</t>
  </si>
  <si>
    <t xml:space="preserve">   Furniture depreciation (based on 15 year life, per NV Personal Property Manual)</t>
  </si>
  <si>
    <t>This is a worksheet.  Select items are pulled from this sheet to the Budget Summary.</t>
  </si>
  <si>
    <t>General Liability Aggregate</t>
  </si>
  <si>
    <t>General Liability Per Occurrence</t>
  </si>
  <si>
    <t>Products/Completed Operations Aggregate</t>
  </si>
  <si>
    <t>Personal and Advertising Injury</t>
  </si>
  <si>
    <t>Student Accident - per accident</t>
  </si>
  <si>
    <t>Employee Benefits Liability Per Occurrence</t>
  </si>
  <si>
    <t>Employee Benefits Liability Aggregate</t>
  </si>
  <si>
    <t>Commercial Auto Liability</t>
  </si>
  <si>
    <t>Building Limit</t>
  </si>
  <si>
    <t>Employee Dishonesty/Crime</t>
  </si>
  <si>
    <t>Educators Legal Liability Per Occurrence</t>
  </si>
  <si>
    <t>Educators Legal Liability Aggregate</t>
  </si>
  <si>
    <t>Directors &amp; Officers Liability Per Occurrence</t>
  </si>
  <si>
    <t>Directors &amp; Officers Liability Aggregate</t>
  </si>
  <si>
    <t>Employment Practices Liability Per Occurrence</t>
  </si>
  <si>
    <t>Employment Practices Liability Aggregate</t>
  </si>
  <si>
    <t>Workers Compensation</t>
  </si>
  <si>
    <t>Excess/Umbrella Liability</t>
  </si>
  <si>
    <t>Student / Classroom</t>
  </si>
  <si>
    <t xml:space="preserve">Total Special EducationTeachers </t>
  </si>
  <si>
    <t>Grade Level (Core) Teachers</t>
  </si>
  <si>
    <t xml:space="preserve">Surplus/(Deficit)-Schl &amp; Pri' Fundraising-S Fees </t>
  </si>
  <si>
    <t>Surplus/(Deficit) (Cumu')</t>
  </si>
  <si>
    <t xml:space="preserve">  Estimated # students to newly enroll</t>
  </si>
  <si>
    <t>Lease cost/sf/month</t>
  </si>
  <si>
    <t>Educational software/curriculum</t>
  </si>
  <si>
    <t>Potential location(s) under consideration: (Address or cross street, City, County)</t>
  </si>
  <si>
    <t xml:space="preserve">  Ethnicity</t>
  </si>
  <si>
    <t>Special Population</t>
  </si>
  <si>
    <t>IEP</t>
  </si>
  <si>
    <t>Asians</t>
  </si>
  <si>
    <t>Black</t>
  </si>
  <si>
    <t>C-White</t>
  </si>
  <si>
    <t>Hispanic</t>
  </si>
  <si>
    <t>I-Native
American</t>
  </si>
  <si>
    <t>Multiple</t>
  </si>
  <si>
    <t>Pacific
Islander</t>
  </si>
  <si>
    <t>OPERATING EXPENDITURES &amp; OTHER CASH OUTLAYS</t>
  </si>
  <si>
    <t>Capital Outlay (TI)</t>
  </si>
  <si>
    <t>Security Deposits (Site Lease)</t>
  </si>
  <si>
    <t>Security Deposit(s)(post to Cashflow ("CF Y1 Mo" tab)</t>
  </si>
  <si>
    <t>Campus security</t>
  </si>
  <si>
    <t>/yr</t>
  </si>
  <si>
    <t>Facility lease cost</t>
  </si>
  <si>
    <t>Enrollment, Staffing, Expenses</t>
  </si>
  <si>
    <t>Property- Coverage for building or personal property you own.</t>
  </si>
  <si>
    <t>Professional Liability - Coverage for teachers and professional educators</t>
  </si>
  <si>
    <t>Workers Compensation - Coverage for injury or accident for employees.</t>
  </si>
  <si>
    <t>Automobile - Coverage for any owned automobiles by the school.</t>
  </si>
  <si>
    <t>Cyberliability- Coverage due to loss if computer systems hacked.</t>
  </si>
  <si>
    <t>Umbrella - Coverage due to claim exhausting Liability limits.</t>
  </si>
  <si>
    <t>General liability insurance</t>
  </si>
  <si>
    <t>Umbrella liability insurance</t>
  </si>
  <si>
    <t>Educators’ legal liability insurance</t>
  </si>
  <si>
    <t>Employment practices liability insurance</t>
  </si>
  <si>
    <t>Employment benefits liability insurance</t>
  </si>
  <si>
    <t>Motor vehicle liability insurance if applicable</t>
  </si>
  <si>
    <t>Liability insurance for sports and athletic participation</t>
  </si>
  <si>
    <t xml:space="preserve">       i.      Coverage for molestation and sexual abuse</t>
  </si>
  <si>
    <t xml:space="preserve">       ii.      Broad form policy, with the named insureds as follows:</t>
  </si>
  <si>
    <t xml:space="preserve">      iv.      All employees: former, present and future</t>
  </si>
  <si>
    <t>Employment Practices Liability - discrimination, termination, harassment.</t>
  </si>
  <si>
    <t>Accident Insurance - For volunteers or students due to accident at school.</t>
  </si>
  <si>
    <t>Directors and Officers - For director or officers of the school.</t>
  </si>
  <si>
    <t>Errors and Omissions (of sponsor and governing body of charter school)</t>
  </si>
  <si>
    <t xml:space="preserve">      vi.      Directors, including, without limitation, executive directors.</t>
  </si>
  <si>
    <t>Insurance Coverage</t>
  </si>
  <si>
    <t>Check with your attorney or insurance agent as to what types of insurance you may need.</t>
  </si>
  <si>
    <t>Marketing Plan &amp; Implementation</t>
  </si>
  <si>
    <t>Market Statistics for School</t>
  </si>
  <si>
    <t>Abuse or Molestation: Aggregate</t>
  </si>
  <si>
    <t>Abuse or Molestation: Per Occurrence</t>
  </si>
  <si>
    <t>Insurance types (Depending on coverage)</t>
  </si>
  <si>
    <t>(Add other coverages here)</t>
  </si>
  <si>
    <t>HR Management</t>
  </si>
  <si>
    <t>Total Expenses (w/o EMO/CMO Fees)</t>
  </si>
  <si>
    <t>Education Management Organization (EMO)</t>
  </si>
  <si>
    <t>Charter Management Organization (CMO)</t>
  </si>
  <si>
    <t>Manage or Operate aspects of a charter school</t>
  </si>
  <si>
    <t>Incl'd</t>
  </si>
  <si>
    <t>in fee?</t>
  </si>
  <si>
    <t>Service?</t>
  </si>
  <si>
    <t xml:space="preserve">Cash Advances For Startup Funds, </t>
  </si>
  <si>
    <t xml:space="preserve">Capital Loans, </t>
  </si>
  <si>
    <t xml:space="preserve">Facility Leasing, </t>
  </si>
  <si>
    <t xml:space="preserve">Bond Financing, </t>
  </si>
  <si>
    <t xml:space="preserve">Technology Contracting, </t>
  </si>
  <si>
    <t xml:space="preserve">Furnishings, Fixtures, </t>
  </si>
  <si>
    <t xml:space="preserve">Textbooks, Other Transactions, </t>
  </si>
  <si>
    <t>Computer/Other Leasing</t>
  </si>
  <si>
    <t>Food Servicing</t>
  </si>
  <si>
    <t>Contract Mgt</t>
  </si>
  <si>
    <t>Internal Control Process Development</t>
  </si>
  <si>
    <t>"Back office" functions (A/P, A/R, Payroll, Inventory, financial, compliance, reporting)</t>
  </si>
  <si>
    <t xml:space="preserve">Mike Dang, 702.486.8879, mdang@spcsa.nv.gov </t>
  </si>
  <si>
    <t>Cover Sheet</t>
  </si>
  <si>
    <t>Proposed Name of School</t>
  </si>
  <si>
    <t>Name of lead contact(s)</t>
  </si>
  <si>
    <t>For start-up funding</t>
  </si>
  <si>
    <t>For fundraising</t>
  </si>
  <si>
    <t>Site 2</t>
  </si>
  <si>
    <t>Specific address recommended but not required .  Target cross streets required at a minimum.</t>
  </si>
  <si>
    <t>Specific address recommended but not required.</t>
  </si>
  <si>
    <t>Site 1</t>
  </si>
  <si>
    <t>Special Education (SPED) Teachers</t>
  </si>
  <si>
    <t>English Language Learner (ELL) Teachers</t>
  </si>
  <si>
    <t>Total ELL Teachers</t>
  </si>
  <si>
    <t xml:space="preserve">Total Special Education/ELL Teachers/Guidance Counselors </t>
  </si>
  <si>
    <t>Total Guidance Counselors/Other</t>
  </si>
  <si>
    <t>na</t>
  </si>
  <si>
    <t>DSA Rates</t>
  </si>
  <si>
    <t>Three sample Listings of buildings in targeted/planned zip code being considered.</t>
  </si>
  <si>
    <t>Listing must show available square footage, lease rates, location. (E.g., Loopnet)</t>
  </si>
  <si>
    <t>SY 0/Incubation</t>
  </si>
  <si>
    <t>Guidance Counselor &amp; Other</t>
  </si>
  <si>
    <t>FTE - Office</t>
  </si>
  <si>
    <t>FTE - Administrators</t>
  </si>
  <si>
    <t>FTE - SPED/ELL Teachers, Counselors</t>
  </si>
  <si>
    <t>FTE - Grade Level Teachers</t>
  </si>
  <si>
    <t xml:space="preserve">   FTE - Total </t>
  </si>
  <si>
    <t>Number of Teachers (ELL)</t>
  </si>
  <si>
    <t>Number of Teachers (SPED)</t>
  </si>
  <si>
    <t>Total Teachers (SPED, ELL, Grade + Counselors)</t>
  </si>
  <si>
    <t>General</t>
  </si>
  <si>
    <t>UNEMPLOYMENT INSURANCE</t>
  </si>
  <si>
    <t>TOTAL STATE RETIREMENT COSTS</t>
  </si>
  <si>
    <t>LIFE INSURANCE</t>
  </si>
  <si>
    <t>TOTAL UNEMPLOYMENT INSURANCE</t>
  </si>
  <si>
    <t>TOTAL LIFE INSURANCE</t>
  </si>
  <si>
    <t>Total - Personnel</t>
  </si>
  <si>
    <t>General Operating</t>
  </si>
  <si>
    <t>Balance check (all expenses accounted for on this page)</t>
  </si>
  <si>
    <t>PERSONNEL (W/PAYROLL)</t>
  </si>
  <si>
    <t>Salaries: Teachers (ELL)</t>
  </si>
  <si>
    <t>Salaries: Teachers (SPED)</t>
  </si>
  <si>
    <t>Salaries: Office staff</t>
  </si>
  <si>
    <t>Salaries: Administrator</t>
  </si>
  <si>
    <t>Revenue/pupil</t>
  </si>
  <si>
    <t>Expenses/pupil</t>
  </si>
  <si>
    <t xml:space="preserve">All potential source Public, 
Private, Charter Schools </t>
  </si>
  <si>
    <t xml:space="preserve">Planned school year starting in August </t>
  </si>
  <si>
    <t>The above list may serve as a prompt of insurance coverages and insurance packages that need to be considered and acquired.</t>
  </si>
  <si>
    <t>Consult with your insurance agent regarding the coverages your school, faculty, leadership and board may need or want.</t>
  </si>
  <si>
    <t>Attach supporting documentation regarding sources of funds included.</t>
  </si>
  <si>
    <t>EMO-CMO Budget Worksheet</t>
  </si>
  <si>
    <t>EMO/CMO Services / Fee basis/Type</t>
  </si>
  <si>
    <t>Year 1 Cash Flow Worksheet</t>
  </si>
  <si>
    <t>Variance</t>
  </si>
  <si>
    <t>RECONCILIATION (Do not print this section)</t>
  </si>
  <si>
    <t>Worksheet: Incubation Year</t>
  </si>
  <si>
    <t>Pre-Approval &amp; Pre-Opening</t>
  </si>
  <si>
    <t>Uses</t>
  </si>
  <si>
    <t>SOURCES OF FUNDS TO COVER PRE-APPROVAL AND PRE-OPENING COSTS</t>
  </si>
  <si>
    <t>6 yr+0</t>
  </si>
  <si>
    <t>Other</t>
  </si>
  <si>
    <t>Other Pre-approval &amp; Pre-Opening</t>
  </si>
  <si>
    <t>Non Revenue Sources of funds</t>
  </si>
  <si>
    <t>To pull to other sheets</t>
  </si>
  <si>
    <t>Square Feet</t>
  </si>
  <si>
    <t xml:space="preserve">Maintenance </t>
  </si>
  <si>
    <t>CAM/Maintenance</t>
  </si>
  <si>
    <t>Campus Security</t>
  </si>
  <si>
    <t>I added "if" functions here so that other sheets that pull from facilities will update for lease vs purchase.  These rows will probably be able to be hidden in the final workbook.</t>
  </si>
  <si>
    <t>Distance fr school</t>
  </si>
  <si>
    <t>Over
 Capacity</t>
  </si>
  <si>
    <t>Potential Site 2</t>
  </si>
  <si>
    <t>Location(s) under consideration: (Addresses or cross streets, City)(1 minimum, 2 maximum)</t>
  </si>
  <si>
    <t>Remove lines which are not applicable to your school.  Add desriptions and amounts where needed.</t>
  </si>
  <si>
    <t>Example 1</t>
  </si>
  <si>
    <t>Example 2</t>
  </si>
  <si>
    <t>Applicant yr1</t>
  </si>
  <si>
    <t>500 Students</t>
  </si>
  <si>
    <t>Grade levels</t>
  </si>
  <si>
    <t>9th-12th</t>
  </si>
  <si>
    <t>Students per CR</t>
  </si>
  <si>
    <t>25:1</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</si>
  <si>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</si>
  <si>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</si>
  <si>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</si>
  <si>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</si>
  <si>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</si>
  <si>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</si>
  <si>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</si>
  <si>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</si>
  <si>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</si>
  <si>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</si>
  <si>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</si>
  <si>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</si>
  <si>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</si>
  <si>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</si>
  <si>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</si>
  <si>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</si>
  <si>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</si>
  <si>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</si>
  <si>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</si>
  <si>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</si>
  <si>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</si>
  <si>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</si>
  <si>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</si>
  <si>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</si>
  <si>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</si>
  <si>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</si>
  <si>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</si>
  <si>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</si>
  <si>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</si>
  <si>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</si>
  <si>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</si>
  <si>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</si>
  <si>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</si>
  <si>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</si>
  <si>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</si>
  <si>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</si>
  <si>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</si>
  <si>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</si>
  <si>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</si>
  <si>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</si>
  <si>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</si>
  <si>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</si>
  <si>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</si>
  <si>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</si>
  <si>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32,000 + 4,800 = 36,800</t>
  </si>
  <si>
    <t>Low</t>
  </si>
  <si>
    <t>High</t>
  </si>
  <si>
    <t>Type of Space</t>
  </si>
  <si>
    <t>Total estimated square feet</t>
  </si>
  <si>
    <t>Total square feet per student</t>
  </si>
  <si>
    <t>73.6 SF per student</t>
  </si>
  <si>
    <t>Avg</t>
  </si>
  <si>
    <t>High School (9-12)  27/classroom</t>
  </si>
  <si>
    <t>Middle School (7-8)  27/classroom</t>
  </si>
  <si>
    <t>Elementary (K-6)  25/classroom</t>
  </si>
  <si>
    <t>Detailed Analysis</t>
  </si>
  <si>
    <t>Enrolllment</t>
  </si>
  <si>
    <t># Classrooms</t>
  </si>
  <si>
    <t>Students/Classroom</t>
  </si>
  <si>
    <t>Interior Space PS-full size</t>
  </si>
  <si>
    <t>Classroom, circulation, other PS</t>
  </si>
  <si>
    <t>Enrol tab</t>
  </si>
  <si>
    <t>Fall</t>
  </si>
  <si>
    <t>Lease rate escalator</t>
  </si>
  <si>
    <t>Lease rate /yr w/esca'</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</si>
  <si>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</si>
  <si>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</si>
  <si>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</si>
  <si>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</si>
  <si>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EMO, CMO ala carte services to charter school</t>
  </si>
  <si>
    <t>Common Specifics</t>
  </si>
  <si>
    <t>Applicant yr3</t>
  </si>
  <si>
    <t>Common specifics</t>
  </si>
  <si>
    <t>Cost plus (Years 1-3, Startup)(select specific costs)</t>
  </si>
  <si>
    <t>SELECT "Purchase" or "Lease"</t>
  </si>
  <si>
    <t>Lease</t>
  </si>
  <si>
    <t>Facility Specifications - resource worksheet</t>
  </si>
  <si>
    <t>This space planning worksheet may assist you in considering your facility needs.  You are not required to complete this.  You may need less/more space.</t>
  </si>
  <si>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</si>
  <si>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</si>
  <si>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</si>
  <si>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</si>
  <si>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</si>
  <si>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</si>
  <si>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</si>
  <si>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</si>
  <si>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</si>
  <si>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</si>
  <si>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t>K-6</t>
  </si>
  <si>
    <t>Sample nearby school (Overwrite this)</t>
  </si>
  <si>
    <t>Lease rate no escalator/sf/yr</t>
  </si>
  <si>
    <t>Select applicable structure (if any)</t>
  </si>
  <si>
    <t>Perform</t>
  </si>
  <si>
    <t>Does the EMO provide the service or do they help you choose the service which you will pay for--separate</t>
  </si>
  <si>
    <t>from the EMO fee?</t>
  </si>
  <si>
    <t>Thank you for utilizing the Financial Plan Workbook to record your school plan and assumptions before and during the six-year contract.  This is a protected workbook and data should only be entered into the unprotected cells (yellow cells). To maximize usage of the Financial Plan Workbook, please familiarize yourself with the following general instructions prior to data entry.</t>
  </si>
  <si>
    <t>The Distributive School Account (DSA) funding per student is automatically populated depending on the county where the school is located (Cell F57).   If the school will be multi-district (e.g. a virtual school), the applicant must enter an estimated number of students per county in the County DSA tab to generate an appropriate figure.  A conservative assumption would be to assume 100 percent of students are from the county with the lowest DSA.</t>
  </si>
  <si>
    <t>The Inflation Adjuster in 'F46' is designed to account for any increases in the cost of labor and expenses over time. Please be sure to enter a cost of inflation in this cell. An inflation rate of 1.03 is a good rule of thumb for most charter school operators.</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</si>
  <si>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</si>
  <si>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</si>
  <si>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</si>
  <si>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</si>
  <si>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Investment Income</t>
  </si>
  <si>
    <t xml:space="preserve">                               Student Fees (As allowed by other public schools)</t>
  </si>
  <si>
    <t xml:space="preserve">                               Private fundraising (foundations, corporate)</t>
  </si>
  <si>
    <t xml:space="preserve">                               Private Fundraising</t>
  </si>
  <si>
    <t>Basic Information, Rows 1-76</t>
  </si>
  <si>
    <t>Facilities tab</t>
  </si>
  <si>
    <t>Complete either the Lease or the Purchase section.</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</si>
  <si>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</si>
  <si>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</si>
  <si>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</si>
  <si>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Furnishings, Fixtures, Equipment &amp; Technology</t>
  </si>
  <si>
    <t>FFE&amp;T (Furniture, Fixtures, Equipment &amp; Technology) tab</t>
  </si>
  <si>
    <t>Questions?  Contact:</t>
  </si>
  <si>
    <t>Enrol Staff &amp; Exp tab</t>
  </si>
  <si>
    <t>Summary tab</t>
  </si>
  <si>
    <t>No entry needed on this tab</t>
  </si>
  <si>
    <t>Market tab</t>
  </si>
  <si>
    <t>Marketing tab</t>
  </si>
  <si>
    <t>Use this tab to show your marketing plan to reach your target market.</t>
  </si>
  <si>
    <t>Staffing and Compensation Assumptions, rows 79+ (in above tab)</t>
  </si>
  <si>
    <t>Instructional Days, rows 105-108 (in above tab)</t>
  </si>
  <si>
    <t>General Operating Expense Assumptions, rows 1387+ (in above tab)</t>
  </si>
  <si>
    <t>Insurance tab</t>
  </si>
  <si>
    <t>Use this tab to show your insurance plan/budget.</t>
  </si>
  <si>
    <t>Incubation tab</t>
  </si>
  <si>
    <t>Use this tab to show your pre-opening plan/budget.</t>
  </si>
  <si>
    <t>EMO-CMO tab</t>
  </si>
  <si>
    <t>Use this tab to show your plan/budget -- if you use a EMO/CMO.</t>
  </si>
  <si>
    <t>Cashflow Year 1 tab</t>
  </si>
  <si>
    <t>Use this tab to "spread" your year 1 expenses out on a monthly basis.</t>
  </si>
  <si>
    <t>DSA Rates tab</t>
  </si>
  <si>
    <t>FYI</t>
  </si>
  <si>
    <t xml:space="preserve">Michael Hutchins, 775.687.9239, M.Hutchins@spcsa.nv.gov  </t>
  </si>
  <si>
    <t xml:space="preserve">Test </t>
  </si>
  <si>
    <t>Test</t>
  </si>
  <si>
    <t>Potential Site 1 (You only need to submit 1 site)</t>
  </si>
  <si>
    <t>OR</t>
  </si>
  <si>
    <t>/sf/yr</t>
  </si>
  <si>
    <t>SYEnding</t>
  </si>
  <si>
    <t>SYE</t>
  </si>
  <si>
    <t>Note on Depreciation+</t>
  </si>
  <si>
    <t>See "Note FFE" tab for a note regarding the depreciation approach used in this model.</t>
  </si>
  <si>
    <t>Kindergarten Teacher</t>
  </si>
  <si>
    <t>1st Grade Teacher</t>
  </si>
  <si>
    <t>2nd Grade Teacher</t>
  </si>
  <si>
    <t>3rd Grade Teacher</t>
  </si>
  <si>
    <t>4th Grade Teacher</t>
  </si>
  <si>
    <t>5th Grade Teacher</t>
  </si>
  <si>
    <t>6th Grade Teacher</t>
  </si>
  <si>
    <t>7th Grade Teacher</t>
  </si>
  <si>
    <t>8th Grade Teacher</t>
  </si>
  <si>
    <t xml:space="preserve"> </t>
  </si>
  <si>
    <t>Supporting documentation attached? (y/n)</t>
  </si>
  <si>
    <t>MEDICAL</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</si>
  <si>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</si>
  <si>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Use this tab to show your target market, planned enrollments and potential demand and demographics of the "feeder" schools in your  planned service area.</t>
  </si>
  <si>
    <t>Surplus/(Deficit)-Schl &amp; Pri' Fundraising-S Fees (Cumu')</t>
  </si>
  <si>
    <t>Schools should set aside an amount of 4 to 5% of revenues into a general reserve account.</t>
  </si>
  <si>
    <t>Reserves</t>
  </si>
  <si>
    <t>Transportation, rows 1454-1476</t>
  </si>
  <si>
    <t>TEACH Las Vegas</t>
  </si>
  <si>
    <t>Matt Brown</t>
  </si>
  <si>
    <t>rcarranza@teachps.org</t>
  </si>
  <si>
    <t>Raul Carranza</t>
  </si>
  <si>
    <t>mbrown@teachpublicschools.org</t>
  </si>
  <si>
    <t>Executive Director</t>
  </si>
  <si>
    <t>Superintendent</t>
  </si>
  <si>
    <t>Director of Data, Instruction, Asses.</t>
  </si>
  <si>
    <t>Office Technician</t>
  </si>
  <si>
    <t>Counselor</t>
  </si>
  <si>
    <t xml:space="preserve">Janitor / Maintenance </t>
  </si>
  <si>
    <t>Plan Manager</t>
  </si>
  <si>
    <t>IT Support Technician</t>
  </si>
  <si>
    <t>Parent Coordinator</t>
  </si>
  <si>
    <t>9th Grade Teacher</t>
  </si>
  <si>
    <t>10th Grade Teacher</t>
  </si>
  <si>
    <t>11th Grade Teacher</t>
  </si>
  <si>
    <t>12th Grade Teacher</t>
  </si>
  <si>
    <t>ELL Teacher</t>
  </si>
  <si>
    <t>Special Education Teacher</t>
  </si>
  <si>
    <t>Instructional Aide</t>
  </si>
  <si>
    <t>Door to door solicitation</t>
  </si>
  <si>
    <t>Open house and site-based events</t>
  </si>
  <si>
    <t>Social media, flyers, mail, website</t>
  </si>
  <si>
    <t>Two months prior to open enrollment</t>
  </si>
  <si>
    <t>4648, 4656 and 4660 North Rancho Drive, Las Vegas, NV</t>
  </si>
  <si>
    <t xml:space="preserve">EL Coordinator </t>
  </si>
  <si>
    <t>Software/hardware/Internet</t>
  </si>
  <si>
    <t>Student Recruitment</t>
  </si>
  <si>
    <t>Travel</t>
  </si>
  <si>
    <t xml:space="preserve">Subtotal </t>
  </si>
  <si>
    <t>Start Up Grant (received)</t>
  </si>
  <si>
    <t>Year 0 Grant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</si>
</sst>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0.00_);\(0.00\)"/>
    <numFmt numFmtId="184" formatCode="_(* #,##0_);_(* \(#,##0\);_(* &quot;-&quot;??_);_(@_)"/>
    <numFmt numFmtId="185" formatCode="_(&quot;$&quot;\ #,##0_);[Red]_(&quot;$&quot;\(#,##0\);_(&quot;$&quot;\ &quot;-&quot;_);_(@_)"/>
    <numFmt numFmtId="186" formatCode="_(#,##0.0000_);[Red]_(\(#,##0.0000\);_(&quot;-&quot;_);_(@_)"/>
    <numFmt numFmtId="187" formatCode="0_);[Red]\(0\)"/>
    <numFmt numFmtId="188" formatCode="000\-000\-0000"/>
    <numFmt numFmtId="189" formatCode="&quot;$&quot;#,##0_)&quot;/st&quot;;[Red]_(\(#,##0\);_(&quot;-&quot;_);_(@_)"/>
    <numFmt numFmtId="190" formatCode="_(&quot;$&quot;#,##0.00_);[Red]_(&quot;$&quot;\(#,##0.00\);_(&quot;$&quot;\ &quot;-&quot;_);_(@_)"/>
    <numFmt numFmtId="191" formatCode="&quot;SYE &quot;General"/>
    <numFmt numFmtId="192" formatCode="&quot;SY &quot;General"/>
    <numFmt numFmtId="193" formatCode="0.00%;[Red]\(0.00%\);&quot;-%&quot;"/>
    <numFmt numFmtId="194" formatCode="0%;[Red]\(0%\);&quot;-&quot;"/>
    <numFmt numFmtId="195" formatCode="&quot;SYE &quot;0_);[Red]\(0\)"/>
    <numFmt numFmtId="196" formatCode="#,##0_)&quot;sf/p&quot;;\(#,##0\)&quot;sf&quot;;_(* &quot;-&quot;_);_(@_)"/>
    <numFmt numFmtId="197" formatCode="_(#,##0_)&quot;sf/p&quot;;[Red]_(\(#,##0\);_(&quot;-&quot;_);_(@_)"/>
    <numFmt numFmtId="198" formatCode="General&quot; s&quot;"/>
    <numFmt numFmtId="199" formatCode="_(#,##0.0_)&quot;mi&quot;;[Red]_(\(#,##0.0\);_(&quot;-&quot;_);_(@_)"/>
    <numFmt numFmtId="200" formatCode="0.000%;[Red]\(0.000%\);&quot;-%&quot;"/>
    <numFmt numFmtId="201" formatCode="0.000%"/>
  </numFmts>
  <fonts count="139">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i/>
      <sz val="9"/>
      <color theme="0"/>
      <name val="Arial"/>
      <family val="2"/>
    </font>
    <font>
      <b/>
      <sz val="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sz val="10"/>
      <name val="Cambria"/>
      <family val="1"/>
    </font>
    <font>
      <b/>
      <sz val="9"/>
      <name val="Cambria"/>
      <family val="1"/>
    </font>
    <font>
      <sz val="9"/>
      <color rgb="FF0000FF"/>
      <name val="Times New Roman"/>
      <family val="1"/>
    </font>
    <font>
      <i/>
      <sz val="11"/>
      <color rgb="FF0000FF"/>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1"/>
      <color indexed="8"/>
      <name val="Calibri"/>
      <family val="2"/>
    </font>
    <font>
      <b/>
      <sz val="9"/>
      <color rgb="FF000000"/>
      <name val="Tahoma"/>
      <family val="2"/>
    </font>
    <font>
      <sz val="9"/>
      <color rgb="FF000000"/>
      <name val="Tahoma"/>
      <family val="2"/>
    </font>
  </fonts>
  <fills count="7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0070C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s>
  <borders count="192">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style="hair">
        <color indexed="64"/>
      </left>
      <right style="hair">
        <color indexed="64"/>
      </right>
      <top style="dashed">
        <color indexed="64"/>
      </top>
      <bottom style="hair">
        <color indexed="64"/>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thin">
        <color indexed="64"/>
      </top>
      <bottom style="thin">
        <color indexed="64"/>
      </bottom>
      <diagonal/>
    </border>
    <border>
      <left/>
      <right style="thin">
        <color indexed="9"/>
      </right>
      <top style="thin">
        <color indexed="9"/>
      </top>
      <bottom style="thin">
        <color indexed="9"/>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22"/>
      </top>
      <bottom style="dotted">
        <color indexed="22"/>
      </bottom>
      <diagonal/>
    </border>
    <border>
      <left style="hair">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9"/>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22"/>
      </top>
      <bottom/>
      <diagonal/>
    </border>
    <border>
      <left/>
      <right/>
      <top/>
      <bottom style="dotted">
        <color indexed="22"/>
      </bottom>
      <diagonal/>
    </border>
    <border>
      <left style="thin">
        <color indexed="64"/>
      </left>
      <right/>
      <top style="thin">
        <color indexed="64"/>
      </top>
      <bottom style="dotted">
        <color indexed="22"/>
      </bottom>
      <diagonal/>
    </border>
    <border>
      <left style="thin">
        <color indexed="64"/>
      </left>
      <right/>
      <top style="dotted">
        <color indexed="22"/>
      </top>
      <bottom style="dotted">
        <color indexed="22"/>
      </bottom>
      <diagonal/>
    </border>
    <border>
      <left style="thin">
        <color indexed="64"/>
      </left>
      <right/>
      <top style="dotted">
        <color indexed="22"/>
      </top>
      <bottom/>
      <diagonal/>
    </border>
    <border>
      <left style="thin">
        <color indexed="64"/>
      </left>
      <right/>
      <top style="dotted">
        <color indexed="22"/>
      </top>
      <bottom style="thin">
        <color indexed="64"/>
      </bottom>
      <diagonal/>
    </border>
    <border>
      <left style="thin">
        <color indexed="64"/>
      </left>
      <right style="thin">
        <color indexed="64"/>
      </right>
      <top style="thin">
        <color indexed="64"/>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thin">
        <color indexed="64"/>
      </right>
      <top style="dotted">
        <color indexed="22"/>
      </top>
      <bottom/>
      <diagonal/>
    </border>
    <border>
      <left style="thin">
        <color indexed="64"/>
      </left>
      <right style="thin">
        <color indexed="64"/>
      </right>
      <top style="dotted">
        <color indexed="22"/>
      </top>
      <bottom style="thin">
        <color indexed="64"/>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22"/>
      </top>
      <bottom style="hair">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hair">
        <color indexed="22"/>
      </left>
      <right style="thin">
        <color indexed="64"/>
      </right>
      <top/>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22"/>
      </right>
      <top/>
      <bottom style="thin">
        <color indexed="64"/>
      </bottom>
      <diagonal/>
    </border>
    <border>
      <left style="hair">
        <color indexed="22"/>
      </left>
      <right style="hair">
        <color indexed="22"/>
      </right>
      <top/>
      <bottom style="thin">
        <color indexed="64"/>
      </bottom>
      <diagonal/>
    </border>
    <border>
      <left style="hair">
        <color indexed="22"/>
      </left>
      <right style="thin">
        <color indexed="64"/>
      </right>
      <top/>
      <bottom style="thin">
        <color indexed="64"/>
      </bottom>
      <diagonal/>
    </border>
    <border>
      <left style="hair">
        <color indexed="22"/>
      </left>
      <right style="hair">
        <color indexed="22"/>
      </right>
      <top style="thin">
        <color indexed="64"/>
      </top>
      <bottom/>
      <diagonal/>
    </border>
    <border>
      <left style="hair">
        <color indexed="22"/>
      </left>
      <right style="hair">
        <color indexed="22"/>
      </right>
      <top style="hair">
        <color indexed="22"/>
      </top>
      <bottom style="thin">
        <color indexed="64"/>
      </bottom>
      <diagonal/>
    </border>
    <border>
      <left style="thin">
        <color indexed="64"/>
      </left>
      <right style="hair">
        <color indexed="22"/>
      </right>
      <top style="thin">
        <color indexed="64"/>
      </top>
      <bottom/>
      <diagonal/>
    </border>
    <border>
      <left style="thin">
        <color indexed="64"/>
      </left>
      <right style="hair">
        <color indexed="22"/>
      </right>
      <top style="hair">
        <color indexed="22"/>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thin">
        <color indexed="64"/>
      </top>
      <bottom style="hair">
        <color indexed="22"/>
      </bottom>
      <diagonal/>
    </border>
    <border>
      <left style="hair">
        <color indexed="22"/>
      </left>
      <right style="thin">
        <color indexed="64"/>
      </right>
      <top style="thin">
        <color indexed="64"/>
      </top>
      <bottom style="hair">
        <color indexed="22"/>
      </bottom>
      <diagonal/>
    </border>
    <border>
      <left style="thin">
        <color indexed="64"/>
      </left>
      <right style="thin">
        <color indexed="64"/>
      </right>
      <top style="hair">
        <color indexed="22"/>
      </top>
      <bottom style="hair">
        <color indexed="22"/>
      </bottom>
      <diagonal/>
    </border>
    <border>
      <left/>
      <right/>
      <top style="hair">
        <color indexed="22"/>
      </top>
      <bottom style="thin">
        <color indexed="64"/>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right style="hair">
        <color indexed="64"/>
      </right>
      <top style="hair">
        <color indexed="22"/>
      </top>
      <bottom style="thin">
        <color indexed="64"/>
      </bottom>
      <diagonal/>
    </border>
    <border>
      <left style="hair">
        <color indexed="64"/>
      </left>
      <right style="hair">
        <color indexed="64"/>
      </right>
      <top style="hair">
        <color indexed="22"/>
      </top>
      <bottom style="thin">
        <color indexed="64"/>
      </bottom>
      <diagonal/>
    </border>
    <border>
      <left/>
      <right style="hair">
        <color indexed="64"/>
      </right>
      <top style="thin">
        <color indexed="64"/>
      </top>
      <bottom style="hair">
        <color indexed="22"/>
      </bottom>
      <diagonal/>
    </border>
    <border>
      <left style="hair">
        <color indexed="64"/>
      </left>
      <right style="hair">
        <color indexed="64"/>
      </right>
      <top style="thin">
        <color indexed="64"/>
      </top>
      <bottom style="hair">
        <color indexed="22"/>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hair">
        <color indexed="64"/>
      </left>
      <right/>
      <top style="hair">
        <color indexed="64"/>
      </top>
      <bottom style="hair">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style="thin">
        <color indexed="64"/>
      </right>
      <top style="hair">
        <color indexed="22"/>
      </top>
      <bottom style="hair">
        <color indexed="22"/>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style="thin">
        <color indexed="64"/>
      </left>
      <right/>
      <top style="hair">
        <color indexed="22"/>
      </top>
      <bottom style="thin">
        <color indexed="64"/>
      </bottom>
      <diagonal/>
    </border>
    <border>
      <left/>
      <right style="thin">
        <color indexed="64"/>
      </right>
      <top style="hair">
        <color indexed="22"/>
      </top>
      <bottom style="thin">
        <color indexed="64"/>
      </bottom>
      <diagonal/>
    </border>
    <border>
      <left style="hair">
        <color indexed="22"/>
      </left>
      <right style="thin">
        <color indexed="64"/>
      </right>
      <top style="thin">
        <color indexed="64"/>
      </top>
      <bottom style="thin">
        <color indexed="64"/>
      </bottom>
      <diagonal/>
    </border>
    <border>
      <left style="hair">
        <color indexed="22"/>
      </left>
      <right style="hair">
        <color indexed="22"/>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s>
  <cellStyleXfs count="33114">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20" fillId="0" borderId="0" applyNumberFormat="0" applyFill="0" applyBorder="0" applyAlignment="0" applyProtection="0"/>
    <xf numFmtId="0" fontId="21" fillId="0" borderId="34" applyNumberFormat="0" applyFill="0" applyAlignment="0" applyProtection="0"/>
    <xf numFmtId="0" fontId="22" fillId="0" borderId="35" applyNumberFormat="0" applyFill="0" applyAlignment="0" applyProtection="0"/>
    <xf numFmtId="0" fontId="23" fillId="0" borderId="36" applyNumberFormat="0" applyFill="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0" applyNumberFormat="0" applyBorder="0" applyAlignment="0" applyProtection="0"/>
    <xf numFmtId="0" fontId="27" fillId="11" borderId="37" applyNumberFormat="0" applyAlignment="0" applyProtection="0"/>
    <xf numFmtId="0" fontId="28" fillId="12" borderId="38" applyNumberFormat="0" applyAlignment="0" applyProtection="0"/>
    <xf numFmtId="0" fontId="29" fillId="12" borderId="37" applyNumberFormat="0" applyAlignment="0" applyProtection="0"/>
    <xf numFmtId="0" fontId="30" fillId="0" borderId="39" applyNumberFormat="0" applyFill="0" applyAlignment="0" applyProtection="0"/>
    <xf numFmtId="0" fontId="11" fillId="0" borderId="42" applyNumberFormat="0" applyFill="0" applyAlignment="0" applyProtection="0"/>
    <xf numFmtId="0" fontId="33"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3"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3" fillId="38"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4" fillId="0" borderId="0" applyFont="0" applyFill="0" applyBorder="0" applyAlignment="0" applyProtection="0"/>
    <xf numFmtId="0" fontId="34" fillId="0" borderId="0" applyFont="0" applyFill="0" applyBorder="0" applyAlignment="0" applyProtection="0"/>
    <xf numFmtId="167" fontId="34" fillId="0" borderId="0" applyFont="0" applyFill="0" applyBorder="0" applyAlignment="0" applyProtection="0"/>
    <xf numFmtId="2" fontId="34"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4" fillId="0" borderId="44" applyNumberFormat="0" applyFont="0" applyFill="0" applyAlignment="0" applyProtection="0"/>
    <xf numFmtId="0" fontId="2" fillId="0" borderId="0"/>
    <xf numFmtId="43" fontId="2" fillId="0" borderId="0" applyFont="0" applyFill="0" applyBorder="0" applyAlignment="0" applyProtection="0"/>
    <xf numFmtId="3" fontId="34" fillId="0" borderId="0" applyFont="0" applyFill="0" applyBorder="0" applyAlignment="0" applyProtection="0"/>
    <xf numFmtId="167"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9" fontId="2" fillId="0" borderId="0" applyFont="0" applyFill="0" applyBorder="0" applyAlignment="0" applyProtection="0"/>
    <xf numFmtId="0" fontId="34" fillId="0" borderId="44"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5" fillId="0" borderId="0" applyNumberFormat="0" applyFill="0" applyBorder="0" applyAlignment="0" applyProtection="0"/>
    <xf numFmtId="168" fontId="36" fillId="0" borderId="0" applyNumberFormat="0" applyFill="0" applyBorder="0" applyAlignment="0" applyProtection="0"/>
    <xf numFmtId="168" fontId="8" fillId="0" borderId="0"/>
    <xf numFmtId="168" fontId="8" fillId="0" borderId="0"/>
    <xf numFmtId="168" fontId="34" fillId="0" borderId="0" applyFont="0" applyFill="0" applyBorder="0" applyAlignment="0" applyProtection="0"/>
    <xf numFmtId="168" fontId="2" fillId="0" borderId="0"/>
    <xf numFmtId="168" fontId="37" fillId="0" borderId="0" applyNumberFormat="0" applyFill="0" applyBorder="0" applyAlignment="0" applyProtection="0">
      <alignment vertical="top"/>
      <protection locked="0"/>
    </xf>
    <xf numFmtId="168" fontId="34" fillId="0" borderId="44"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8" fillId="0" borderId="0"/>
    <xf numFmtId="0" fontId="38" fillId="0" borderId="0"/>
    <xf numFmtId="44" fontId="2" fillId="0" borderId="0" applyFont="0" applyFill="0" applyBorder="0" applyAlignment="0" applyProtection="0"/>
    <xf numFmtId="0" fontId="36" fillId="0" borderId="0" applyNumberFormat="0" applyFill="0" applyBorder="0" applyAlignment="0" applyProtection="0"/>
    <xf numFmtId="43" fontId="2" fillId="0" borderId="0" applyFont="0" applyFill="0" applyBorder="0" applyAlignment="0" applyProtection="0"/>
    <xf numFmtId="2" fontId="34" fillId="0" borderId="0" applyFont="0" applyFill="0" applyBorder="0" applyAlignment="0" applyProtection="0"/>
    <xf numFmtId="43" fontId="2" fillId="0" borderId="0" applyFont="0" applyFill="0" applyBorder="0" applyAlignment="0" applyProtection="0"/>
    <xf numFmtId="0" fontId="34" fillId="0" borderId="44" applyNumberFormat="0" applyFont="0" applyFill="0" applyAlignment="0" applyProtection="0"/>
    <xf numFmtId="0" fontId="2" fillId="0" borderId="0"/>
    <xf numFmtId="0" fontId="35" fillId="0" borderId="0" applyNumberFormat="0" applyFill="0" applyBorder="0" applyAlignment="0" applyProtection="0"/>
    <xf numFmtId="0" fontId="34" fillId="0" borderId="0" applyFont="0" applyFill="0" applyBorder="0" applyAlignment="0" applyProtection="0"/>
    <xf numFmtId="44" fontId="2" fillId="0" borderId="0" applyFont="0" applyFill="0" applyBorder="0" applyAlignment="0" applyProtection="0"/>
    <xf numFmtId="0" fontId="41" fillId="0" borderId="36"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4" fillId="0" borderId="0" applyFont="0" applyFill="0" applyBorder="0" applyAlignment="0" applyProtection="0"/>
    <xf numFmtId="0" fontId="40" fillId="0" borderId="0" applyNumberFormat="0" applyFill="0" applyBorder="0" applyAlignment="0" applyProtection="0"/>
    <xf numFmtId="167" fontId="34" fillId="0" borderId="0" applyFont="0" applyFill="0" applyBorder="0" applyAlignment="0" applyProtection="0"/>
    <xf numFmtId="0" fontId="38" fillId="0" borderId="0"/>
    <xf numFmtId="0" fontId="38" fillId="0" borderId="0"/>
    <xf numFmtId="0" fontId="2" fillId="0" borderId="0"/>
    <xf numFmtId="0" fontId="2" fillId="0" borderId="0"/>
    <xf numFmtId="41" fontId="39" fillId="0" borderId="0"/>
    <xf numFmtId="37" fontId="3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3" borderId="40"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8" fillId="21" borderId="0" applyNumberFormat="0" applyBorder="0" applyAlignment="0" applyProtection="0"/>
    <xf numFmtId="0" fontId="33" fillId="31" borderId="0" applyNumberFormat="0" applyBorder="0" applyAlignment="0" applyProtection="0"/>
    <xf numFmtId="0" fontId="8" fillId="32" borderId="0" applyNumberFormat="0" applyBorder="0" applyAlignment="0" applyProtection="0"/>
    <xf numFmtId="0" fontId="2"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2" fillId="0" borderId="0"/>
    <xf numFmtId="170" fontId="5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35" fillId="0" borderId="0" applyNumberFormat="0" applyFill="0" applyBorder="0" applyAlignment="0" applyProtection="0"/>
    <xf numFmtId="168" fontId="35" fillId="0" borderId="0" applyNumberFormat="0" applyFill="0" applyBorder="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55"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35" fillId="0" borderId="0" applyNumberFormat="0" applyFill="0" applyBorder="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6" fillId="0" borderId="0" applyNumberFormat="0" applyFill="0" applyBorder="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6"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36" fillId="0" borderId="0" applyNumberFormat="0" applyFill="0" applyBorder="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7" fillId="0" borderId="47" applyNumberFormat="0" applyFill="0" applyAlignment="0" applyProtection="0"/>
    <xf numFmtId="0" fontId="44"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8" fillId="0" borderId="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9"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 fillId="0" borderId="0"/>
    <xf numFmtId="0" fontId="42"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2" fillId="0" borderId="0"/>
    <xf numFmtId="0" fontId="2" fillId="0" borderId="0"/>
    <xf numFmtId="0" fontId="2" fillId="0" borderId="0"/>
    <xf numFmtId="0" fontId="2" fillId="0" borderId="0"/>
    <xf numFmtId="0" fontId="38" fillId="0" borderId="0"/>
    <xf numFmtId="0" fontId="2" fillId="0" borderId="0"/>
    <xf numFmtId="0" fontId="2" fillId="0" borderId="0"/>
    <xf numFmtId="0" fontId="1" fillId="0" borderId="0"/>
    <xf numFmtId="0" fontId="2" fillId="0" borderId="0"/>
    <xf numFmtId="0" fontId="46" fillId="0" borderId="0" applyNumberFormat="0" applyFill="0" applyBorder="0" applyProtection="0">
      <alignment vertical="top" wrapText="1"/>
    </xf>
    <xf numFmtId="0" fontId="46" fillId="0" borderId="0" applyNumberFormat="0" applyFill="0" applyBorder="0" applyProtection="0">
      <alignment vertical="top" wrapText="1"/>
    </xf>
    <xf numFmtId="0" fontId="46" fillId="0" borderId="0" applyNumberFormat="0" applyFill="0" applyBorder="0" applyProtection="0">
      <alignment vertical="top" wrapText="1"/>
    </xf>
    <xf numFmtId="0" fontId="2" fillId="0" borderId="0" applyFill="0"/>
    <xf numFmtId="0" fontId="42"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8" fillId="0" borderId="0"/>
    <xf numFmtId="0" fontId="42" fillId="0" borderId="0"/>
    <xf numFmtId="0" fontId="2" fillId="0" borderId="0"/>
    <xf numFmtId="0" fontId="42" fillId="0" borderId="0"/>
    <xf numFmtId="0" fontId="8" fillId="0" borderId="0"/>
    <xf numFmtId="0" fontId="42" fillId="0" borderId="0"/>
    <xf numFmtId="168" fontId="2" fillId="0" borderId="0"/>
    <xf numFmtId="0" fontId="42" fillId="0" borderId="0"/>
    <xf numFmtId="0" fontId="2" fillId="0" borderId="0"/>
    <xf numFmtId="0" fontId="42" fillId="0" borderId="0"/>
    <xf numFmtId="0" fontId="42" fillId="0" borderId="0"/>
    <xf numFmtId="0" fontId="8" fillId="0" borderId="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2" fillId="0" borderId="0"/>
    <xf numFmtId="9" fontId="5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2" fillId="0" borderId="0"/>
    <xf numFmtId="0" fontId="51"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34" fillId="0" borderId="44" applyNumberFormat="0" applyFon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5" borderId="0" applyNumberFormat="0" applyBorder="0" applyAlignment="0" applyProtection="0"/>
    <xf numFmtId="0" fontId="25" fillId="9" borderId="0" applyNumberFormat="0" applyBorder="0" applyAlignment="0" applyProtection="0"/>
    <xf numFmtId="0" fontId="29" fillId="12" borderId="37"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4" fillId="8" borderId="0" applyNumberFormat="0" applyBorder="0" applyAlignment="0" applyProtection="0"/>
    <xf numFmtId="0" fontId="21" fillId="0" borderId="34" applyNumberFormat="0" applyFill="0" applyAlignment="0" applyProtection="0"/>
    <xf numFmtId="0" fontId="22" fillId="0" borderId="35" applyNumberFormat="0" applyFill="0" applyAlignment="0" applyProtection="0"/>
    <xf numFmtId="0" fontId="23" fillId="0" borderId="36" applyNumberFormat="0" applyFill="0" applyAlignment="0" applyProtection="0"/>
    <xf numFmtId="0" fontId="23" fillId="0" borderId="0" applyNumberFormat="0" applyFill="0" applyBorder="0" applyAlignment="0" applyProtection="0"/>
    <xf numFmtId="0" fontId="27" fillId="11" borderId="37" applyNumberFormat="0" applyAlignment="0" applyProtection="0"/>
    <xf numFmtId="0" fontId="30" fillId="0" borderId="39" applyNumberFormat="0" applyFill="0" applyAlignment="0" applyProtection="0"/>
    <xf numFmtId="0" fontId="26" fillId="10" borderId="0" applyNumberFormat="0" applyBorder="0" applyAlignment="0" applyProtection="0"/>
    <xf numFmtId="0" fontId="8" fillId="0" borderId="0"/>
    <xf numFmtId="0" fontId="8" fillId="14" borderId="41" applyNumberFormat="0" applyFont="0" applyAlignment="0" applyProtection="0"/>
    <xf numFmtId="0" fontId="28" fillId="12" borderId="38" applyNumberFormat="0" applyAlignment="0" applyProtection="0"/>
    <xf numFmtId="9" fontId="8" fillId="0" borderId="0" applyFont="0" applyFill="0" applyBorder="0" applyAlignment="0" applyProtection="0"/>
    <xf numFmtId="0" fontId="20" fillId="0" borderId="0" applyNumberFormat="0" applyFill="0" applyBorder="0" applyAlignment="0" applyProtection="0"/>
    <xf numFmtId="0" fontId="11" fillId="0" borderId="42" applyNumberFormat="0" applyFill="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25" fillId="51" borderId="0" applyNumberFormat="0" applyBorder="0" applyAlignment="0" applyProtection="0"/>
    <xf numFmtId="0" fontId="54" fillId="52" borderId="37"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44" borderId="0" applyNumberFormat="0" applyBorder="0" applyAlignment="0" applyProtection="0"/>
    <xf numFmtId="168" fontId="35" fillId="0" borderId="0" applyNumberFormat="0" applyFill="0" applyBorder="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168" fontId="36" fillId="0" borderId="0" applyNumberFormat="0" applyFill="0" applyBorder="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7" fillId="45" borderId="37" applyNumberFormat="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0"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28" fillId="52" borderId="3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41" fillId="0" borderId="36"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168" fontId="36"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4" fillId="0" borderId="44"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2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14" borderId="41"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4" borderId="0" applyNumberFormat="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4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0" borderId="0"/>
    <xf numFmtId="0" fontId="8" fillId="42" borderId="0" applyNumberFormat="0" applyBorder="0" applyAlignment="0" applyProtection="0"/>
    <xf numFmtId="0" fontId="8" fillId="14" borderId="41" applyNumberFormat="0" applyFont="0" applyAlignment="0" applyProtection="0"/>
    <xf numFmtId="0" fontId="8" fillId="45"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2" borderId="0" applyNumberFormat="0" applyBorder="0" applyAlignment="0" applyProtection="0"/>
    <xf numFmtId="0" fontId="8" fillId="0" borderId="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21" fillId="0" borderId="34" applyNumberFormat="0" applyFill="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11" fillId="0" borderId="42" applyNumberFormat="0" applyFill="0" applyAlignment="0" applyProtection="0"/>
    <xf numFmtId="0" fontId="22" fillId="0" borderId="35" applyNumberFormat="0" applyFill="0" applyAlignment="0" applyProtection="0"/>
    <xf numFmtId="43" fontId="8" fillId="0" borderId="0" applyFont="0" applyFill="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43" fontId="8" fillId="0" borderId="0" applyFont="0" applyFill="0" applyBorder="0" applyAlignment="0" applyProtection="0"/>
    <xf numFmtId="0" fontId="8" fillId="44"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0" borderId="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5" borderId="0" applyNumberFormat="0" applyBorder="0" applyAlignment="0" applyProtection="0"/>
    <xf numFmtId="0" fontId="8" fillId="0" borderId="0"/>
    <xf numFmtId="168" fontId="8" fillId="0" borderId="0"/>
    <xf numFmtId="0" fontId="8" fillId="0" borderId="0"/>
    <xf numFmtId="168" fontId="8" fillId="0" borderId="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2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8" fillId="20"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2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17"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17"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2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2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5"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3" fillId="18"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6" borderId="0" applyNumberFormat="0" applyBorder="0" applyAlignment="0" applyProtection="0"/>
    <xf numFmtId="0" fontId="33" fillId="26" borderId="0" applyNumberFormat="0" applyBorder="0" applyAlignment="0" applyProtection="0"/>
    <xf numFmtId="0" fontId="33" fillId="47" borderId="0" applyNumberFormat="0" applyBorder="0" applyAlignment="0" applyProtection="0"/>
    <xf numFmtId="0" fontId="33" fillId="30" borderId="0" applyNumberFormat="0" applyBorder="0" applyAlignment="0" applyProtection="0"/>
    <xf numFmtId="0" fontId="33" fillId="40" borderId="0" applyNumberFormat="0" applyBorder="0" applyAlignment="0" applyProtection="0"/>
    <xf numFmtId="0" fontId="33" fillId="34" borderId="0" applyNumberFormat="0" applyBorder="0" applyAlignment="0" applyProtection="0"/>
    <xf numFmtId="0" fontId="33" fillId="44"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0" fontId="33" fillId="15" borderId="0" applyNumberFormat="0" applyBorder="0" applyAlignment="0" applyProtection="0"/>
    <xf numFmtId="0" fontId="33" fillId="48" borderId="0" applyNumberFormat="0" applyBorder="0" applyAlignment="0" applyProtection="0"/>
    <xf numFmtId="0" fontId="33" fillId="19" borderId="0" applyNumberFormat="0" applyBorder="0" applyAlignment="0" applyProtection="0"/>
    <xf numFmtId="0" fontId="33" fillId="46" borderId="0" applyNumberFormat="0" applyBorder="0" applyAlignment="0" applyProtection="0"/>
    <xf numFmtId="0" fontId="33" fillId="23" borderId="0" applyNumberFormat="0" applyBorder="0" applyAlignment="0" applyProtection="0"/>
    <xf numFmtId="0" fontId="33" fillId="47" borderId="0" applyNumberFormat="0" applyBorder="0" applyAlignment="0" applyProtection="0"/>
    <xf numFmtId="0" fontId="33" fillId="27" borderId="0" applyNumberFormat="0" applyBorder="0" applyAlignment="0" applyProtection="0"/>
    <xf numFmtId="0" fontId="33" fillId="49" borderId="0" applyNumberFormat="0" applyBorder="0" applyAlignment="0" applyProtection="0"/>
    <xf numFmtId="0" fontId="33" fillId="35" borderId="0" applyNumberFormat="0" applyBorder="0" applyAlignment="0" applyProtection="0"/>
    <xf numFmtId="0" fontId="33" fillId="50" borderId="0" applyNumberFormat="0" applyBorder="0" applyAlignment="0" applyProtection="0"/>
    <xf numFmtId="0" fontId="25" fillId="9" borderId="0" applyNumberFormat="0" applyBorder="0" applyAlignment="0" applyProtection="0"/>
    <xf numFmtId="0" fontId="25" fillId="51" borderId="0" applyNumberFormat="0" applyBorder="0" applyAlignment="0" applyProtection="0"/>
    <xf numFmtId="0" fontId="29" fillId="12" borderId="37" applyNumberFormat="0" applyAlignment="0" applyProtection="0"/>
    <xf numFmtId="0" fontId="54" fillId="52" borderId="3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2" fillId="0" borderId="0"/>
    <xf numFmtId="43" fontId="2" fillId="0" borderId="0" applyFont="0" applyFill="0" applyBorder="0" applyAlignment="0" applyProtection="0"/>
    <xf numFmtId="169" fontId="52" fillId="0" borderId="0"/>
    <xf numFmtId="44" fontId="2" fillId="0" borderId="0" applyFont="0" applyFill="0" applyBorder="0" applyAlignment="0" applyProtection="0"/>
    <xf numFmtId="170" fontId="5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8" borderId="0" applyNumberFormat="0" applyBorder="0" applyAlignment="0" applyProtection="0"/>
    <xf numFmtId="0" fontId="24" fillId="44" borderId="0" applyNumberFormat="0" applyBorder="0" applyAlignment="0" applyProtection="0"/>
    <xf numFmtId="0" fontId="55" fillId="0" borderId="45" applyNumberFormat="0" applyFill="0" applyAlignment="0" applyProtection="0"/>
    <xf numFmtId="0" fontId="48" fillId="0" borderId="45" applyNumberFormat="0" applyFill="0" applyAlignment="0" applyProtection="0"/>
    <xf numFmtId="0" fontId="21" fillId="0" borderId="34" applyNumberFormat="0" applyFill="0" applyAlignment="0" applyProtection="0"/>
    <xf numFmtId="0" fontId="48" fillId="0" borderId="45" applyNumberFormat="0" applyFill="0" applyAlignment="0" applyProtection="0"/>
    <xf numFmtId="0" fontId="56" fillId="0" borderId="46" applyNumberFormat="0" applyFill="0" applyAlignment="0" applyProtection="0"/>
    <xf numFmtId="0" fontId="49" fillId="0" borderId="46" applyNumberFormat="0" applyFill="0" applyAlignment="0" applyProtection="0"/>
    <xf numFmtId="0" fontId="22" fillId="0" borderId="35" applyNumberFormat="0" applyFill="0" applyAlignment="0" applyProtection="0"/>
    <xf numFmtId="0" fontId="49" fillId="0" borderId="46" applyNumberFormat="0" applyFill="0" applyAlignment="0" applyProtection="0"/>
    <xf numFmtId="0" fontId="50" fillId="0" borderId="47" applyNumberFormat="0" applyFill="0" applyAlignment="0" applyProtection="0"/>
    <xf numFmtId="0" fontId="57" fillId="0" borderId="47" applyNumberFormat="0" applyFill="0" applyAlignment="0" applyProtection="0"/>
    <xf numFmtId="0" fontId="50" fillId="0" borderId="47" applyNumberFormat="0" applyFill="0" applyAlignment="0" applyProtection="0"/>
    <xf numFmtId="0" fontId="23" fillId="0" borderId="36" applyNumberFormat="0" applyFill="0" applyAlignment="0" applyProtection="0"/>
    <xf numFmtId="0" fontId="50" fillId="0" borderId="0" applyNumberFormat="0" applyFill="0" applyBorder="0" applyAlignment="0" applyProtection="0"/>
    <xf numFmtId="0" fontId="57" fillId="0" borderId="0" applyNumberFormat="0" applyFill="0" applyBorder="0" applyAlignment="0" applyProtection="0"/>
    <xf numFmtId="0" fontId="50" fillId="0" borderId="0" applyNumberFormat="0" applyFill="0" applyBorder="0" applyAlignment="0" applyProtection="0"/>
    <xf numFmtId="0" fontId="23" fillId="0" borderId="0" applyNumberFormat="0" applyFill="0" applyBorder="0" applyAlignment="0" applyProtection="0"/>
    <xf numFmtId="0" fontId="27" fillId="11" borderId="37" applyNumberFormat="0" applyAlignment="0" applyProtection="0"/>
    <xf numFmtId="0" fontId="27" fillId="45" borderId="37" applyNumberFormat="0" applyAlignment="0" applyProtection="0"/>
    <xf numFmtId="0" fontId="45" fillId="0" borderId="48" applyNumberFormat="0" applyFill="0" applyAlignment="0" applyProtection="0"/>
    <xf numFmtId="0" fontId="59" fillId="0" borderId="48" applyNumberFormat="0" applyFill="0" applyAlignment="0" applyProtection="0"/>
    <xf numFmtId="0" fontId="45" fillId="0" borderId="48" applyNumberFormat="0" applyFill="0" applyAlignment="0" applyProtection="0"/>
    <xf numFmtId="0" fontId="30" fillId="0" borderId="39" applyNumberFormat="0" applyFill="0" applyAlignment="0" applyProtection="0"/>
    <xf numFmtId="0" fontId="26" fillId="10" borderId="0" applyNumberFormat="0" applyBorder="0" applyAlignment="0" applyProtection="0"/>
    <xf numFmtId="0" fontId="60"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applyNumberFormat="0" applyFill="0" applyBorder="0" applyProtection="0">
      <alignment vertical="top" wrapText="1"/>
    </xf>
    <xf numFmtId="0" fontId="8" fillId="0" borderId="0"/>
    <xf numFmtId="0" fontId="52" fillId="0" borderId="0"/>
    <xf numFmtId="0" fontId="8" fillId="0" borderId="0"/>
    <xf numFmtId="0" fontId="2" fillId="0" borderId="0"/>
    <xf numFmtId="0" fontId="2" fillId="0" borderId="0"/>
    <xf numFmtId="0" fontId="2" fillId="0" borderId="0"/>
    <xf numFmtId="0" fontId="2" fillId="0" borderId="0"/>
    <xf numFmtId="0" fontId="46" fillId="0" borderId="0" applyNumberFormat="0" applyFill="0" applyBorder="0" applyProtection="0">
      <alignment vertical="top" wrapText="1"/>
    </xf>
    <xf numFmtId="0" fontId="52" fillId="0" borderId="0"/>
    <xf numFmtId="0" fontId="46"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8" fillId="14" borderId="41" applyNumberFormat="0" applyFont="0" applyAlignment="0" applyProtection="0"/>
    <xf numFmtId="0" fontId="8" fillId="14" borderId="41" applyNumberFormat="0" applyFont="0" applyAlignment="0" applyProtection="0"/>
    <xf numFmtId="0" fontId="8"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28" fillId="12" borderId="38" applyNumberFormat="0" applyAlignment="0" applyProtection="0"/>
    <xf numFmtId="0" fontId="28" fillId="52" borderId="38"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2" fillId="0" borderId="0"/>
    <xf numFmtId="9" fontId="2" fillId="0" borderId="0" applyFon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51" fillId="0" borderId="0" applyNumberFormat="0" applyFill="0" applyBorder="0" applyAlignment="0" applyProtection="0"/>
    <xf numFmtId="0" fontId="20" fillId="0" borderId="0" applyNumberFormat="0" applyFill="0" applyBorder="0" applyAlignment="0" applyProtection="0"/>
    <xf numFmtId="0" fontId="11" fillId="0" borderId="42" applyNumberFormat="0" applyFill="0" applyAlignment="0" applyProtection="0"/>
    <xf numFmtId="0" fontId="11" fillId="0" borderId="49" applyNumberFormat="0" applyFill="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25" fillId="51" borderId="0" applyNumberFormat="0" applyBorder="0" applyAlignment="0" applyProtection="0"/>
    <xf numFmtId="0" fontId="54" fillId="52" borderId="3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44" borderId="0" applyNumberFormat="0" applyBorder="0" applyAlignment="0" applyProtection="0"/>
    <xf numFmtId="0" fontId="48"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49"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0" fillId="0" borderId="47" applyNumberFormat="0" applyFill="0" applyAlignment="0" applyProtection="0"/>
    <xf numFmtId="0" fontId="57" fillId="0" borderId="47" applyNumberFormat="0" applyFill="0" applyAlignment="0" applyProtection="0"/>
    <xf numFmtId="0" fontId="57" fillId="0" borderId="47" applyNumberFormat="0" applyFill="0" applyAlignment="0" applyProtection="0"/>
    <xf numFmtId="0" fontId="50"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7" fillId="45" borderId="37" applyNumberFormat="0" applyAlignment="0" applyProtection="0"/>
    <xf numFmtId="0" fontId="45"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0" fontId="60"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28" fillId="52" borderId="3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 fillId="0" borderId="49" applyNumberFormat="0" applyFill="0" applyAlignment="0" applyProtection="0"/>
    <xf numFmtId="0" fontId="11" fillId="0" borderId="4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7" borderId="0" applyNumberFormat="0" applyBorder="0" applyAlignment="0" applyProtection="0"/>
    <xf numFmtId="0" fontId="8" fillId="33" borderId="0" applyNumberFormat="0" applyBorder="0" applyAlignment="0" applyProtection="0"/>
    <xf numFmtId="0" fontId="8" fillId="29" borderId="0" applyNumberFormat="0" applyBorder="0" applyAlignment="0" applyProtection="0"/>
    <xf numFmtId="0" fontId="8" fillId="25"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6"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4" borderId="41" applyNumberFormat="0" applyFont="0" applyAlignment="0" applyProtection="0"/>
    <xf numFmtId="0" fontId="8" fillId="14" borderId="4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3" fillId="45" borderId="50" applyNumberFormat="0" applyProtection="0">
      <alignment vertical="center"/>
    </xf>
    <xf numFmtId="4" fontId="62" fillId="45" borderId="50" applyNumberFormat="0" applyProtection="0">
      <alignment vertical="center"/>
    </xf>
    <xf numFmtId="4" fontId="53" fillId="45" borderId="50" applyNumberFormat="0" applyProtection="0">
      <alignment horizontal="left" vertical="center" indent="1"/>
    </xf>
    <xf numFmtId="0" fontId="53" fillId="45" borderId="50" applyNumberFormat="0" applyProtection="0">
      <alignment horizontal="left" vertical="top" indent="1"/>
    </xf>
    <xf numFmtId="4" fontId="53" fillId="53" borderId="0" applyNumberFormat="0" applyProtection="0">
      <alignment horizontal="left" vertical="center" indent="1"/>
    </xf>
    <xf numFmtId="4" fontId="47" fillId="40" borderId="50" applyNumberFormat="0" applyProtection="0">
      <alignment horizontal="right" vertical="center"/>
    </xf>
    <xf numFmtId="4" fontId="47" fillId="41" borderId="50" applyNumberFormat="0" applyProtection="0">
      <alignment horizontal="right" vertical="center"/>
    </xf>
    <xf numFmtId="4" fontId="47" fillId="50" borderId="50" applyNumberFormat="0" applyProtection="0">
      <alignment horizontal="right" vertical="center"/>
    </xf>
    <xf numFmtId="4" fontId="47" fillId="47" borderId="50" applyNumberFormat="0" applyProtection="0">
      <alignment horizontal="right" vertical="center"/>
    </xf>
    <xf numFmtId="4" fontId="47" fillId="54" borderId="50" applyNumberFormat="0" applyProtection="0">
      <alignment horizontal="right" vertical="center"/>
    </xf>
    <xf numFmtId="4" fontId="47" fillId="46" borderId="50" applyNumberFormat="0" applyProtection="0">
      <alignment horizontal="right" vertical="center"/>
    </xf>
    <xf numFmtId="4" fontId="47" fillId="55" borderId="50" applyNumberFormat="0" applyProtection="0">
      <alignment horizontal="right" vertical="center"/>
    </xf>
    <xf numFmtId="4" fontId="47" fillId="56" borderId="50" applyNumberFormat="0" applyProtection="0">
      <alignment horizontal="right" vertical="center"/>
    </xf>
    <xf numFmtId="4" fontId="47" fillId="57" borderId="50" applyNumberFormat="0" applyProtection="0">
      <alignment horizontal="right" vertical="center"/>
    </xf>
    <xf numFmtId="4" fontId="53" fillId="58" borderId="51" applyNumberFormat="0" applyProtection="0">
      <alignment horizontal="left" vertical="center" indent="1"/>
    </xf>
    <xf numFmtId="4" fontId="47" fillId="59" borderId="0" applyNumberFormat="0" applyProtection="0">
      <alignment horizontal="left" vertical="center" indent="1"/>
    </xf>
    <xf numFmtId="4" fontId="63" fillId="49" borderId="0" applyNumberFormat="0" applyProtection="0">
      <alignment horizontal="left" vertical="center" indent="1"/>
    </xf>
    <xf numFmtId="4" fontId="47" fillId="53" borderId="50" applyNumberFormat="0" applyProtection="0">
      <alignment horizontal="right" vertical="center"/>
    </xf>
    <xf numFmtId="4" fontId="47" fillId="59" borderId="0" applyNumberFormat="0" applyProtection="0">
      <alignment horizontal="left" vertical="center" indent="1"/>
    </xf>
    <xf numFmtId="4" fontId="47" fillId="53" borderId="0" applyNumberFormat="0" applyProtection="0">
      <alignment horizontal="left" vertical="center" indent="1"/>
    </xf>
    <xf numFmtId="0" fontId="2" fillId="49" borderId="50" applyNumberFormat="0" applyProtection="0">
      <alignment horizontal="left" vertical="center" indent="1"/>
    </xf>
    <xf numFmtId="0" fontId="2" fillId="49" borderId="50" applyNumberFormat="0" applyProtection="0">
      <alignment horizontal="left" vertical="top" indent="1"/>
    </xf>
    <xf numFmtId="0" fontId="2" fillId="53" borderId="50" applyNumberFormat="0" applyProtection="0">
      <alignment horizontal="left" vertical="center" indent="1"/>
    </xf>
    <xf numFmtId="0" fontId="2" fillId="53" borderId="50" applyNumberFormat="0" applyProtection="0">
      <alignment horizontal="left" vertical="top" indent="1"/>
    </xf>
    <xf numFmtId="0" fontId="2" fillId="39" borderId="50" applyNumberFormat="0" applyProtection="0">
      <alignment horizontal="left" vertical="center" indent="1"/>
    </xf>
    <xf numFmtId="0" fontId="2" fillId="39" borderId="50" applyNumberFormat="0" applyProtection="0">
      <alignment horizontal="left" vertical="top" indent="1"/>
    </xf>
    <xf numFmtId="0" fontId="2" fillId="59" borderId="50" applyNumberFormat="0" applyProtection="0">
      <alignment horizontal="left" vertical="center" indent="1"/>
    </xf>
    <xf numFmtId="0" fontId="2" fillId="59" borderId="50" applyNumberFormat="0" applyProtection="0">
      <alignment horizontal="left" vertical="top" indent="1"/>
    </xf>
    <xf numFmtId="0" fontId="2" fillId="52" borderId="43" applyNumberFormat="0">
      <protection locked="0"/>
    </xf>
    <xf numFmtId="4" fontId="47" fillId="42" borderId="50" applyNumberFormat="0" applyProtection="0">
      <alignment vertical="center"/>
    </xf>
    <xf numFmtId="4" fontId="64" fillId="42" borderId="50" applyNumberFormat="0" applyProtection="0">
      <alignment vertical="center"/>
    </xf>
    <xf numFmtId="4" fontId="47" fillId="42" borderId="50" applyNumberFormat="0" applyProtection="0">
      <alignment horizontal="left" vertical="center" indent="1"/>
    </xf>
    <xf numFmtId="0" fontId="47" fillId="42" borderId="50" applyNumberFormat="0" applyProtection="0">
      <alignment horizontal="left" vertical="top" indent="1"/>
    </xf>
    <xf numFmtId="4" fontId="47" fillId="59" borderId="50" applyNumberFormat="0" applyProtection="0">
      <alignment horizontal="right" vertical="center"/>
    </xf>
    <xf numFmtId="4" fontId="64" fillId="59" borderId="50" applyNumberFormat="0" applyProtection="0">
      <alignment horizontal="right" vertical="center"/>
    </xf>
    <xf numFmtId="4" fontId="47" fillId="53" borderId="50" applyNumberFormat="0" applyProtection="0">
      <alignment horizontal="left" vertical="center" indent="1"/>
    </xf>
    <xf numFmtId="0" fontId="47" fillId="53" borderId="50" applyNumberFormat="0" applyProtection="0">
      <alignment horizontal="left" vertical="top" indent="1"/>
    </xf>
    <xf numFmtId="4" fontId="65" fillId="60" borderId="0" applyNumberFormat="0" applyProtection="0">
      <alignment horizontal="left" vertical="center" indent="1"/>
    </xf>
    <xf numFmtId="4" fontId="43" fillId="59" borderId="50" applyNumberFormat="0" applyProtection="0">
      <alignment horizontal="right" vertical="center"/>
    </xf>
    <xf numFmtId="0" fontId="51" fillId="0" borderId="0" applyNumberForma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41" applyNumberFormat="0" applyFont="0" applyAlignment="0" applyProtection="0"/>
    <xf numFmtId="0" fontId="34" fillId="0" borderId="0" applyFont="0" applyFill="0" applyBorder="0" applyAlignment="0" applyProtection="0"/>
    <xf numFmtId="2" fontId="34" fillId="0" borderId="0" applyFont="0" applyFill="0" applyBorder="0" applyAlignment="0" applyProtection="0"/>
    <xf numFmtId="167" fontId="34" fillId="0" borderId="0" applyFont="0" applyFill="0" applyBorder="0" applyAlignment="0" applyProtection="0"/>
    <xf numFmtId="0" fontId="35"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4" fillId="0" borderId="0" applyFont="0" applyFill="0" applyBorder="0" applyAlignment="0" applyProtection="0"/>
    <xf numFmtId="0" fontId="36" fillId="0" borderId="0" applyNumberFormat="0" applyFill="0" applyBorder="0" applyAlignment="0" applyProtection="0"/>
    <xf numFmtId="0" fontId="34" fillId="0" borderId="44"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4" fillId="0" borderId="0" applyFont="0" applyFill="0" applyBorder="0" applyAlignment="0" applyProtection="0"/>
    <xf numFmtId="44" fontId="2" fillId="0" borderId="0" applyFont="0" applyFill="0" applyBorder="0" applyAlignment="0" applyProtection="0"/>
    <xf numFmtId="170" fontId="52" fillId="0" borderId="0"/>
    <xf numFmtId="44" fontId="2" fillId="0" borderId="0" applyFont="0" applyFill="0" applyBorder="0" applyAlignment="0" applyProtection="0"/>
    <xf numFmtId="167"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8" fillId="0" borderId="45" applyNumberFormat="0" applyFill="0" applyAlignment="0" applyProtection="0"/>
    <xf numFmtId="0" fontId="49" fillId="0" borderId="46" applyNumberFormat="0" applyFill="0" applyAlignment="0" applyProtection="0"/>
    <xf numFmtId="0" fontId="44" fillId="0" borderId="47" applyNumberFormat="0" applyFill="0" applyAlignment="0" applyProtection="0"/>
    <xf numFmtId="0" fontId="42" fillId="0" borderId="0"/>
    <xf numFmtId="0" fontId="2" fillId="0" borderId="0"/>
    <xf numFmtId="0" fontId="1" fillId="0" borderId="0"/>
    <xf numFmtId="0" fontId="42" fillId="0" borderId="0"/>
    <xf numFmtId="0" fontId="42" fillId="0" borderId="0"/>
    <xf numFmtId="0" fontId="42" fillId="0" borderId="0"/>
    <xf numFmtId="0" fontId="42" fillId="0" borderId="0"/>
    <xf numFmtId="0" fontId="2" fillId="0" borderId="0"/>
    <xf numFmtId="9" fontId="2" fillId="0" borderId="0" applyFont="0" applyFill="0" applyBorder="0" applyAlignment="0" applyProtection="0"/>
    <xf numFmtId="9" fontId="52" fillId="0" borderId="0"/>
    <xf numFmtId="9" fontId="2" fillId="0" borderId="0" applyFont="0" applyFill="0" applyBorder="0" applyAlignment="0" applyProtection="0"/>
    <xf numFmtId="9" fontId="1" fillId="0" borderId="0" applyFont="0" applyFill="0" applyBorder="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2"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4" borderId="41" applyNumberFormat="0" applyFont="0" applyAlignment="0" applyProtection="0"/>
    <xf numFmtId="9" fontId="8" fillId="0" borderId="0" applyFont="0" applyFill="0" applyBorder="0" applyAlignment="0" applyProtection="0"/>
    <xf numFmtId="0" fontId="2"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6" borderId="0" applyNumberFormat="0" applyBorder="0" applyAlignment="0" applyProtection="0"/>
    <xf numFmtId="0" fontId="8" fillId="17" borderId="0" applyNumberFormat="0" applyBorder="0" applyAlignment="0" applyProtection="0"/>
    <xf numFmtId="0" fontId="2" fillId="0" borderId="0"/>
    <xf numFmtId="0" fontId="2" fillId="0" borderId="0"/>
    <xf numFmtId="0" fontId="8" fillId="20" borderId="0" applyNumberFormat="0" applyBorder="0" applyAlignment="0" applyProtection="0"/>
    <xf numFmtId="0" fontId="2" fillId="0" borderId="0"/>
    <xf numFmtId="0" fontId="2" fillId="0" borderId="0"/>
    <xf numFmtId="0" fontId="8" fillId="24" borderId="0" applyNumberFormat="0" applyBorder="0" applyAlignment="0" applyProtection="0"/>
    <xf numFmtId="0" fontId="8" fillId="25" borderId="0" applyNumberFormat="0" applyBorder="0" applyAlignment="0" applyProtection="0"/>
    <xf numFmtId="0" fontId="2" fillId="0" borderId="0"/>
    <xf numFmtId="0" fontId="2" fillId="0" borderId="0"/>
    <xf numFmtId="0" fontId="8" fillId="28" borderId="0" applyNumberFormat="0" applyBorder="0" applyAlignment="0" applyProtection="0"/>
    <xf numFmtId="0" fontId="8" fillId="29" borderId="0" applyNumberFormat="0" applyBorder="0" applyAlignment="0" applyProtection="0"/>
    <xf numFmtId="0" fontId="2" fillId="0" borderId="0"/>
    <xf numFmtId="0" fontId="8" fillId="33" borderId="0" applyNumberFormat="0" applyBorder="0" applyAlignment="0" applyProtection="0"/>
    <xf numFmtId="0" fontId="2" fillId="0" borderId="0"/>
    <xf numFmtId="0" fontId="2" fillId="0" borderId="0"/>
    <xf numFmtId="0" fontId="8" fillId="36" borderId="0" applyNumberFormat="0" applyBorder="0" applyAlignment="0" applyProtection="0"/>
    <xf numFmtId="0" fontId="8" fillId="37"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21" borderId="0" applyNumberFormat="0" applyBorder="0" applyAlignment="0" applyProtection="0"/>
    <xf numFmtId="0" fontId="2" fillId="0" borderId="0"/>
    <xf numFmtId="0" fontId="8" fillId="3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2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14" borderId="41"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4" borderId="0" applyNumberFormat="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4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0" borderId="0"/>
    <xf numFmtId="0" fontId="8" fillId="42" borderId="0" applyNumberFormat="0" applyBorder="0" applyAlignment="0" applyProtection="0"/>
    <xf numFmtId="0" fontId="8" fillId="14" borderId="41" applyNumberFormat="0" applyFont="0" applyAlignment="0" applyProtection="0"/>
    <xf numFmtId="0" fontId="8" fillId="45"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2" borderId="0" applyNumberFormat="0" applyBorder="0" applyAlignment="0" applyProtection="0"/>
    <xf numFmtId="0" fontId="8" fillId="0" borderId="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43" fontId="8" fillId="0" borderId="0" applyFont="0" applyFill="0" applyBorder="0" applyAlignment="0" applyProtection="0"/>
    <xf numFmtId="0" fontId="8" fillId="44"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0" borderId="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5" borderId="0" applyNumberFormat="0" applyBorder="0" applyAlignment="0" applyProtection="0"/>
    <xf numFmtId="0" fontId="8" fillId="0" borderId="0"/>
    <xf numFmtId="168" fontId="8" fillId="0" borderId="0"/>
    <xf numFmtId="0" fontId="8" fillId="0" borderId="0"/>
    <xf numFmtId="168" fontId="8" fillId="0" borderId="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2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8" fillId="20"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2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17"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17"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2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2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5"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4" borderId="41" applyNumberFormat="0" applyFont="0" applyAlignment="0" applyProtection="0"/>
    <xf numFmtId="0" fontId="8" fillId="14" borderId="41" applyNumberFormat="0" applyFont="0" applyAlignment="0" applyProtection="0"/>
    <xf numFmtId="0" fontId="8" fillId="14" borderId="41" applyNumberFormat="0" applyFont="0" applyAlignment="0" applyProtection="0"/>
    <xf numFmtId="0" fontId="8" fillId="14" borderId="4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7" borderId="0" applyNumberFormat="0" applyBorder="0" applyAlignment="0" applyProtection="0"/>
    <xf numFmtId="0" fontId="8" fillId="33" borderId="0" applyNumberFormat="0" applyBorder="0" applyAlignment="0" applyProtection="0"/>
    <xf numFmtId="0" fontId="8" fillId="29" borderId="0" applyNumberFormat="0" applyBorder="0" applyAlignment="0" applyProtection="0"/>
    <xf numFmtId="0" fontId="8" fillId="25"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6"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4" borderId="41" applyNumberFormat="0" applyFont="0" applyAlignment="0" applyProtection="0"/>
    <xf numFmtId="0" fontId="8" fillId="14" borderId="4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41"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4" borderId="41"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2"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2"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8" fillId="0" borderId="0"/>
    <xf numFmtId="0" fontId="8" fillId="0" borderId="0"/>
    <xf numFmtId="0" fontId="8" fillId="0" borderId="0"/>
    <xf numFmtId="0" fontId="8" fillId="0" borderId="0"/>
    <xf numFmtId="0" fontId="8" fillId="0" borderId="0"/>
    <xf numFmtId="168" fontId="8" fillId="0" borderId="0"/>
    <xf numFmtId="0" fontId="38"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3" borderId="40" applyNumberFormat="0" applyAlignment="0" applyProtection="0"/>
    <xf numFmtId="0" fontId="31" fillId="0" borderId="0" applyNumberFormat="0" applyFill="0" applyBorder="0" applyAlignment="0" applyProtection="0"/>
    <xf numFmtId="0" fontId="8" fillId="14" borderId="41" applyNumberFormat="0" applyFont="0" applyAlignment="0" applyProtection="0"/>
    <xf numFmtId="0" fontId="32" fillId="0" borderId="0" applyNumberFormat="0" applyFill="0" applyBorder="0" applyAlignment="0" applyProtection="0"/>
    <xf numFmtId="0" fontId="33" fillId="31" borderId="0" applyNumberFormat="0" applyBorder="0" applyAlignment="0" applyProtection="0"/>
    <xf numFmtId="37" fontId="38" fillId="0" borderId="0"/>
    <xf numFmtId="0" fontId="38" fillId="0" borderId="0"/>
    <xf numFmtId="0" fontId="38" fillId="0" borderId="0"/>
    <xf numFmtId="0" fontId="38" fillId="0" borderId="0"/>
    <xf numFmtId="0" fontId="38" fillId="0" borderId="0"/>
    <xf numFmtId="0" fontId="67" fillId="0" borderId="0"/>
    <xf numFmtId="0" fontId="67" fillId="0" borderId="0"/>
    <xf numFmtId="0" fontId="68" fillId="0" borderId="34" applyNumberFormat="0" applyFill="0" applyAlignment="0" applyProtection="0"/>
    <xf numFmtId="0" fontId="69" fillId="0" borderId="35" applyNumberFormat="0" applyFill="0" applyAlignment="0" applyProtection="0"/>
    <xf numFmtId="0" fontId="70" fillId="0" borderId="36"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0" borderId="0" applyNumberFormat="0" applyBorder="0" applyAlignment="0" applyProtection="0"/>
    <xf numFmtId="0" fontId="74" fillId="11" borderId="37" applyNumberFormat="0" applyAlignment="0" applyProtection="0"/>
    <xf numFmtId="0" fontId="75" fillId="12" borderId="38" applyNumberFormat="0" applyAlignment="0" applyProtection="0"/>
    <xf numFmtId="0" fontId="76" fillId="12" borderId="37" applyNumberFormat="0" applyAlignment="0" applyProtection="0"/>
    <xf numFmtId="0" fontId="77" fillId="0" borderId="39" applyNumberFormat="0" applyFill="0" applyAlignment="0" applyProtection="0"/>
    <xf numFmtId="0" fontId="78" fillId="13" borderId="40" applyNumberFormat="0" applyAlignment="0" applyProtection="0"/>
    <xf numFmtId="0" fontId="79" fillId="0" borderId="0" applyNumberFormat="0" applyFill="0" applyBorder="0" applyAlignment="0" applyProtection="0"/>
    <xf numFmtId="0" fontId="67" fillId="14" borderId="41" applyNumberFormat="0" applyFont="0" applyAlignment="0" applyProtection="0"/>
    <xf numFmtId="0" fontId="80" fillId="0" borderId="0" applyNumberFormat="0" applyFill="0" applyBorder="0" applyAlignment="0" applyProtection="0"/>
    <xf numFmtId="0" fontId="81" fillId="0" borderId="42" applyNumberFormat="0" applyFill="0" applyAlignment="0" applyProtection="0"/>
    <xf numFmtId="0" fontId="82"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67" fillId="36" borderId="0" applyNumberFormat="0" applyBorder="0" applyAlignment="0" applyProtection="0"/>
    <xf numFmtId="0" fontId="67" fillId="37" borderId="0" applyNumberFormat="0" applyBorder="0" applyAlignment="0" applyProtection="0"/>
    <xf numFmtId="0" fontId="82" fillId="38" borderId="0" applyNumberFormat="0" applyBorder="0" applyAlignment="0" applyProtection="0"/>
    <xf numFmtId="44" fontId="67" fillId="0" borderId="0" applyFont="0" applyFill="0" applyBorder="0" applyAlignment="0" applyProtection="0"/>
    <xf numFmtId="43" fontId="67"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3" fillId="0" borderId="0" applyNumberFormat="0" applyFont="0" applyFill="0" applyAlignment="0" applyProtection="0"/>
    <xf numFmtId="0" fontId="66" fillId="0" borderId="0" applyNumberFormat="0" applyFont="0" applyFill="0" applyAlignment="0" applyProtection="0"/>
    <xf numFmtId="0" fontId="2" fillId="0" borderId="52" applyNumberFormat="0" applyFont="0" applyBorder="0" applyAlignment="0" applyProtection="0"/>
    <xf numFmtId="0" fontId="2" fillId="0" borderId="0">
      <alignment vertical="top"/>
    </xf>
    <xf numFmtId="0" fontId="2" fillId="0" borderId="0">
      <alignment vertical="top"/>
    </xf>
    <xf numFmtId="44" fontId="67" fillId="0" borderId="0" applyFont="0" applyFill="0" applyBorder="0" applyAlignment="0" applyProtection="0"/>
    <xf numFmtId="9" fontId="67" fillId="0" borderId="0" applyFont="0" applyFill="0" applyBorder="0" applyAlignment="0" applyProtection="0"/>
    <xf numFmtId="0" fontId="37" fillId="0" borderId="0" applyNumberFormat="0" applyFill="0" applyBorder="0" applyAlignment="0" applyProtection="0">
      <alignment vertical="top"/>
      <protection locked="0"/>
    </xf>
    <xf numFmtId="43" fontId="2" fillId="0" borderId="0" applyFont="0" applyFill="0" applyBorder="0" applyAlignment="0" applyProtection="0"/>
    <xf numFmtId="0" fontId="84" fillId="0" borderId="0" applyNumberFormat="0" applyFill="0" applyBorder="0" applyAlignment="0" applyProtection="0"/>
    <xf numFmtId="43" fontId="8" fillId="0" borderId="0" applyFont="0" applyFill="0" applyBorder="0" applyAlignment="0" applyProtection="0"/>
    <xf numFmtId="0" fontId="20" fillId="0" borderId="0" applyNumberFormat="0" applyFill="0" applyBorder="0" applyAlignment="0" applyProtection="0"/>
    <xf numFmtId="0" fontId="85" fillId="0" borderId="0"/>
    <xf numFmtId="0" fontId="86" fillId="10"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44" fontId="8" fillId="0" borderId="0" applyFont="0" applyFill="0" applyBorder="0" applyAlignment="0" applyProtection="0"/>
    <xf numFmtId="0" fontId="2" fillId="0" borderId="0"/>
    <xf numFmtId="0" fontId="127" fillId="0" borderId="0"/>
    <xf numFmtId="0" fontId="136" fillId="0" borderId="0" applyNumberFormat="0" applyFill="0" applyBorder="0" applyProtection="0"/>
  </cellStyleXfs>
  <cellXfs count="1444">
    <xf numFmtId="0" fontId="0" fillId="0" borderId="0" xfId="0"/>
    <xf numFmtId="0" fontId="11" fillId="0" borderId="0" xfId="0" applyFont="1"/>
    <xf numFmtId="0" fontId="0" fillId="0" borderId="0" xfId="0" applyAlignment="1">
      <alignment wrapText="1"/>
    </xf>
    <xf numFmtId="0" fontId="12" fillId="6" borderId="0" xfId="0" applyFont="1" applyFill="1"/>
    <xf numFmtId="0" fontId="13" fillId="0" borderId="0" xfId="0" applyFont="1" applyAlignment="1">
      <alignment wrapText="1"/>
    </xf>
    <xf numFmtId="43" fontId="8" fillId="0" borderId="0" xfId="4" applyFont="1" applyProtection="1"/>
    <xf numFmtId="0" fontId="0" fillId="0" borderId="0" xfId="0" applyFont="1" applyProtection="1"/>
    <xf numFmtId="0" fontId="0" fillId="0" borderId="0" xfId="0" applyProtection="1"/>
    <xf numFmtId="43" fontId="0" fillId="0" borderId="0" xfId="4" applyFont="1" applyProtection="1"/>
    <xf numFmtId="174" fontId="0" fillId="0" borderId="0" xfId="0" applyNumberFormat="1" applyProtection="1"/>
    <xf numFmtId="172" fontId="0" fillId="0" borderId="0" xfId="0" applyNumberFormat="1" applyProtection="1"/>
    <xf numFmtId="0" fontId="2" fillId="0" borderId="0" xfId="6628"/>
    <xf numFmtId="172" fontId="2" fillId="0" borderId="0" xfId="6628" applyNumberFormat="1"/>
    <xf numFmtId="0" fontId="87" fillId="0" borderId="0" xfId="6628" applyFont="1"/>
    <xf numFmtId="0" fontId="88" fillId="0" borderId="0" xfId="6628" applyFont="1"/>
    <xf numFmtId="0" fontId="89" fillId="0" borderId="0" xfId="6628" applyFont="1"/>
    <xf numFmtId="0" fontId="93" fillId="0" borderId="0" xfId="0" applyFont="1" applyAlignment="1">
      <alignment vertical="center"/>
    </xf>
    <xf numFmtId="0" fontId="97" fillId="0" borderId="0" xfId="8" applyFont="1" applyProtection="1"/>
    <xf numFmtId="0" fontId="97" fillId="0" borderId="0" xfId="8" applyFont="1" applyFill="1" applyProtection="1"/>
    <xf numFmtId="0" fontId="97" fillId="0" borderId="0" xfId="8" applyFont="1" applyFill="1" applyBorder="1" applyProtection="1"/>
    <xf numFmtId="0" fontId="96" fillId="0" borderId="0" xfId="8" applyFont="1" applyProtection="1"/>
    <xf numFmtId="9" fontId="96" fillId="0" borderId="0" xfId="10" applyFont="1" applyProtection="1"/>
    <xf numFmtId="0" fontId="93" fillId="0" borderId="81" xfId="0" applyFont="1" applyBorder="1" applyProtection="1">
      <protection locked="0"/>
    </xf>
    <xf numFmtId="186" fontId="93" fillId="0" borderId="53" xfId="0" applyNumberFormat="1" applyFont="1" applyBorder="1" applyProtection="1">
      <protection locked="0"/>
    </xf>
    <xf numFmtId="5" fontId="93" fillId="0" borderId="53" xfId="13118" applyNumberFormat="1" applyFont="1" applyBorder="1" applyProtection="1">
      <protection locked="0"/>
    </xf>
    <xf numFmtId="172" fontId="2" fillId="0" borderId="0" xfId="6628" applyNumberFormat="1" applyBorder="1"/>
    <xf numFmtId="0" fontId="91" fillId="0" borderId="53" xfId="0" applyFont="1" applyFill="1" applyBorder="1" applyProtection="1"/>
    <xf numFmtId="184" fontId="93" fillId="0" borderId="53" xfId="13118" applyNumberFormat="1" applyFont="1" applyFill="1" applyBorder="1" applyProtection="1"/>
    <xf numFmtId="172" fontId="92" fillId="0" borderId="82" xfId="13118" applyNumberFormat="1" applyFont="1" applyFill="1" applyBorder="1" applyProtection="1"/>
    <xf numFmtId="172" fontId="92" fillId="0" borderId="73" xfId="13118" applyNumberFormat="1" applyFont="1" applyFill="1" applyBorder="1" applyProtection="1"/>
    <xf numFmtId="172" fontId="92" fillId="0" borderId="81" xfId="13118" applyNumberFormat="1" applyFont="1" applyFill="1" applyBorder="1" applyProtection="1"/>
    <xf numFmtId="174" fontId="91" fillId="0" borderId="53" xfId="13118" applyNumberFormat="1" applyFont="1" applyFill="1" applyBorder="1" applyProtection="1"/>
    <xf numFmtId="172" fontId="2" fillId="0" borderId="0" xfId="6628" applyNumberFormat="1" applyFill="1" applyBorder="1"/>
    <xf numFmtId="5" fontId="98" fillId="0" borderId="81" xfId="13118" applyNumberFormat="1" applyFont="1" applyBorder="1" applyProtection="1">
      <protection locked="0"/>
    </xf>
    <xf numFmtId="0" fontId="91" fillId="64" borderId="71" xfId="0" applyFont="1" applyFill="1" applyBorder="1" applyAlignment="1" applyProtection="1">
      <alignment horizontal="center" wrapText="1"/>
    </xf>
    <xf numFmtId="0" fontId="91" fillId="64" borderId="56" xfId="0" applyFont="1" applyFill="1" applyBorder="1" applyAlignment="1" applyProtection="1">
      <alignment horizontal="center" wrapText="1"/>
    </xf>
    <xf numFmtId="0" fontId="91" fillId="64" borderId="80" xfId="0" applyFont="1" applyFill="1" applyBorder="1" applyAlignment="1" applyProtection="1">
      <alignment horizontal="center"/>
    </xf>
    <xf numFmtId="172" fontId="95" fillId="0" borderId="0" xfId="6628" applyNumberFormat="1" applyFont="1"/>
    <xf numFmtId="183" fontId="98" fillId="0" borderId="81" xfId="0" applyNumberFormat="1" applyFont="1" applyBorder="1" applyProtection="1">
      <protection locked="0"/>
    </xf>
    <xf numFmtId="172" fontId="98" fillId="0" borderId="81" xfId="13118" applyNumberFormat="1" applyFont="1" applyFill="1" applyBorder="1" applyProtection="1"/>
    <xf numFmtId="172" fontId="93" fillId="0" borderId="0" xfId="6628" applyNumberFormat="1" applyFont="1"/>
    <xf numFmtId="174" fontId="94" fillId="0" borderId="53" xfId="13118" applyNumberFormat="1" applyFont="1" applyFill="1" applyBorder="1" applyProtection="1"/>
    <xf numFmtId="174" fontId="2" fillId="0" borderId="0" xfId="6628" applyNumberFormat="1"/>
    <xf numFmtId="172" fontId="94" fillId="0" borderId="1" xfId="6628" applyNumberFormat="1" applyFont="1" applyBorder="1"/>
    <xf numFmtId="172" fontId="2" fillId="0" borderId="1" xfId="6628" applyNumberFormat="1" applyBorder="1"/>
    <xf numFmtId="172" fontId="97" fillId="0" borderId="0" xfId="6628" applyNumberFormat="1" applyFont="1"/>
    <xf numFmtId="172" fontId="98" fillId="0" borderId="0" xfId="6628" applyNumberFormat="1" applyFont="1"/>
    <xf numFmtId="174" fontId="93" fillId="0" borderId="53" xfId="6628" applyNumberFormat="1" applyFont="1" applyBorder="1"/>
    <xf numFmtId="0" fontId="91" fillId="0" borderId="93" xfId="0" applyFont="1" applyFill="1" applyBorder="1" applyAlignment="1">
      <alignment vertical="center"/>
    </xf>
    <xf numFmtId="172" fontId="91" fillId="0" borderId="53" xfId="6628" applyNumberFormat="1" applyFont="1" applyBorder="1"/>
    <xf numFmtId="172" fontId="93" fillId="0" borderId="94" xfId="6628" applyNumberFormat="1" applyFont="1" applyBorder="1"/>
    <xf numFmtId="174" fontId="93" fillId="0" borderId="94" xfId="6628" applyNumberFormat="1" applyFont="1" applyBorder="1"/>
    <xf numFmtId="0" fontId="99" fillId="0" borderId="0" xfId="8" applyFont="1" applyAlignment="1" applyProtection="1">
      <alignment horizontal="right"/>
    </xf>
    <xf numFmtId="166" fontId="99" fillId="0" borderId="0" xfId="6" applyNumberFormat="1" applyFont="1" applyFill="1" applyAlignment="1" applyProtection="1">
      <alignment horizontal="center"/>
    </xf>
    <xf numFmtId="166" fontId="99" fillId="0" borderId="0" xfId="6" applyNumberFormat="1" applyFont="1" applyFill="1" applyBorder="1" applyProtection="1"/>
    <xf numFmtId="0" fontId="99" fillId="0" borderId="0" xfId="8" applyFont="1" applyFill="1" applyAlignment="1" applyProtection="1">
      <alignment horizontal="right"/>
    </xf>
    <xf numFmtId="174" fontId="99" fillId="0" borderId="0" xfId="8" applyNumberFormat="1" applyFont="1" applyFill="1" applyBorder="1" applyProtection="1"/>
    <xf numFmtId="166" fontId="99" fillId="0" borderId="53" xfId="6" applyNumberFormat="1" applyFont="1" applyFill="1" applyBorder="1" applyAlignment="1" applyProtection="1">
      <alignment horizontal="center"/>
    </xf>
    <xf numFmtId="43" fontId="93" fillId="0" borderId="53" xfId="4" applyFont="1" applyBorder="1" applyProtection="1"/>
    <xf numFmtId="172" fontId="99" fillId="0" borderId="53" xfId="5" applyNumberFormat="1" applyFont="1" applyBorder="1" applyAlignment="1" applyProtection="1">
      <alignment horizontal="center"/>
    </xf>
    <xf numFmtId="174" fontId="99" fillId="0" borderId="53" xfId="5" applyNumberFormat="1" applyFont="1" applyBorder="1" applyAlignment="1" applyProtection="1">
      <alignment horizontal="right"/>
    </xf>
    <xf numFmtId="0" fontId="89" fillId="0" borderId="0" xfId="0" applyFont="1" applyProtection="1"/>
    <xf numFmtId="0" fontId="88" fillId="0" borderId="0" xfId="0" applyFont="1" applyProtection="1"/>
    <xf numFmtId="0" fontId="90" fillId="66" borderId="0" xfId="0" applyFont="1" applyFill="1" applyProtection="1"/>
    <xf numFmtId="0" fontId="66" fillId="7" borderId="0" xfId="0" applyFont="1" applyFill="1" applyProtection="1"/>
    <xf numFmtId="0" fontId="90" fillId="66" borderId="0" xfId="0" applyFont="1" applyFill="1"/>
    <xf numFmtId="0" fontId="101" fillId="66" borderId="0" xfId="0" quotePrefix="1" applyFont="1" applyFill="1"/>
    <xf numFmtId="43" fontId="90" fillId="66" borderId="0" xfId="4" applyFont="1" applyFill="1" applyProtection="1"/>
    <xf numFmtId="43" fontId="16" fillId="7" borderId="0" xfId="4" applyFont="1" applyFill="1" applyProtection="1"/>
    <xf numFmtId="0" fontId="15" fillId="0" borderId="0" xfId="6628" applyFont="1"/>
    <xf numFmtId="0" fontId="100" fillId="7" borderId="0" xfId="6628" applyFont="1" applyFill="1"/>
    <xf numFmtId="0" fontId="66" fillId="7" borderId="0" xfId="6628" applyFont="1" applyFill="1"/>
    <xf numFmtId="0" fontId="94" fillId="0" borderId="94" xfId="0" applyFont="1" applyBorder="1" applyAlignment="1">
      <alignment vertical="center"/>
    </xf>
    <xf numFmtId="0" fontId="14" fillId="0" borderId="0" xfId="8" applyFont="1" applyAlignment="1" applyProtection="1">
      <alignment horizontal="center"/>
    </xf>
    <xf numFmtId="175" fontId="0" fillId="0" borderId="0" xfId="0" applyNumberFormat="1" applyProtection="1"/>
    <xf numFmtId="3" fontId="98" fillId="4" borderId="98" xfId="11" applyNumberFormat="1" applyFont="1" applyBorder="1" applyAlignment="1" applyProtection="1">
      <alignment horizontal="center"/>
      <protection locked="0"/>
    </xf>
    <xf numFmtId="0" fontId="0" fillId="0" borderId="1" xfId="0" applyBorder="1" applyProtection="1"/>
    <xf numFmtId="5" fontId="14" fillId="0" borderId="1" xfId="8" applyNumberFormat="1" applyFont="1" applyFill="1" applyBorder="1" applyAlignment="1" applyProtection="1">
      <alignment horizontal="center"/>
    </xf>
    <xf numFmtId="0" fontId="0" fillId="0" borderId="1" xfId="0" applyBorder="1" applyAlignment="1" applyProtection="1">
      <alignment horizontal="center"/>
    </xf>
    <xf numFmtId="43" fontId="0" fillId="0" borderId="1" xfId="4" applyFont="1" applyBorder="1" applyAlignment="1" applyProtection="1">
      <alignment horizontal="center" wrapText="1"/>
    </xf>
    <xf numFmtId="172" fontId="98" fillId="4" borderId="3" xfId="11" applyNumberFormat="1" applyFont="1" applyAlignment="1" applyProtection="1">
      <alignment horizontal="center"/>
      <protection locked="0"/>
    </xf>
    <xf numFmtId="172" fontId="99" fillId="0" borderId="0" xfId="8" applyNumberFormat="1" applyFont="1" applyFill="1" applyBorder="1" applyProtection="1"/>
    <xf numFmtId="172" fontId="98" fillId="4" borderId="55" xfId="11" applyNumberFormat="1" applyFont="1" applyBorder="1" applyAlignment="1" applyProtection="1">
      <alignment horizontal="center"/>
      <protection locked="0"/>
    </xf>
    <xf numFmtId="175" fontId="0" fillId="0" borderId="1" xfId="0" applyNumberFormat="1" applyBorder="1" applyProtection="1"/>
    <xf numFmtId="0" fontId="102" fillId="0" borderId="0" xfId="0" applyFont="1" applyProtection="1"/>
    <xf numFmtId="0" fontId="103" fillId="0" borderId="0" xfId="8" applyFont="1" applyAlignment="1" applyProtection="1">
      <alignment horizontal="center"/>
    </xf>
    <xf numFmtId="0" fontId="14" fillId="0" borderId="0" xfId="8" applyFont="1" applyAlignment="1" applyProtection="1">
      <alignment horizontal="left"/>
    </xf>
    <xf numFmtId="172" fontId="99" fillId="0" borderId="0" xfId="6" applyNumberFormat="1" applyFont="1" applyFill="1" applyAlignment="1" applyProtection="1">
      <alignment horizontal="right"/>
    </xf>
    <xf numFmtId="172" fontId="99" fillId="0" borderId="0" xfId="6" applyNumberFormat="1" applyFont="1" applyFill="1" applyBorder="1" applyAlignment="1" applyProtection="1">
      <alignment horizontal="right"/>
    </xf>
    <xf numFmtId="0" fontId="104" fillId="0" borderId="0" xfId="8" applyFont="1" applyAlignment="1" applyProtection="1">
      <alignment horizontal="right"/>
    </xf>
    <xf numFmtId="172" fontId="104" fillId="0" borderId="0" xfId="6" applyNumberFormat="1" applyFont="1" applyFill="1" applyAlignment="1" applyProtection="1">
      <alignment horizontal="right"/>
    </xf>
    <xf numFmtId="172" fontId="104" fillId="0" borderId="0" xfId="6" applyNumberFormat="1" applyFont="1" applyFill="1" applyBorder="1" applyAlignment="1" applyProtection="1">
      <alignment horizontal="right"/>
    </xf>
    <xf numFmtId="172" fontId="105" fillId="4" borderId="3" xfId="11" applyNumberFormat="1" applyFont="1" applyAlignment="1" applyProtection="1">
      <alignment horizontal="center"/>
      <protection locked="0"/>
    </xf>
    <xf numFmtId="172" fontId="104" fillId="0" borderId="0" xfId="8" applyNumberFormat="1" applyFont="1" applyFill="1" applyBorder="1" applyProtection="1"/>
    <xf numFmtId="175" fontId="11" fillId="0" borderId="0" xfId="0" applyNumberFormat="1" applyFont="1" applyProtection="1"/>
    <xf numFmtId="189" fontId="99" fillId="0" borderId="0" xfId="8" applyNumberFormat="1" applyFont="1" applyFill="1" applyBorder="1" applyProtection="1"/>
    <xf numFmtId="0" fontId="103" fillId="0" borderId="1" xfId="8" applyFont="1" applyBorder="1" applyAlignment="1" applyProtection="1">
      <alignment horizontal="center" wrapText="1"/>
    </xf>
    <xf numFmtId="172" fontId="0" fillId="0" borderId="0" xfId="0" applyNumberFormat="1" applyAlignment="1" applyProtection="1">
      <alignment horizontal="right"/>
    </xf>
    <xf numFmtId="0" fontId="0" fillId="0" borderId="1" xfId="0" applyBorder="1" applyAlignment="1" applyProtection="1">
      <alignment horizontal="right" wrapText="1"/>
    </xf>
    <xf numFmtId="43" fontId="0" fillId="0" borderId="53" xfId="4" applyFont="1" applyBorder="1" applyProtection="1"/>
    <xf numFmtId="0" fontId="15" fillId="7" borderId="0" xfId="6628" applyFont="1" applyFill="1"/>
    <xf numFmtId="0" fontId="104" fillId="65" borderId="0" xfId="8" applyFont="1" applyFill="1" applyAlignment="1" applyProtection="1">
      <alignment horizontal="right"/>
    </xf>
    <xf numFmtId="172" fontId="104" fillId="65" borderId="0" xfId="6" applyNumberFormat="1" applyFont="1" applyFill="1" applyAlignment="1" applyProtection="1">
      <alignment horizontal="right"/>
    </xf>
    <xf numFmtId="172" fontId="104" fillId="65" borderId="0" xfId="6" applyNumberFormat="1" applyFont="1" applyFill="1" applyBorder="1" applyAlignment="1" applyProtection="1">
      <alignment horizontal="right"/>
    </xf>
    <xf numFmtId="172" fontId="105" fillId="65" borderId="3" xfId="11" applyNumberFormat="1" applyFont="1" applyFill="1" applyAlignment="1" applyProtection="1">
      <alignment horizontal="center"/>
      <protection locked="0"/>
    </xf>
    <xf numFmtId="172" fontId="104" fillId="65" borderId="0" xfId="8" applyNumberFormat="1" applyFont="1" applyFill="1" applyBorder="1" applyProtection="1"/>
    <xf numFmtId="172" fontId="0" fillId="65" borderId="0" xfId="0" applyNumberFormat="1" applyFill="1" applyAlignment="1" applyProtection="1">
      <alignment horizontal="right"/>
    </xf>
    <xf numFmtId="175" fontId="11" fillId="65" borderId="0" xfId="0" applyNumberFormat="1" applyFont="1" applyFill="1" applyProtection="1"/>
    <xf numFmtId="43" fontId="0" fillId="0" borderId="19" xfId="4" applyFont="1" applyBorder="1" applyAlignment="1" applyProtection="1">
      <alignment horizontal="center"/>
    </xf>
    <xf numFmtId="43" fontId="0" fillId="0" borderId="18" xfId="4" applyFont="1" applyBorder="1" applyAlignment="1" applyProtection="1">
      <alignment horizontal="center" wrapText="1"/>
    </xf>
    <xf numFmtId="172" fontId="0" fillId="0" borderId="0" xfId="0" applyNumberFormat="1"/>
    <xf numFmtId="0" fontId="0" fillId="0" borderId="1" xfId="0" applyBorder="1" applyAlignment="1">
      <alignment horizontal="center"/>
    </xf>
    <xf numFmtId="0" fontId="0" fillId="0" borderId="53" xfId="0" applyBorder="1"/>
    <xf numFmtId="174" fontId="0" fillId="0" borderId="0" xfId="0" applyNumberFormat="1"/>
    <xf numFmtId="174" fontId="97" fillId="0" borderId="21" xfId="8" applyNumberFormat="1" applyFont="1" applyBorder="1" applyProtection="1"/>
    <xf numFmtId="38" fontId="97" fillId="0" borderId="21" xfId="8" applyNumberFormat="1" applyFont="1" applyBorder="1" applyProtection="1"/>
    <xf numFmtId="38" fontId="97" fillId="2" borderId="24" xfId="6" applyNumberFormat="1" applyFont="1" applyFill="1" applyBorder="1" applyProtection="1">
      <protection locked="0"/>
    </xf>
    <xf numFmtId="174" fontId="96" fillId="0" borderId="23" xfId="6" applyNumberFormat="1" applyFont="1" applyBorder="1" applyAlignment="1" applyProtection="1">
      <alignment horizontal="right"/>
    </xf>
    <xf numFmtId="38" fontId="97" fillId="0" borderId="25" xfId="6" applyNumberFormat="1" applyFont="1" applyBorder="1" applyProtection="1"/>
    <xf numFmtId="0" fontId="97" fillId="0" borderId="21" xfId="8" applyFont="1" applyBorder="1" applyProtection="1"/>
    <xf numFmtId="175" fontId="96" fillId="0" borderId="22" xfId="10" applyNumberFormat="1" applyFont="1" applyBorder="1" applyProtection="1"/>
    <xf numFmtId="175" fontId="96" fillId="0" borderId="18" xfId="10" applyNumberFormat="1" applyFont="1" applyBorder="1" applyProtection="1"/>
    <xf numFmtId="174" fontId="96" fillId="0" borderId="75" xfId="6" applyNumberFormat="1" applyFont="1" applyBorder="1" applyProtection="1"/>
    <xf numFmtId="174" fontId="96" fillId="0" borderId="26" xfId="6" applyNumberFormat="1" applyFont="1" applyBorder="1" applyProtection="1"/>
    <xf numFmtId="38" fontId="97" fillId="0" borderId="30" xfId="8" applyNumberFormat="1" applyFont="1" applyFill="1" applyBorder="1" applyProtection="1"/>
    <xf numFmtId="9" fontId="97" fillId="0" borderId="22" xfId="10" applyFont="1" applyBorder="1" applyProtection="1"/>
    <xf numFmtId="44" fontId="97" fillId="0" borderId="0" xfId="8" applyNumberFormat="1" applyFont="1" applyFill="1" applyBorder="1" applyProtection="1"/>
    <xf numFmtId="173" fontId="97" fillId="0" borderId="0" xfId="8" applyNumberFormat="1" applyFont="1" applyProtection="1"/>
    <xf numFmtId="172" fontId="97" fillId="0" borderId="21" xfId="8" applyNumberFormat="1" applyFont="1" applyBorder="1" applyProtection="1"/>
    <xf numFmtId="0" fontId="107" fillId="0" borderId="0" xfId="0" applyFont="1" applyProtection="1"/>
    <xf numFmtId="0" fontId="94" fillId="0" borderId="0" xfId="0" applyFont="1" applyProtection="1"/>
    <xf numFmtId="0" fontId="94" fillId="65" borderId="17" xfId="0" applyFont="1" applyFill="1" applyBorder="1" applyProtection="1"/>
    <xf numFmtId="0" fontId="94" fillId="65" borderId="13" xfId="0" applyFont="1" applyFill="1" applyBorder="1" applyProtection="1"/>
    <xf numFmtId="0" fontId="94" fillId="65" borderId="14" xfId="0" applyFont="1" applyFill="1" applyBorder="1" applyProtection="1"/>
    <xf numFmtId="0" fontId="94" fillId="0" borderId="0" xfId="0" applyFont="1" applyFill="1" applyProtection="1"/>
    <xf numFmtId="0" fontId="94" fillId="0" borderId="0" xfId="0" applyFont="1" applyAlignment="1" applyProtection="1">
      <alignment horizontal="center"/>
    </xf>
    <xf numFmtId="0" fontId="94" fillId="65" borderId="15" xfId="0" applyFont="1" applyFill="1" applyBorder="1" applyProtection="1"/>
    <xf numFmtId="0" fontId="94" fillId="65" borderId="16" xfId="0" applyFont="1" applyFill="1" applyBorder="1" applyProtection="1"/>
    <xf numFmtId="0" fontId="94" fillId="0" borderId="19" xfId="0" applyFont="1" applyBorder="1" applyAlignment="1" applyProtection="1">
      <alignment horizontal="center"/>
    </xf>
    <xf numFmtId="0" fontId="94" fillId="0" borderId="1" xfId="0" applyFont="1" applyBorder="1" applyAlignment="1" applyProtection="1">
      <alignment horizontal="center"/>
    </xf>
    <xf numFmtId="0" fontId="94" fillId="0" borderId="18" xfId="0" applyFont="1" applyBorder="1" applyAlignment="1" applyProtection="1">
      <alignment horizontal="center"/>
    </xf>
    <xf numFmtId="0" fontId="93" fillId="0" borderId="0" xfId="0" applyFont="1" applyProtection="1"/>
    <xf numFmtId="174" fontId="94" fillId="0" borderId="0" xfId="0" applyNumberFormat="1" applyFont="1" applyFill="1" applyBorder="1" applyAlignment="1" applyProtection="1">
      <alignment horizontal="center"/>
    </xf>
    <xf numFmtId="8" fontId="94" fillId="0" borderId="0" xfId="0" applyNumberFormat="1" applyFont="1" applyProtection="1"/>
    <xf numFmtId="0" fontId="94" fillId="0" borderId="5" xfId="0" applyFont="1" applyBorder="1" applyProtection="1"/>
    <xf numFmtId="177" fontId="94" fillId="0" borderId="6" xfId="0" applyNumberFormat="1" applyFont="1" applyBorder="1" applyAlignment="1" applyProtection="1">
      <alignment horizontal="center"/>
    </xf>
    <xf numFmtId="10" fontId="93" fillId="3" borderId="0" xfId="9" applyNumberFormat="1" applyFont="1" applyFill="1" applyBorder="1" applyAlignment="1" applyProtection="1">
      <alignment horizontal="left"/>
    </xf>
    <xf numFmtId="0" fontId="94" fillId="0" borderId="6" xfId="0" applyFont="1" applyBorder="1" applyProtection="1"/>
    <xf numFmtId="0" fontId="94" fillId="0" borderId="6" xfId="0" applyFont="1" applyFill="1" applyBorder="1" applyProtection="1"/>
    <xf numFmtId="0" fontId="108" fillId="66" borderId="0" xfId="0" applyFont="1" applyFill="1" applyProtection="1"/>
    <xf numFmtId="0" fontId="93" fillId="0" borderId="0" xfId="0" applyFont="1" applyFill="1" applyProtection="1"/>
    <xf numFmtId="0" fontId="96" fillId="0" borderId="0" xfId="6628" applyFont="1"/>
    <xf numFmtId="0" fontId="108" fillId="7" borderId="0" xfId="0" applyFont="1" applyFill="1" applyProtection="1"/>
    <xf numFmtId="0" fontId="94" fillId="7" borderId="0" xfId="0" applyFont="1" applyFill="1" applyProtection="1"/>
    <xf numFmtId="0" fontId="96" fillId="0" borderId="0" xfId="0" applyFont="1" applyProtection="1"/>
    <xf numFmtId="0" fontId="104" fillId="0" borderId="0" xfId="0" applyFont="1" applyProtection="1"/>
    <xf numFmtId="0" fontId="94" fillId="0" borderId="95" xfId="0" applyFont="1" applyFill="1" applyBorder="1" applyAlignment="1" applyProtection="1">
      <alignment horizontal="center"/>
    </xf>
    <xf numFmtId="0" fontId="94" fillId="0" borderId="96" xfId="0" applyFont="1" applyFill="1" applyBorder="1" applyAlignment="1" applyProtection="1">
      <alignment horizontal="center"/>
    </xf>
    <xf numFmtId="0" fontId="94" fillId="0" borderId="97" xfId="0" applyFont="1" applyFill="1" applyBorder="1" applyAlignment="1" applyProtection="1">
      <alignment horizontal="center"/>
    </xf>
    <xf numFmtId="0" fontId="93" fillId="3" borderId="0" xfId="0" applyFont="1" applyFill="1" applyBorder="1" applyProtection="1"/>
    <xf numFmtId="0" fontId="93" fillId="0" borderId="0" xfId="0" applyFont="1" applyAlignment="1" applyProtection="1">
      <alignment horizontal="center"/>
    </xf>
    <xf numFmtId="0" fontId="93" fillId="0" borderId="0" xfId="0" applyFont="1" applyAlignment="1" applyProtection="1">
      <alignment wrapText="1"/>
    </xf>
    <xf numFmtId="0" fontId="93" fillId="0" borderId="0" xfId="0" applyFont="1" applyAlignment="1" applyProtection="1">
      <alignment horizontal="center" wrapText="1"/>
    </xf>
    <xf numFmtId="178" fontId="93" fillId="0" borderId="0" xfId="0" applyNumberFormat="1" applyFont="1" applyAlignment="1" applyProtection="1">
      <alignment horizontal="center"/>
    </xf>
    <xf numFmtId="0" fontId="93" fillId="0" borderId="0" xfId="0" applyFont="1" applyAlignment="1" applyProtection="1">
      <alignment horizontal="left" wrapText="1"/>
    </xf>
    <xf numFmtId="8" fontId="93" fillId="3" borderId="0" xfId="0" applyNumberFormat="1" applyFont="1" applyFill="1" applyBorder="1" applyProtection="1"/>
    <xf numFmtId="6" fontId="93" fillId="0" borderId="0" xfId="0" applyNumberFormat="1" applyFont="1" applyAlignment="1" applyProtection="1">
      <alignment horizontal="center"/>
    </xf>
    <xf numFmtId="6" fontId="93" fillId="0" borderId="0" xfId="0" applyNumberFormat="1" applyFont="1" applyProtection="1"/>
    <xf numFmtId="0" fontId="93" fillId="0" borderId="0" xfId="0" applyFont="1" applyFill="1" applyBorder="1" applyProtection="1"/>
    <xf numFmtId="0" fontId="93" fillId="0" borderId="0" xfId="0" applyFont="1" applyAlignment="1" applyProtection="1"/>
    <xf numFmtId="0" fontId="94" fillId="0" borderId="0" xfId="0" applyFont="1" applyFill="1" applyBorder="1" applyProtection="1"/>
    <xf numFmtId="0" fontId="94" fillId="3" borderId="0" xfId="0" applyFont="1" applyFill="1" applyBorder="1" applyProtection="1"/>
    <xf numFmtId="6" fontId="94" fillId="0" borderId="0" xfId="0" applyNumberFormat="1" applyFont="1" applyBorder="1" applyAlignment="1" applyProtection="1">
      <alignment horizontal="center" wrapText="1"/>
    </xf>
    <xf numFmtId="3" fontId="94" fillId="0" borderId="0" xfId="11" applyNumberFormat="1" applyFont="1" applyFill="1" applyBorder="1" applyAlignment="1" applyProtection="1">
      <alignment horizontal="center"/>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horizontal="center"/>
    </xf>
    <xf numFmtId="8" fontId="93" fillId="0" borderId="0" xfId="0" applyNumberFormat="1" applyFont="1" applyProtection="1"/>
    <xf numFmtId="8" fontId="94" fillId="0" borderId="0" xfId="11" applyNumberFormat="1" applyFont="1" applyFill="1" applyBorder="1" applyAlignment="1" applyProtection="1">
      <alignment horizontal="center"/>
    </xf>
    <xf numFmtId="165" fontId="94" fillId="0" borderId="0" xfId="0" applyNumberFormat="1" applyFont="1" applyFill="1" applyBorder="1" applyAlignment="1" applyProtection="1">
      <alignment horizontal="center"/>
    </xf>
    <xf numFmtId="172" fontId="93" fillId="0" borderId="0" xfId="0" applyNumberFormat="1" applyFont="1" applyProtection="1"/>
    <xf numFmtId="172" fontId="93" fillId="0" borderId="0" xfId="0" applyNumberFormat="1" applyFont="1" applyAlignment="1" applyProtection="1">
      <alignment horizontal="center"/>
    </xf>
    <xf numFmtId="0" fontId="94" fillId="0" borderId="53" xfId="0" applyFont="1" applyBorder="1" applyProtection="1"/>
    <xf numFmtId="172" fontId="94" fillId="0" borderId="53" xfId="0" applyNumberFormat="1" applyFont="1" applyBorder="1" applyAlignment="1" applyProtection="1">
      <alignment horizontal="center"/>
    </xf>
    <xf numFmtId="165" fontId="93" fillId="0" borderId="0" xfId="0" applyNumberFormat="1" applyFont="1" applyAlignment="1" applyProtection="1">
      <alignment horizontal="center"/>
    </xf>
    <xf numFmtId="0" fontId="93" fillId="0" borderId="6" xfId="0" applyFont="1" applyBorder="1" applyProtection="1"/>
    <xf numFmtId="0" fontId="93" fillId="0" borderId="6" xfId="0" applyFont="1" applyFill="1" applyBorder="1" applyProtection="1"/>
    <xf numFmtId="0" fontId="93" fillId="3" borderId="4" xfId="0" applyFont="1" applyFill="1" applyBorder="1" applyProtection="1"/>
    <xf numFmtId="0" fontId="93" fillId="3" borderId="7" xfId="0" applyFont="1" applyFill="1" applyBorder="1" applyProtection="1"/>
    <xf numFmtId="0" fontId="93" fillId="3" borderId="8" xfId="0" applyFont="1" applyFill="1" applyBorder="1" applyProtection="1"/>
    <xf numFmtId="165" fontId="93" fillId="3" borderId="0" xfId="0" applyNumberFormat="1" applyFont="1" applyFill="1" applyBorder="1" applyAlignment="1" applyProtection="1">
      <alignment horizontal="center" vertical="top"/>
    </xf>
    <xf numFmtId="0" fontId="93" fillId="3" borderId="9" xfId="0" applyFont="1" applyFill="1" applyBorder="1" applyProtection="1"/>
    <xf numFmtId="165" fontId="93" fillId="3" borderId="10" xfId="0" applyNumberFormat="1" applyFont="1" applyFill="1" applyBorder="1" applyAlignment="1" applyProtection="1">
      <alignment horizontal="center" vertical="top"/>
    </xf>
    <xf numFmtId="0" fontId="93" fillId="3" borderId="10" xfId="0" applyFont="1" applyFill="1" applyBorder="1" applyProtection="1"/>
    <xf numFmtId="164" fontId="93" fillId="3" borderId="0" xfId="0" applyNumberFormat="1" applyFont="1" applyFill="1" applyBorder="1" applyProtection="1"/>
    <xf numFmtId="164" fontId="94" fillId="0" borderId="0" xfId="0" applyNumberFormat="1" applyFont="1" applyFill="1" applyBorder="1" applyAlignment="1" applyProtection="1">
      <alignment horizontal="left"/>
    </xf>
    <xf numFmtId="172" fontId="93" fillId="0" borderId="0" xfId="0" applyNumberFormat="1" applyFont="1" applyAlignment="1" applyProtection="1">
      <alignment horizontal="center" vertical="top"/>
    </xf>
    <xf numFmtId="172" fontId="93" fillId="0" borderId="0" xfId="0" applyNumberFormat="1" applyFont="1" applyFill="1" applyAlignment="1" applyProtection="1">
      <alignment horizontal="center" vertical="top"/>
    </xf>
    <xf numFmtId="0" fontId="93" fillId="0" borderId="0" xfId="0" applyFont="1" applyBorder="1" applyProtection="1"/>
    <xf numFmtId="172" fontId="93" fillId="0" borderId="0" xfId="0" applyNumberFormat="1" applyFont="1" applyBorder="1" applyAlignment="1" applyProtection="1">
      <alignment horizontal="center" vertical="top"/>
    </xf>
    <xf numFmtId="174" fontId="93" fillId="0" borderId="0" xfId="0" applyNumberFormat="1" applyFont="1" applyProtection="1"/>
    <xf numFmtId="0" fontId="107" fillId="0" borderId="0" xfId="0" applyFont="1"/>
    <xf numFmtId="0" fontId="94" fillId="0" borderId="0" xfId="0" applyFont="1" applyAlignment="1">
      <alignment horizontal="center"/>
    </xf>
    <xf numFmtId="5" fontId="94" fillId="0" borderId="32" xfId="0" applyNumberFormat="1" applyFont="1" applyBorder="1" applyAlignment="1">
      <alignment horizontal="center" vertical="top"/>
    </xf>
    <xf numFmtId="175" fontId="94" fillId="0" borderId="32" xfId="0" applyNumberFormat="1" applyFont="1" applyBorder="1" applyAlignment="1">
      <alignment horizontal="center" vertical="top"/>
    </xf>
    <xf numFmtId="0" fontId="94" fillId="61" borderId="0" xfId="0" applyFont="1" applyFill="1"/>
    <xf numFmtId="165" fontId="94" fillId="0" borderId="32" xfId="0" applyNumberFormat="1" applyFont="1" applyBorder="1" applyAlignment="1">
      <alignment horizontal="center" vertical="top"/>
    </xf>
    <xf numFmtId="165" fontId="94" fillId="0" borderId="0" xfId="0" applyNumberFormat="1" applyFont="1" applyAlignment="1">
      <alignment horizontal="center" vertical="top"/>
    </xf>
    <xf numFmtId="175" fontId="94" fillId="0" borderId="0" xfId="0" applyNumberFormat="1" applyFont="1" applyAlignment="1">
      <alignment horizontal="center" vertical="top"/>
    </xf>
    <xf numFmtId="6" fontId="94" fillId="0" borderId="6" xfId="0" applyNumberFormat="1" applyFont="1" applyBorder="1" applyAlignment="1">
      <alignment horizontal="center"/>
    </xf>
    <xf numFmtId="175" fontId="94" fillId="0" borderId="6" xfId="0" applyNumberFormat="1" applyFont="1" applyBorder="1" applyAlignment="1">
      <alignment horizontal="center"/>
    </xf>
    <xf numFmtId="5" fontId="94" fillId="0" borderId="6" xfId="0" applyNumberFormat="1" applyFont="1" applyBorder="1" applyAlignment="1">
      <alignment horizontal="center"/>
    </xf>
    <xf numFmtId="165" fontId="109" fillId="0" borderId="0" xfId="0" applyNumberFormat="1" applyFont="1" applyAlignment="1">
      <alignment horizontal="center"/>
    </xf>
    <xf numFmtId="165" fontId="110" fillId="0" borderId="0" xfId="0" applyNumberFormat="1" applyFont="1" applyAlignment="1">
      <alignment horizontal="center"/>
    </xf>
    <xf numFmtId="175" fontId="94" fillId="0" borderId="6" xfId="0" applyNumberFormat="1" applyFont="1" applyFill="1" applyBorder="1" applyAlignment="1">
      <alignment horizontal="center"/>
    </xf>
    <xf numFmtId="179" fontId="94" fillId="0" borderId="6" xfId="0" applyNumberFormat="1" applyFont="1" applyBorder="1" applyAlignment="1">
      <alignment horizontal="center"/>
    </xf>
    <xf numFmtId="0" fontId="108" fillId="66" borderId="0" xfId="0" applyFont="1" applyFill="1"/>
    <xf numFmtId="0" fontId="108" fillId="0" borderId="0" xfId="0" applyFont="1" applyFill="1"/>
    <xf numFmtId="0" fontId="93" fillId="0" borderId="0" xfId="0" applyFont="1"/>
    <xf numFmtId="0" fontId="94" fillId="7" borderId="0" xfId="0" applyFont="1" applyFill="1"/>
    <xf numFmtId="0" fontId="94" fillId="0" borderId="0" xfId="0" applyFont="1" applyFill="1"/>
    <xf numFmtId="0" fontId="96" fillId="0" borderId="0" xfId="0" applyFont="1"/>
    <xf numFmtId="0" fontId="93" fillId="0" borderId="0" xfId="0" applyFont="1" applyFill="1"/>
    <xf numFmtId="0" fontId="104" fillId="0" borderId="0" xfId="0" applyFont="1"/>
    <xf numFmtId="0" fontId="94" fillId="0" borderId="0" xfId="0" applyFont="1"/>
    <xf numFmtId="0" fontId="94" fillId="0" borderId="77" xfId="0" applyFont="1" applyFill="1" applyBorder="1" applyAlignment="1">
      <alignment horizontal="center"/>
    </xf>
    <xf numFmtId="0" fontId="94" fillId="0" borderId="78" xfId="0" applyFont="1" applyFill="1" applyBorder="1" applyAlignment="1">
      <alignment horizontal="center"/>
    </xf>
    <xf numFmtId="0" fontId="94" fillId="0" borderId="56" xfId="0" applyFont="1" applyFill="1" applyBorder="1" applyAlignment="1">
      <alignment horizontal="center"/>
    </xf>
    <xf numFmtId="0" fontId="94" fillId="0" borderId="68" xfId="0" applyFont="1" applyFill="1" applyBorder="1" applyAlignment="1">
      <alignment horizontal="center"/>
    </xf>
    <xf numFmtId="0" fontId="94" fillId="0" borderId="79" xfId="0" applyFont="1" applyFill="1" applyBorder="1" applyAlignment="1">
      <alignment horizontal="center"/>
    </xf>
    <xf numFmtId="0" fontId="94" fillId="0" borderId="0" xfId="0" applyFont="1" applyFill="1" applyBorder="1" applyAlignment="1">
      <alignment horizontal="center"/>
    </xf>
    <xf numFmtId="0" fontId="94" fillId="0" borderId="1" xfId="0" applyFont="1" applyFill="1" applyBorder="1" applyAlignment="1">
      <alignment horizontal="center"/>
    </xf>
    <xf numFmtId="172" fontId="93" fillId="0" borderId="0" xfId="0" applyNumberFormat="1" applyFont="1" applyFill="1" applyBorder="1" applyAlignment="1">
      <alignment horizontal="center"/>
    </xf>
    <xf numFmtId="0" fontId="93" fillId="0" borderId="0" xfId="0" applyFont="1" applyFill="1" applyBorder="1" applyAlignment="1">
      <alignment horizontal="center"/>
    </xf>
    <xf numFmtId="1" fontId="93" fillId="0" borderId="0" xfId="0" applyNumberFormat="1" applyFont="1" applyFill="1" applyBorder="1" applyAlignment="1">
      <alignment horizontal="center"/>
    </xf>
    <xf numFmtId="3" fontId="93" fillId="0" borderId="0" xfId="0" applyNumberFormat="1" applyFont="1" applyAlignment="1">
      <alignment horizontal="center" vertical="top"/>
    </xf>
    <xf numFmtId="1" fontId="94" fillId="0" borderId="0" xfId="0" applyNumberFormat="1" applyFont="1" applyFill="1" applyAlignment="1">
      <alignment horizontal="center" vertical="top"/>
    </xf>
    <xf numFmtId="172" fontId="93" fillId="0" borderId="53" xfId="0" applyNumberFormat="1" applyFont="1" applyFill="1" applyBorder="1" applyAlignment="1">
      <alignment horizontal="center"/>
    </xf>
    <xf numFmtId="1" fontId="93" fillId="0" borderId="0" xfId="0" applyNumberFormat="1" applyFont="1" applyBorder="1" applyAlignment="1">
      <alignment horizontal="center" vertical="top"/>
    </xf>
    <xf numFmtId="172" fontId="94" fillId="0" borderId="53" xfId="0" applyNumberFormat="1" applyFont="1" applyFill="1" applyBorder="1" applyAlignment="1">
      <alignment horizontal="center"/>
    </xf>
    <xf numFmtId="172" fontId="94" fillId="0" borderId="0" xfId="0" applyNumberFormat="1" applyFont="1" applyFill="1" applyBorder="1" applyAlignment="1">
      <alignment horizontal="center"/>
    </xf>
    <xf numFmtId="177" fontId="93" fillId="0" borderId="0" xfId="0" applyNumberFormat="1" applyFont="1" applyAlignment="1">
      <alignment horizontal="center" vertical="top"/>
    </xf>
    <xf numFmtId="177" fontId="93" fillId="0" borderId="0" xfId="0" applyNumberFormat="1" applyFont="1" applyFill="1" applyAlignment="1">
      <alignment horizontal="center" vertical="top"/>
    </xf>
    <xf numFmtId="172" fontId="93" fillId="0" borderId="0" xfId="0" applyNumberFormat="1" applyFont="1" applyFill="1" applyAlignment="1">
      <alignment horizontal="center" vertical="top"/>
    </xf>
    <xf numFmtId="177" fontId="93" fillId="0" borderId="53" xfId="0" applyNumberFormat="1" applyFont="1" applyFill="1" applyBorder="1" applyAlignment="1">
      <alignment horizontal="center" vertical="top"/>
    </xf>
    <xf numFmtId="0" fontId="94" fillId="0" borderId="0" xfId="0" applyFont="1" applyFill="1" applyBorder="1"/>
    <xf numFmtId="1" fontId="93" fillId="0" borderId="0" xfId="0" applyNumberFormat="1" applyFont="1" applyFill="1" applyAlignment="1">
      <alignment horizontal="center" vertical="top"/>
    </xf>
    <xf numFmtId="164" fontId="93" fillId="0" borderId="0" xfId="0" applyNumberFormat="1" applyFont="1" applyAlignment="1">
      <alignment horizontal="center" vertical="top"/>
    </xf>
    <xf numFmtId="0" fontId="94" fillId="64" borderId="0" xfId="0" applyFont="1" applyFill="1"/>
    <xf numFmtId="164" fontId="94" fillId="64" borderId="0" xfId="0" applyNumberFormat="1" applyFont="1" applyFill="1" applyAlignment="1">
      <alignment horizontal="center" vertical="top"/>
    </xf>
    <xf numFmtId="164" fontId="93" fillId="64" borderId="0" xfId="0" applyNumberFormat="1" applyFont="1" applyFill="1" applyAlignment="1">
      <alignment horizontal="center" vertical="top"/>
    </xf>
    <xf numFmtId="5" fontId="93" fillId="0" borderId="0" xfId="0" applyNumberFormat="1" applyFont="1" applyAlignment="1">
      <alignment horizontal="center" vertical="top"/>
    </xf>
    <xf numFmtId="175" fontId="93" fillId="0" borderId="0" xfId="0" applyNumberFormat="1" applyFont="1" applyAlignment="1">
      <alignment horizontal="center" vertical="top"/>
    </xf>
    <xf numFmtId="172" fontId="93" fillId="0" borderId="0" xfId="0" applyNumberFormat="1" applyFont="1" applyAlignment="1">
      <alignment horizontal="center" vertical="top"/>
    </xf>
    <xf numFmtId="165" fontId="93" fillId="0" borderId="0" xfId="0" applyNumberFormat="1" applyFont="1"/>
    <xf numFmtId="165" fontId="93" fillId="61" borderId="0" xfId="0" applyNumberFormat="1" applyFont="1" applyFill="1"/>
    <xf numFmtId="165" fontId="93" fillId="0" borderId="0" xfId="0" applyNumberFormat="1" applyFont="1" applyAlignment="1">
      <alignment horizontal="center" vertical="top"/>
    </xf>
    <xf numFmtId="172" fontId="93" fillId="0" borderId="0" xfId="0" applyNumberFormat="1" applyFont="1" applyBorder="1" applyAlignment="1">
      <alignment horizontal="center" vertical="top"/>
    </xf>
    <xf numFmtId="175" fontId="93" fillId="0" borderId="0" xfId="0" applyNumberFormat="1" applyFont="1" applyBorder="1" applyAlignment="1">
      <alignment horizontal="center" vertical="top"/>
    </xf>
    <xf numFmtId="0" fontId="94" fillId="0" borderId="5" xfId="0" applyFont="1" applyBorder="1" applyAlignment="1">
      <alignment horizontal="left"/>
    </xf>
    <xf numFmtId="5" fontId="93" fillId="0" borderId="0" xfId="0" applyNumberFormat="1" applyFont="1"/>
    <xf numFmtId="7" fontId="93" fillId="0" borderId="0" xfId="0" applyNumberFormat="1" applyFont="1"/>
    <xf numFmtId="0" fontId="110" fillId="0" borderId="0" xfId="0" applyFont="1" applyFill="1" applyBorder="1"/>
    <xf numFmtId="6" fontId="93" fillId="0" borderId="0" xfId="0" applyNumberFormat="1" applyFont="1" applyAlignment="1">
      <alignment horizontal="center"/>
    </xf>
    <xf numFmtId="0" fontId="106" fillId="64" borderId="1" xfId="0" applyFont="1" applyFill="1" applyBorder="1"/>
    <xf numFmtId="0" fontId="93" fillId="64" borderId="1" xfId="0" applyFont="1" applyFill="1" applyBorder="1"/>
    <xf numFmtId="165" fontId="93" fillId="0" borderId="0" xfId="0" applyNumberFormat="1" applyFont="1" applyFill="1"/>
    <xf numFmtId="0" fontId="106" fillId="0" borderId="0" xfId="0" applyFont="1"/>
    <xf numFmtId="0" fontId="106" fillId="63" borderId="1" xfId="0" applyFont="1" applyFill="1" applyBorder="1"/>
    <xf numFmtId="0" fontId="93" fillId="63" borderId="1" xfId="0" applyFont="1" applyFill="1" applyBorder="1"/>
    <xf numFmtId="0" fontId="110" fillId="0" borderId="0" xfId="0" quotePrefix="1" applyFont="1"/>
    <xf numFmtId="6" fontId="109" fillId="0" borderId="0" xfId="0" applyNumberFormat="1" applyFont="1" applyAlignment="1">
      <alignment horizontal="center"/>
    </xf>
    <xf numFmtId="180" fontId="110" fillId="0" borderId="0" xfId="0" applyNumberFormat="1" applyFont="1" applyAlignment="1">
      <alignment horizontal="center"/>
    </xf>
    <xf numFmtId="0" fontId="109" fillId="0" borderId="0" xfId="0" quotePrefix="1" applyFont="1"/>
    <xf numFmtId="0" fontId="94" fillId="0" borderId="1" xfId="0" applyFont="1" applyBorder="1" applyAlignment="1">
      <alignment horizontal="center"/>
    </xf>
    <xf numFmtId="0" fontId="94" fillId="0" borderId="18" xfId="0" applyFont="1" applyBorder="1" applyAlignment="1">
      <alignment horizontal="center"/>
    </xf>
    <xf numFmtId="0" fontId="93" fillId="0" borderId="1" xfId="0" applyFont="1" applyBorder="1"/>
    <xf numFmtId="0" fontId="93" fillId="0" borderId="0" xfId="0" applyFont="1" applyAlignment="1">
      <alignment horizontal="left" indent="1"/>
    </xf>
    <xf numFmtId="0" fontId="94" fillId="0" borderId="0" xfId="0" applyFont="1" applyAlignment="1">
      <alignment horizontal="right"/>
    </xf>
    <xf numFmtId="0" fontId="94" fillId="0" borderId="0" xfId="0" applyFont="1" applyFill="1" applyAlignment="1">
      <alignment horizontal="center"/>
    </xf>
    <xf numFmtId="0" fontId="94" fillId="0" borderId="53" xfId="0" applyFont="1" applyBorder="1"/>
    <xf numFmtId="0" fontId="93" fillId="0" borderId="0" xfId="0" applyFont="1" applyBorder="1" applyAlignment="1">
      <alignment horizontal="left" indent="1"/>
    </xf>
    <xf numFmtId="0" fontId="104" fillId="0" borderId="0" xfId="7" applyFont="1" applyFill="1" applyBorder="1" applyAlignment="1" applyProtection="1">
      <alignment horizontal="right" wrapText="1" indent="1"/>
    </xf>
    <xf numFmtId="0" fontId="93" fillId="0" borderId="0" xfId="0" applyFont="1" applyFill="1" applyBorder="1"/>
    <xf numFmtId="0" fontId="104" fillId="0" borderId="0" xfId="7" applyFont="1" applyBorder="1" applyAlignment="1" applyProtection="1">
      <alignment horizontal="right" wrapText="1" indent="1"/>
    </xf>
    <xf numFmtId="0" fontId="112" fillId="0" borderId="0" xfId="7" applyFont="1" applyBorder="1" applyAlignment="1" applyProtection="1">
      <alignment wrapText="1"/>
    </xf>
    <xf numFmtId="0" fontId="93" fillId="3" borderId="0" xfId="0" applyFont="1" applyFill="1" applyBorder="1"/>
    <xf numFmtId="164" fontId="93" fillId="3" borderId="0" xfId="0" applyNumberFormat="1" applyFont="1" applyFill="1" applyBorder="1" applyAlignment="1">
      <alignment horizontal="center" vertical="top"/>
    </xf>
    <xf numFmtId="0" fontId="93" fillId="3" borderId="1" xfId="0" applyFont="1" applyFill="1" applyBorder="1"/>
    <xf numFmtId="164" fontId="93" fillId="3" borderId="1" xfId="0" applyNumberFormat="1" applyFont="1" applyFill="1" applyBorder="1" applyAlignment="1">
      <alignment horizontal="center" vertical="top"/>
    </xf>
    <xf numFmtId="0" fontId="93" fillId="0" borderId="1" xfId="0" applyFont="1" applyFill="1" applyBorder="1"/>
    <xf numFmtId="0" fontId="93" fillId="3" borderId="68" xfId="0" applyFont="1" applyFill="1" applyBorder="1"/>
    <xf numFmtId="164" fontId="93" fillId="3" borderId="68" xfId="0" applyNumberFormat="1" applyFont="1" applyFill="1" applyBorder="1" applyAlignment="1">
      <alignment horizontal="center" vertical="top"/>
    </xf>
    <xf numFmtId="0" fontId="93" fillId="3" borderId="53" xfId="0" applyFont="1" applyFill="1" applyBorder="1"/>
    <xf numFmtId="0" fontId="93" fillId="3" borderId="67" xfId="0" applyFont="1" applyFill="1" applyBorder="1"/>
    <xf numFmtId="164" fontId="93" fillId="3" borderId="67" xfId="0" applyNumberFormat="1" applyFont="1" applyFill="1" applyBorder="1" applyAlignment="1">
      <alignment horizontal="center" vertical="top"/>
    </xf>
    <xf numFmtId="0" fontId="93" fillId="0" borderId="67" xfId="0" applyFont="1" applyFill="1" applyBorder="1"/>
    <xf numFmtId="0" fontId="94" fillId="3" borderId="53" xfId="0" applyFont="1" applyFill="1" applyBorder="1"/>
    <xf numFmtId="0" fontId="94" fillId="3" borderId="53" xfId="0" applyFont="1" applyFill="1" applyBorder="1" applyAlignment="1">
      <alignment horizontal="center"/>
    </xf>
    <xf numFmtId="172" fontId="94" fillId="3" borderId="53" xfId="0" applyNumberFormat="1" applyFont="1" applyFill="1" applyBorder="1" applyAlignment="1">
      <alignment horizontal="center"/>
    </xf>
    <xf numFmtId="0" fontId="94" fillId="3" borderId="0" xfId="0" applyFont="1" applyFill="1" applyBorder="1"/>
    <xf numFmtId="0" fontId="94" fillId="3" borderId="0" xfId="0" applyFont="1" applyFill="1" applyBorder="1" applyAlignment="1">
      <alignment horizontal="right"/>
    </xf>
    <xf numFmtId="0" fontId="94" fillId="3" borderId="0" xfId="0" applyFont="1" applyFill="1" applyBorder="1" applyAlignment="1">
      <alignment horizontal="center"/>
    </xf>
    <xf numFmtId="0" fontId="94" fillId="0" borderId="1" xfId="0" applyFont="1" applyFill="1" applyBorder="1" applyAlignment="1">
      <alignment horizontal="right"/>
    </xf>
    <xf numFmtId="9" fontId="93" fillId="3" borderId="0" xfId="9" applyFont="1" applyFill="1" applyBorder="1" applyAlignment="1">
      <alignment horizontal="center" vertical="top"/>
    </xf>
    <xf numFmtId="0" fontId="94" fillId="0" borderId="1" xfId="0" applyFont="1" applyFill="1" applyBorder="1" applyAlignment="1">
      <alignment horizontal="right" wrapText="1"/>
    </xf>
    <xf numFmtId="172" fontId="93" fillId="0" borderId="0" xfId="0" applyNumberFormat="1" applyFont="1"/>
    <xf numFmtId="0" fontId="104" fillId="0" borderId="0" xfId="7" applyFont="1" applyFill="1" applyBorder="1" applyAlignment="1" applyProtection="1">
      <alignment horizontal="right" wrapText="1"/>
    </xf>
    <xf numFmtId="0" fontId="106" fillId="0" borderId="0" xfId="0" applyFont="1" applyProtection="1"/>
    <xf numFmtId="0" fontId="104" fillId="0" borderId="0" xfId="7" applyFont="1" applyBorder="1" applyAlignment="1" applyProtection="1">
      <alignment horizontal="right" wrapText="1"/>
    </xf>
    <xf numFmtId="0" fontId="109" fillId="0" borderId="0" xfId="0" applyFont="1" applyProtection="1"/>
    <xf numFmtId="44" fontId="94" fillId="0" borderId="0" xfId="6" applyFont="1" applyAlignment="1" applyProtection="1">
      <alignment horizontal="center"/>
    </xf>
    <xf numFmtId="44" fontId="96" fillId="0" borderId="0" xfId="6" applyFont="1" applyProtection="1"/>
    <xf numFmtId="0" fontId="96" fillId="0" borderId="27" xfId="8" applyFont="1" applyBorder="1" applyAlignment="1" applyProtection="1">
      <alignment horizontal="center" wrapText="1"/>
    </xf>
    <xf numFmtId="44" fontId="97" fillId="0" borderId="27" xfId="6" applyFont="1" applyBorder="1" applyAlignment="1" applyProtection="1">
      <alignment horizontal="center"/>
    </xf>
    <xf numFmtId="44" fontId="97" fillId="67" borderId="27" xfId="6" applyFont="1" applyFill="1" applyBorder="1" applyAlignment="1" applyProtection="1">
      <alignment horizontal="center"/>
    </xf>
    <xf numFmtId="0" fontId="96" fillId="0" borderId="28" xfId="8" applyFont="1" applyBorder="1" applyAlignment="1" applyProtection="1">
      <alignment horizontal="center" wrapText="1"/>
    </xf>
    <xf numFmtId="44" fontId="96" fillId="0" borderId="28" xfId="6" applyFont="1" applyBorder="1" applyAlignment="1" applyProtection="1">
      <alignment horizontal="center"/>
    </xf>
    <xf numFmtId="44" fontId="96" fillId="67" borderId="28" xfId="6" applyFont="1" applyFill="1" applyBorder="1" applyAlignment="1" applyProtection="1">
      <alignment horizontal="center"/>
    </xf>
    <xf numFmtId="0" fontId="96" fillId="64" borderId="0" xfId="8" applyFont="1" applyFill="1" applyProtection="1"/>
    <xf numFmtId="0" fontId="96" fillId="64" borderId="20" xfId="8" applyFont="1" applyFill="1" applyBorder="1" applyAlignment="1" applyProtection="1">
      <alignment horizontal="center" wrapText="1"/>
    </xf>
    <xf numFmtId="44" fontId="96" fillId="64" borderId="31" xfId="6" applyFont="1" applyFill="1" applyBorder="1" applyAlignment="1" applyProtection="1">
      <alignment horizontal="center"/>
    </xf>
    <xf numFmtId="44" fontId="96" fillId="64" borderId="20" xfId="6" applyFont="1" applyFill="1" applyBorder="1" applyAlignment="1" applyProtection="1">
      <alignment horizontal="center"/>
    </xf>
    <xf numFmtId="44" fontId="97" fillId="0" borderId="21" xfId="6" applyFont="1" applyBorder="1" applyAlignment="1" applyProtection="1"/>
    <xf numFmtId="44" fontId="97" fillId="0" borderId="24" xfId="6" applyFont="1" applyBorder="1" applyAlignment="1" applyProtection="1">
      <alignment horizontal="right"/>
    </xf>
    <xf numFmtId="44" fontId="97" fillId="0" borderId="24" xfId="6" applyFont="1" applyBorder="1" applyAlignment="1" applyProtection="1"/>
    <xf numFmtId="0" fontId="96" fillId="61" borderId="0" xfId="8" applyFont="1" applyFill="1" applyProtection="1"/>
    <xf numFmtId="0" fontId="97" fillId="61" borderId="21" xfId="8" applyFont="1" applyFill="1" applyBorder="1" applyProtection="1"/>
    <xf numFmtId="44" fontId="97" fillId="61" borderId="21" xfId="6" applyFont="1" applyFill="1" applyBorder="1" applyProtection="1"/>
    <xf numFmtId="44" fontId="97" fillId="61" borderId="24" xfId="6" applyFont="1" applyFill="1" applyBorder="1" applyProtection="1"/>
    <xf numFmtId="0" fontId="94" fillId="0" borderId="0" xfId="8" applyFont="1" applyAlignment="1" applyProtection="1">
      <alignment horizontal="center"/>
    </xf>
    <xf numFmtId="44" fontId="97" fillId="0" borderId="1" xfId="8" applyNumberFormat="1" applyFont="1" applyBorder="1" applyProtection="1"/>
    <xf numFmtId="44" fontId="97" fillId="0" borderId="1" xfId="6" applyFont="1" applyBorder="1" applyProtection="1"/>
    <xf numFmtId="38" fontId="97" fillId="0" borderId="21" xfId="6" applyNumberFormat="1" applyFont="1" applyBorder="1" applyProtection="1"/>
    <xf numFmtId="38" fontId="97" fillId="0" borderId="24" xfId="6" applyNumberFormat="1" applyFont="1" applyBorder="1" applyProtection="1"/>
    <xf numFmtId="38" fontId="97" fillId="7" borderId="21" xfId="6" applyNumberFormat="1" applyFont="1" applyFill="1" applyBorder="1" applyProtection="1"/>
    <xf numFmtId="38" fontId="97" fillId="0" borderId="22" xfId="8" applyNumberFormat="1" applyFont="1" applyBorder="1" applyProtection="1"/>
    <xf numFmtId="38" fontId="97" fillId="0" borderId="19" xfId="6" applyNumberFormat="1" applyFont="1" applyBorder="1" applyProtection="1"/>
    <xf numFmtId="38" fontId="97" fillId="0" borderId="22" xfId="6" applyNumberFormat="1" applyFont="1" applyBorder="1" applyProtection="1"/>
    <xf numFmtId="38" fontId="96" fillId="0" borderId="26" xfId="6" applyNumberFormat="1" applyFont="1" applyBorder="1" applyProtection="1"/>
    <xf numFmtId="44" fontId="96" fillId="0" borderId="0" xfId="6" applyFont="1" applyBorder="1" applyProtection="1"/>
    <xf numFmtId="0" fontId="96" fillId="62" borderId="0" xfId="8" applyFont="1" applyFill="1" applyProtection="1"/>
    <xf numFmtId="44" fontId="96" fillId="62" borderId="0" xfId="6" applyFont="1" applyFill="1" applyBorder="1" applyProtection="1"/>
    <xf numFmtId="173" fontId="96" fillId="62" borderId="0" xfId="6" applyNumberFormat="1" applyFont="1" applyFill="1" applyBorder="1" applyProtection="1"/>
    <xf numFmtId="0" fontId="96" fillId="64" borderId="0" xfId="8" applyFont="1" applyFill="1" applyBorder="1" applyProtection="1"/>
    <xf numFmtId="0" fontId="96" fillId="64" borderId="0" xfId="8" applyFont="1" applyFill="1" applyBorder="1" applyAlignment="1" applyProtection="1">
      <alignment horizontal="center" wrapText="1"/>
    </xf>
    <xf numFmtId="44" fontId="96" fillId="64" borderId="0" xfId="6" applyFont="1" applyFill="1" applyBorder="1" applyAlignment="1" applyProtection="1">
      <alignment horizontal="center"/>
    </xf>
    <xf numFmtId="175" fontId="97" fillId="0" borderId="24" xfId="6" applyNumberFormat="1" applyFont="1" applyFill="1" applyBorder="1" applyProtection="1">
      <protection locked="0"/>
    </xf>
    <xf numFmtId="175" fontId="97" fillId="0" borderId="21" xfId="6" applyNumberFormat="1" applyFont="1" applyFill="1" applyBorder="1" applyProtection="1">
      <protection locked="0"/>
    </xf>
    <xf numFmtId="175" fontId="97" fillId="0" borderId="21" xfId="6" applyNumberFormat="1" applyFont="1" applyFill="1" applyBorder="1" applyAlignment="1" applyProtection="1">
      <protection locked="0"/>
    </xf>
    <xf numFmtId="175" fontId="97" fillId="0" borderId="24" xfId="6" applyNumberFormat="1" applyFont="1" applyFill="1" applyBorder="1" applyAlignment="1" applyProtection="1">
      <protection locked="0"/>
    </xf>
    <xf numFmtId="0" fontId="97" fillId="0" borderId="0" xfId="8" applyFont="1" applyFill="1" applyProtection="1">
      <protection locked="0"/>
    </xf>
    <xf numFmtId="0" fontId="96" fillId="0" borderId="0" xfId="8" applyFont="1" applyFill="1" applyProtection="1"/>
    <xf numFmtId="175" fontId="97" fillId="0" borderId="23" xfId="6" applyNumberFormat="1" applyFont="1" applyFill="1" applyBorder="1" applyAlignment="1" applyProtection="1">
      <alignment horizontal="right"/>
    </xf>
    <xf numFmtId="38" fontId="97" fillId="0" borderId="29" xfId="6" applyNumberFormat="1" applyFont="1" applyFill="1" applyBorder="1" applyProtection="1"/>
    <xf numFmtId="44" fontId="97" fillId="0" borderId="24" xfId="6" applyFont="1" applyFill="1" applyBorder="1" applyAlignment="1" applyProtection="1">
      <alignment horizontal="right"/>
    </xf>
    <xf numFmtId="44" fontId="97" fillId="0" borderId="21" xfId="6" applyFont="1" applyFill="1" applyBorder="1" applyAlignment="1" applyProtection="1"/>
    <xf numFmtId="44" fontId="97" fillId="0" borderId="24" xfId="6" applyFont="1" applyFill="1" applyBorder="1" applyAlignment="1" applyProtection="1"/>
    <xf numFmtId="44" fontId="97" fillId="64" borderId="24" xfId="6" applyFont="1" applyFill="1" applyBorder="1" applyProtection="1"/>
    <xf numFmtId="44" fontId="97" fillId="64" borderId="21" xfId="6" applyFont="1" applyFill="1" applyBorder="1" applyProtection="1"/>
    <xf numFmtId="9" fontId="97" fillId="0" borderId="0" xfId="10" applyFont="1" applyProtection="1"/>
    <xf numFmtId="180" fontId="93" fillId="0" borderId="0" xfId="0" applyNumberFormat="1" applyFont="1" applyProtection="1"/>
    <xf numFmtId="0" fontId="93" fillId="0" borderId="0" xfId="0" quotePrefix="1" applyFont="1" applyProtection="1"/>
    <xf numFmtId="0" fontId="94" fillId="0" borderId="53" xfId="0" applyFont="1" applyFill="1" applyBorder="1"/>
    <xf numFmtId="182" fontId="94" fillId="0" borderId="53" xfId="0" applyNumberFormat="1" applyFont="1" applyBorder="1" applyAlignment="1">
      <alignment horizontal="center" vertical="top"/>
    </xf>
    <xf numFmtId="0" fontId="94" fillId="0" borderId="70" xfId="0" applyFont="1" applyBorder="1" applyAlignment="1">
      <alignment horizontal="center"/>
    </xf>
    <xf numFmtId="0" fontId="94" fillId="3" borderId="4" xfId="0" applyFont="1" applyFill="1" applyBorder="1"/>
    <xf numFmtId="10" fontId="93" fillId="3" borderId="7" xfId="9" applyNumberFormat="1" applyFont="1" applyFill="1" applyBorder="1" applyAlignment="1">
      <alignment horizontal="left" vertical="top"/>
    </xf>
    <xf numFmtId="10" fontId="93" fillId="0" borderId="7" xfId="9" applyNumberFormat="1" applyFont="1" applyFill="1" applyBorder="1" applyAlignment="1">
      <alignment horizontal="left" vertical="top"/>
    </xf>
    <xf numFmtId="0" fontId="110" fillId="3" borderId="8" xfId="0" applyFont="1" applyFill="1" applyBorder="1"/>
    <xf numFmtId="10" fontId="93" fillId="3" borderId="0" xfId="9" applyNumberFormat="1" applyFont="1" applyFill="1" applyBorder="1" applyAlignment="1">
      <alignment horizontal="left" vertical="top"/>
    </xf>
    <xf numFmtId="10" fontId="93" fillId="0" borderId="0" xfId="9" applyNumberFormat="1" applyFont="1" applyFill="1" applyBorder="1" applyAlignment="1">
      <alignment horizontal="left" vertical="top"/>
    </xf>
    <xf numFmtId="0" fontId="94" fillId="3" borderId="8" xfId="0" applyFont="1" applyFill="1" applyBorder="1"/>
    <xf numFmtId="172" fontId="94" fillId="0" borderId="53" xfId="0" applyNumberFormat="1" applyFont="1" applyFill="1" applyBorder="1" applyAlignment="1">
      <alignment horizontal="center" vertical="top"/>
    </xf>
    <xf numFmtId="0" fontId="94" fillId="0" borderId="0" xfId="0" applyFont="1" applyFill="1" applyAlignment="1">
      <alignment horizontal="left"/>
    </xf>
    <xf numFmtId="0" fontId="94" fillId="0" borderId="5" xfId="0" applyFont="1" applyFill="1" applyBorder="1"/>
    <xf numFmtId="172" fontId="94" fillId="0" borderId="6" xfId="0" applyNumberFormat="1" applyFont="1" applyFill="1" applyBorder="1" applyAlignment="1">
      <alignment horizontal="center"/>
    </xf>
    <xf numFmtId="0" fontId="94" fillId="0" borderId="0" xfId="0" applyFont="1" applyFill="1" applyProtection="1">
      <protection hidden="1"/>
    </xf>
    <xf numFmtId="0" fontId="94" fillId="0" borderId="0" xfId="0" applyFont="1" applyFill="1" applyBorder="1" applyProtection="1">
      <protection hidden="1"/>
    </xf>
    <xf numFmtId="0" fontId="94" fillId="0" borderId="0" xfId="0" applyFont="1" applyBorder="1"/>
    <xf numFmtId="164" fontId="94" fillId="0" borderId="0" xfId="0" applyNumberFormat="1" applyFont="1" applyFill="1" applyBorder="1" applyAlignment="1">
      <alignment horizontal="center"/>
    </xf>
    <xf numFmtId="0" fontId="109" fillId="0" borderId="0" xfId="0" applyFont="1"/>
    <xf numFmtId="0" fontId="94" fillId="0" borderId="5" xfId="0" applyFont="1" applyBorder="1"/>
    <xf numFmtId="0" fontId="94" fillId="0" borderId="6" xfId="0" applyFont="1" applyBorder="1"/>
    <xf numFmtId="0" fontId="109" fillId="0" borderId="0" xfId="0" applyFont="1" applyBorder="1"/>
    <xf numFmtId="0" fontId="109" fillId="0" borderId="0" xfId="0" applyFont="1" applyFill="1" applyBorder="1"/>
    <xf numFmtId="0" fontId="93" fillId="0" borderId="0" xfId="0" applyFont="1" applyBorder="1"/>
    <xf numFmtId="10" fontId="93" fillId="3" borderId="0" xfId="9" applyNumberFormat="1" applyFont="1" applyFill="1" applyBorder="1" applyAlignment="1">
      <alignment horizontal="center" vertical="top"/>
    </xf>
    <xf numFmtId="0" fontId="94" fillId="3" borderId="9" xfId="0" applyFont="1" applyFill="1" applyBorder="1"/>
    <xf numFmtId="165" fontId="93" fillId="5" borderId="3" xfId="11" applyNumberFormat="1" applyFont="1" applyFill="1" applyAlignment="1">
      <alignment horizontal="center" vertical="top"/>
    </xf>
    <xf numFmtId="0" fontId="93" fillId="3" borderId="0" xfId="0" applyFont="1" applyFill="1" applyBorder="1" applyAlignment="1">
      <alignment horizontal="center" vertical="top"/>
    </xf>
    <xf numFmtId="0" fontId="93" fillId="0" borderId="0" xfId="0" applyFont="1" applyFill="1" applyBorder="1" applyAlignment="1">
      <alignment horizontal="left"/>
    </xf>
    <xf numFmtId="0" fontId="93" fillId="3" borderId="0" xfId="0" applyFont="1" applyFill="1" applyBorder="1" applyAlignment="1">
      <alignment horizontal="center"/>
    </xf>
    <xf numFmtId="164" fontId="93" fillId="0" borderId="0" xfId="0" applyNumberFormat="1" applyFont="1" applyBorder="1" applyAlignment="1">
      <alignment horizontal="center" vertical="top"/>
    </xf>
    <xf numFmtId="182" fontId="93" fillId="0" borderId="0" xfId="0" applyNumberFormat="1" applyFont="1" applyAlignment="1">
      <alignment horizontal="right" vertical="top"/>
    </xf>
    <xf numFmtId="172" fontId="93" fillId="0" borderId="0" xfId="0" applyNumberFormat="1" applyFont="1" applyAlignment="1">
      <alignment horizontal="right" vertical="top"/>
    </xf>
    <xf numFmtId="172" fontId="93" fillId="0" borderId="0" xfId="0" applyNumberFormat="1" applyFont="1" applyBorder="1" applyAlignment="1">
      <alignment horizontal="right" vertical="top"/>
    </xf>
    <xf numFmtId="182" fontId="93" fillId="0" borderId="0" xfId="0" applyNumberFormat="1" applyFont="1" applyBorder="1" applyAlignment="1">
      <alignment horizontal="right" vertical="top"/>
    </xf>
    <xf numFmtId="182" fontId="93" fillId="0" borderId="0" xfId="0" applyNumberFormat="1" applyFont="1" applyBorder="1" applyAlignment="1" applyProtection="1">
      <alignment horizontal="right" vertical="top"/>
    </xf>
    <xf numFmtId="182" fontId="94" fillId="0" borderId="0" xfId="0" applyNumberFormat="1" applyFont="1" applyAlignment="1">
      <alignment horizontal="center" vertical="top"/>
    </xf>
    <xf numFmtId="0" fontId="94" fillId="61" borderId="0" xfId="0" applyFont="1" applyFill="1" applyAlignment="1">
      <alignment horizontal="center"/>
    </xf>
    <xf numFmtId="0" fontId="93" fillId="3" borderId="7" xfId="0" applyFont="1" applyFill="1" applyBorder="1"/>
    <xf numFmtId="9" fontId="94" fillId="3" borderId="7" xfId="9" applyNumberFormat="1" applyFont="1" applyFill="1" applyBorder="1" applyAlignment="1">
      <alignment horizontal="center" vertical="top"/>
    </xf>
    <xf numFmtId="9" fontId="94" fillId="3" borderId="0" xfId="9" applyNumberFormat="1" applyFont="1" applyFill="1" applyBorder="1" applyAlignment="1">
      <alignment horizontal="center" vertical="top"/>
    </xf>
    <xf numFmtId="0" fontId="93" fillId="3" borderId="8" xfId="0" applyFont="1" applyFill="1" applyBorder="1"/>
    <xf numFmtId="165" fontId="94" fillId="3" borderId="0" xfId="9" applyNumberFormat="1" applyFont="1" applyFill="1" applyBorder="1" applyAlignment="1">
      <alignment horizontal="center" vertical="top"/>
    </xf>
    <xf numFmtId="172" fontId="93" fillId="3" borderId="0" xfId="0" applyNumberFormat="1" applyFont="1" applyFill="1" applyBorder="1" applyAlignment="1">
      <alignment horizontal="center" vertical="top"/>
    </xf>
    <xf numFmtId="172" fontId="93" fillId="0" borderId="0" xfId="0" applyNumberFormat="1" applyFont="1" applyFill="1" applyBorder="1" applyAlignment="1">
      <alignment horizontal="center" vertical="top"/>
    </xf>
    <xf numFmtId="0" fontId="93" fillId="3" borderId="9" xfId="0" applyFont="1" applyFill="1" applyBorder="1"/>
    <xf numFmtId="0" fontId="93" fillId="3" borderId="10" xfId="0" applyFont="1" applyFill="1" applyBorder="1"/>
    <xf numFmtId="0" fontId="93" fillId="0" borderId="10" xfId="0" applyFont="1" applyFill="1" applyBorder="1"/>
    <xf numFmtId="164" fontId="93" fillId="0" borderId="0" xfId="0" applyNumberFormat="1" applyFont="1" applyFill="1" applyBorder="1" applyAlignment="1">
      <alignment horizontal="center"/>
    </xf>
    <xf numFmtId="0" fontId="93" fillId="0" borderId="0" xfId="0" applyFont="1" applyFill="1" applyAlignment="1">
      <alignment horizontal="center" wrapText="1"/>
    </xf>
    <xf numFmtId="165" fontId="93" fillId="0" borderId="0" xfId="0" applyNumberFormat="1" applyFont="1" applyFill="1" applyBorder="1" applyAlignment="1">
      <alignment horizontal="center" vertical="top"/>
    </xf>
    <xf numFmtId="182" fontId="93" fillId="0" borderId="0" xfId="0" applyNumberFormat="1" applyFont="1" applyFill="1" applyBorder="1" applyAlignment="1">
      <alignment horizontal="center"/>
    </xf>
    <xf numFmtId="0" fontId="93" fillId="0" borderId="53" xfId="0" applyFont="1" applyFill="1" applyBorder="1"/>
    <xf numFmtId="182" fontId="93" fillId="0" borderId="53" xfId="0" applyNumberFormat="1" applyFont="1" applyFill="1" applyBorder="1" applyAlignment="1">
      <alignment horizontal="center"/>
    </xf>
    <xf numFmtId="182" fontId="93" fillId="0" borderId="0" xfId="0" applyNumberFormat="1" applyFont="1" applyFill="1" applyBorder="1"/>
    <xf numFmtId="182" fontId="93" fillId="0" borderId="53" xfId="0" applyNumberFormat="1" applyFont="1" applyFill="1" applyBorder="1"/>
    <xf numFmtId="164" fontId="93" fillId="4" borderId="3" xfId="11" applyNumberFormat="1" applyFont="1" applyAlignment="1" applyProtection="1">
      <alignment horizontal="center"/>
      <protection locked="0"/>
    </xf>
    <xf numFmtId="1" fontId="94" fillId="3" borderId="0" xfId="11" applyNumberFormat="1" applyFont="1" applyFill="1" applyBorder="1" applyAlignment="1">
      <alignment horizontal="center"/>
    </xf>
    <xf numFmtId="164" fontId="94" fillId="3" borderId="0" xfId="11" applyNumberFormat="1" applyFont="1" applyFill="1" applyBorder="1" applyAlignment="1">
      <alignment horizontal="center"/>
    </xf>
    <xf numFmtId="1" fontId="94" fillId="0" borderId="0" xfId="0" applyNumberFormat="1" applyFont="1" applyFill="1" applyBorder="1" applyAlignment="1">
      <alignment horizontal="center"/>
    </xf>
    <xf numFmtId="1" fontId="94" fillId="0" borderId="53" xfId="0" applyNumberFormat="1" applyFont="1" applyFill="1" applyBorder="1" applyAlignment="1">
      <alignment horizontal="center"/>
    </xf>
    <xf numFmtId="0" fontId="108" fillId="63" borderId="0" xfId="0" applyFont="1" applyFill="1"/>
    <xf numFmtId="1" fontId="94" fillId="0" borderId="0" xfId="0" applyNumberFormat="1" applyFont="1" applyFill="1" applyBorder="1" applyAlignment="1">
      <alignment horizontal="left"/>
    </xf>
    <xf numFmtId="174" fontId="93" fillId="0" borderId="0" xfId="0" applyNumberFormat="1" applyFont="1" applyFill="1" applyBorder="1" applyAlignment="1">
      <alignment horizontal="center"/>
    </xf>
    <xf numFmtId="172" fontId="93" fillId="0" borderId="1" xfId="0" applyNumberFormat="1" applyFont="1" applyFill="1" applyBorder="1" applyAlignment="1">
      <alignment horizontal="center"/>
    </xf>
    <xf numFmtId="172" fontId="93" fillId="0" borderId="0" xfId="0" applyNumberFormat="1" applyFont="1" applyFill="1" applyBorder="1"/>
    <xf numFmtId="0" fontId="93" fillId="0" borderId="0" xfId="0" applyFont="1" applyFill="1" applyBorder="1" applyProtection="1">
      <protection hidden="1"/>
    </xf>
    <xf numFmtId="1" fontId="94" fillId="0" borderId="0" xfId="0" applyNumberFormat="1" applyFont="1" applyFill="1" applyBorder="1" applyAlignment="1" applyProtection="1">
      <alignment horizontal="center"/>
      <protection hidden="1"/>
    </xf>
    <xf numFmtId="172" fontId="93" fillId="0" borderId="0" xfId="0" applyNumberFormat="1" applyFont="1" applyFill="1" applyBorder="1" applyAlignment="1" applyProtection="1">
      <alignment horizontal="center"/>
      <protection hidden="1"/>
    </xf>
    <xf numFmtId="0" fontId="93" fillId="0" borderId="0" xfId="0" applyFont="1" applyProtection="1">
      <protection hidden="1"/>
    </xf>
    <xf numFmtId="0" fontId="93" fillId="0" borderId="0" xfId="0" applyFont="1" applyFill="1" applyProtection="1">
      <protection hidden="1"/>
    </xf>
    <xf numFmtId="172" fontId="93" fillId="0" borderId="0" xfId="0" applyNumberFormat="1" applyFont="1" applyBorder="1"/>
    <xf numFmtId="172" fontId="94" fillId="4" borderId="3" xfId="11" applyNumberFormat="1" applyFont="1" applyAlignment="1" applyProtection="1">
      <alignment horizontal="center"/>
      <protection locked="0"/>
    </xf>
    <xf numFmtId="165" fontId="94" fillId="4" borderId="3" xfId="11" applyNumberFormat="1" applyFont="1" applyAlignment="1" applyProtection="1">
      <alignment horizontal="center"/>
      <protection locked="0"/>
    </xf>
    <xf numFmtId="0" fontId="93" fillId="0" borderId="6" xfId="0" applyFont="1" applyBorder="1"/>
    <xf numFmtId="0" fontId="93" fillId="0" borderId="0" xfId="0" applyFont="1" applyFill="1" applyAlignment="1">
      <alignment horizontal="left"/>
    </xf>
    <xf numFmtId="165" fontId="93" fillId="0" borderId="0" xfId="0" applyNumberFormat="1" applyFont="1" applyBorder="1"/>
    <xf numFmtId="165" fontId="94" fillId="0" borderId="0" xfId="11" applyNumberFormat="1" applyFont="1" applyFill="1" applyBorder="1" applyAlignment="1">
      <alignment horizontal="center"/>
    </xf>
    <xf numFmtId="0" fontId="93" fillId="0" borderId="0" xfId="0" applyFont="1" applyFill="1" applyAlignment="1">
      <alignment wrapText="1"/>
    </xf>
    <xf numFmtId="164" fontId="93" fillId="4" borderId="3" xfId="11" applyNumberFormat="1" applyFont="1" applyAlignment="1" applyProtection="1">
      <alignment horizontal="center" wrapText="1"/>
      <protection locked="0"/>
    </xf>
    <xf numFmtId="0" fontId="93" fillId="0" borderId="0" xfId="0" applyFont="1" applyAlignment="1">
      <alignment wrapText="1"/>
    </xf>
    <xf numFmtId="0" fontId="93" fillId="3" borderId="4" xfId="0" applyFont="1" applyFill="1" applyBorder="1"/>
    <xf numFmtId="0" fontId="93" fillId="0" borderId="0" xfId="0" applyFont="1" applyAlignment="1">
      <alignment horizontal="center"/>
    </xf>
    <xf numFmtId="9" fontId="93" fillId="3" borderId="7" xfId="9" applyFont="1" applyFill="1" applyBorder="1" applyAlignment="1">
      <alignment horizontal="center"/>
    </xf>
    <xf numFmtId="165" fontId="94" fillId="3" borderId="0" xfId="0" applyNumberFormat="1" applyFont="1" applyFill="1" applyBorder="1" applyAlignment="1">
      <alignment horizontal="center" vertical="top"/>
    </xf>
    <xf numFmtId="0" fontId="93" fillId="3" borderId="10" xfId="0" applyFont="1" applyFill="1" applyBorder="1" applyAlignment="1">
      <alignment horizontal="center"/>
    </xf>
    <xf numFmtId="191" fontId="94" fillId="0" borderId="1" xfId="0" applyNumberFormat="1" applyFont="1" applyBorder="1" applyAlignment="1" applyProtection="1">
      <alignment horizontal="center"/>
    </xf>
    <xf numFmtId="0" fontId="94" fillId="0" borderId="56" xfId="0" applyFont="1" applyBorder="1" applyAlignment="1" applyProtection="1">
      <alignment horizontal="center"/>
    </xf>
    <xf numFmtId="174" fontId="93" fillId="0" borderId="0" xfId="0" applyNumberFormat="1" applyFont="1" applyFill="1" applyProtection="1"/>
    <xf numFmtId="172" fontId="93" fillId="0" borderId="0" xfId="0" applyNumberFormat="1" applyFont="1" applyFill="1" applyProtection="1"/>
    <xf numFmtId="191" fontId="94" fillId="0" borderId="19" xfId="0" applyNumberFormat="1" applyFont="1" applyBorder="1" applyAlignment="1" applyProtection="1">
      <alignment horizontal="center"/>
    </xf>
    <xf numFmtId="191" fontId="94" fillId="0" borderId="18" xfId="0" applyNumberFormat="1" applyFont="1" applyBorder="1" applyAlignment="1" applyProtection="1">
      <alignment horizontal="center"/>
    </xf>
    <xf numFmtId="0" fontId="94" fillId="0" borderId="19" xfId="0" quotePrefix="1" applyFont="1" applyBorder="1" applyAlignment="1" applyProtection="1">
      <alignment horizontal="center"/>
    </xf>
    <xf numFmtId="174" fontId="93" fillId="0" borderId="53" xfId="0" applyNumberFormat="1" applyFont="1" applyFill="1" applyBorder="1" applyProtection="1"/>
    <xf numFmtId="0" fontId="93" fillId="0" borderId="53" xfId="0" applyFont="1" applyFill="1" applyBorder="1" applyProtection="1"/>
    <xf numFmtId="0" fontId="113" fillId="66" borderId="0" xfId="0" applyFont="1" applyFill="1" applyProtection="1"/>
    <xf numFmtId="0" fontId="63" fillId="66" borderId="0" xfId="0" applyFont="1" applyFill="1" applyProtection="1"/>
    <xf numFmtId="0" fontId="63" fillId="7" borderId="0" xfId="0" applyFont="1" applyFill="1" applyProtection="1"/>
    <xf numFmtId="0" fontId="114" fillId="7" borderId="0" xfId="0" applyFont="1" applyFill="1" applyProtection="1"/>
    <xf numFmtId="0" fontId="93" fillId="0" borderId="1" xfId="0" applyFont="1" applyFill="1" applyBorder="1" applyProtection="1"/>
    <xf numFmtId="0" fontId="94" fillId="0" borderId="0" xfId="0" applyFont="1" applyBorder="1" applyProtection="1"/>
    <xf numFmtId="172" fontId="94" fillId="0" borderId="0" xfId="0" applyNumberFormat="1" applyFont="1" applyBorder="1" applyAlignment="1" applyProtection="1">
      <alignment horizontal="center"/>
    </xf>
    <xf numFmtId="0" fontId="94" fillId="0" borderId="0" xfId="0" applyFont="1" applyFill="1" applyAlignment="1">
      <alignment horizontal="right"/>
    </xf>
    <xf numFmtId="0" fontId="97" fillId="0" borderId="0" xfId="0" applyFont="1" applyFill="1" applyProtection="1"/>
    <xf numFmtId="0" fontId="94" fillId="0" borderId="0" xfId="8" applyFont="1" applyAlignment="1" applyProtection="1">
      <alignment horizontal="left"/>
    </xf>
    <xf numFmtId="0" fontId="96" fillId="0" borderId="27" xfId="8" applyFont="1" applyFill="1" applyBorder="1" applyAlignment="1" applyProtection="1">
      <alignment horizontal="center" wrapText="1"/>
    </xf>
    <xf numFmtId="44" fontId="97" fillId="0" borderId="27" xfId="6" applyFont="1" applyFill="1" applyBorder="1" applyAlignment="1" applyProtection="1">
      <alignment horizontal="center"/>
    </xf>
    <xf numFmtId="0" fontId="96" fillId="0" borderId="28" xfId="8" applyFont="1" applyFill="1" applyBorder="1" applyAlignment="1" applyProtection="1">
      <alignment horizontal="center" wrapText="1"/>
    </xf>
    <xf numFmtId="44" fontId="96" fillId="0" borderId="28" xfId="6" applyFont="1" applyFill="1" applyBorder="1" applyAlignment="1" applyProtection="1">
      <alignment horizontal="center"/>
    </xf>
    <xf numFmtId="0" fontId="115" fillId="0" borderId="0" xfId="0" applyFont="1" applyProtection="1"/>
    <xf numFmtId="44" fontId="97" fillId="0" borderId="101" xfId="8" applyNumberFormat="1" applyFont="1" applyFill="1" applyBorder="1" applyProtection="1"/>
    <xf numFmtId="44" fontId="97" fillId="0" borderId="56" xfId="8" applyNumberFormat="1" applyFont="1" applyFill="1" applyBorder="1" applyProtection="1"/>
    <xf numFmtId="44" fontId="97" fillId="0" borderId="72" xfId="8" applyNumberFormat="1" applyFont="1" applyFill="1" applyBorder="1" applyProtection="1"/>
    <xf numFmtId="44" fontId="97" fillId="0" borderId="102" xfId="8" applyNumberFormat="1" applyFont="1" applyFill="1" applyBorder="1" applyProtection="1"/>
    <xf numFmtId="173" fontId="97" fillId="0" borderId="102" xfId="8" applyNumberFormat="1" applyFont="1" applyBorder="1" applyProtection="1"/>
    <xf numFmtId="172" fontId="97" fillId="0" borderId="72" xfId="8" applyNumberFormat="1" applyFont="1" applyBorder="1" applyProtection="1"/>
    <xf numFmtId="172" fontId="97" fillId="0" borderId="102" xfId="8" applyNumberFormat="1" applyFont="1" applyBorder="1" applyProtection="1"/>
    <xf numFmtId="9" fontId="97" fillId="0" borderId="25" xfId="9" applyFont="1" applyFill="1" applyBorder="1" applyProtection="1"/>
    <xf numFmtId="38" fontId="97" fillId="0" borderId="24" xfId="6" applyNumberFormat="1" applyFont="1" applyFill="1" applyBorder="1" applyProtection="1"/>
    <xf numFmtId="9" fontId="97" fillId="0" borderId="21" xfId="9" applyFont="1" applyFill="1" applyBorder="1" applyProtection="1"/>
    <xf numFmtId="9" fontId="97" fillId="0" borderId="24" xfId="9" applyFont="1" applyFill="1" applyBorder="1" applyProtection="1"/>
    <xf numFmtId="0" fontId="106" fillId="0" borderId="0" xfId="8" applyFont="1" applyFill="1" applyProtection="1"/>
    <xf numFmtId="9" fontId="97" fillId="0" borderId="30" xfId="9" applyFont="1" applyBorder="1" applyProtection="1"/>
    <xf numFmtId="9" fontId="97" fillId="0" borderId="21" xfId="10" applyFont="1" applyBorder="1" applyProtection="1"/>
    <xf numFmtId="10" fontId="97" fillId="0" borderId="21" xfId="10" applyNumberFormat="1" applyFont="1" applyBorder="1" applyProtection="1"/>
    <xf numFmtId="44" fontId="97" fillId="0" borderId="22" xfId="8" applyNumberFormat="1" applyFont="1" applyFill="1" applyBorder="1" applyProtection="1"/>
    <xf numFmtId="10" fontId="97" fillId="0" borderId="22" xfId="9" applyNumberFormat="1" applyFont="1" applyBorder="1" applyProtection="1"/>
    <xf numFmtId="0" fontId="93" fillId="0" borderId="0" xfId="0" applyFont="1" applyFill="1" applyAlignment="1">
      <alignment horizontal="center" wrapText="1"/>
    </xf>
    <xf numFmtId="0" fontId="116" fillId="0" borderId="0" xfId="0" applyFont="1"/>
    <xf numFmtId="0" fontId="89" fillId="0" borderId="0" xfId="0" applyFont="1"/>
    <xf numFmtId="0" fontId="88" fillId="0" borderId="0" xfId="0" applyFont="1"/>
    <xf numFmtId="0" fontId="87" fillId="0" borderId="0" xfId="0" applyFont="1"/>
    <xf numFmtId="0" fontId="66" fillId="7" borderId="0" xfId="0" applyFont="1" applyFill="1"/>
    <xf numFmtId="0" fontId="16" fillId="7" borderId="0" xfId="0" applyFont="1" applyFill="1"/>
    <xf numFmtId="172" fontId="97" fillId="0" borderId="0" xfId="8" applyNumberFormat="1" applyFont="1" applyProtection="1"/>
    <xf numFmtId="0" fontId="110" fillId="0" borderId="5" xfId="0" applyFont="1" applyBorder="1" applyAlignment="1">
      <alignment horizontal="left"/>
    </xf>
    <xf numFmtId="174" fontId="94" fillId="0" borderId="6" xfId="0" applyNumberFormat="1" applyFont="1" applyBorder="1" applyAlignment="1">
      <alignment horizontal="center"/>
    </xf>
    <xf numFmtId="1" fontId="93" fillId="0" borderId="0" xfId="0" applyNumberFormat="1" applyFont="1" applyFill="1" applyBorder="1" applyAlignment="1">
      <alignment horizontal="left"/>
    </xf>
    <xf numFmtId="0" fontId="94" fillId="0" borderId="68" xfId="0" applyFont="1" applyBorder="1"/>
    <xf numFmtId="0" fontId="113" fillId="66" borderId="0" xfId="0" applyFont="1" applyFill="1"/>
    <xf numFmtId="0" fontId="63" fillId="7" borderId="0" xfId="0" applyFont="1" applyFill="1"/>
    <xf numFmtId="175" fontId="93" fillId="0" borderId="0" xfId="0" applyNumberFormat="1" applyFont="1" applyFill="1" applyBorder="1" applyAlignment="1">
      <alignment horizontal="center"/>
    </xf>
    <xf numFmtId="0" fontId="110" fillId="3" borderId="0" xfId="0" applyFont="1" applyFill="1" applyBorder="1"/>
    <xf numFmtId="1" fontId="93" fillId="0" borderId="103" xfId="0" applyNumberFormat="1" applyFont="1" applyFill="1" applyBorder="1" applyAlignment="1">
      <alignment horizontal="left"/>
    </xf>
    <xf numFmtId="172" fontId="93" fillId="0" borderId="53" xfId="0" applyNumberFormat="1" applyFont="1" applyBorder="1" applyAlignment="1">
      <alignment horizontal="center" vertical="top"/>
    </xf>
    <xf numFmtId="172" fontId="93" fillId="0" borderId="68" xfId="0" applyNumberFormat="1" applyFont="1" applyBorder="1" applyAlignment="1">
      <alignment horizontal="center" vertical="top"/>
    </xf>
    <xf numFmtId="174" fontId="93" fillId="0" borderId="53" xfId="0" applyNumberFormat="1" applyFont="1" applyBorder="1" applyAlignment="1">
      <alignment horizontal="center" vertical="top"/>
    </xf>
    <xf numFmtId="0" fontId="94" fillId="0" borderId="103" xfId="0" applyFont="1" applyFill="1" applyBorder="1" applyAlignment="1">
      <alignment horizontal="center"/>
    </xf>
    <xf numFmtId="0" fontId="94" fillId="0" borderId="104" xfId="0" applyFont="1" applyBorder="1"/>
    <xf numFmtId="0" fontId="94" fillId="0" borderId="104" xfId="0" applyFont="1" applyFill="1" applyBorder="1"/>
    <xf numFmtId="164" fontId="93" fillId="0" borderId="104" xfId="0" applyNumberFormat="1" applyFont="1" applyBorder="1" applyAlignment="1">
      <alignment horizontal="center" vertical="top"/>
    </xf>
    <xf numFmtId="174" fontId="110" fillId="0" borderId="0" xfId="0" applyNumberFormat="1" applyFont="1" applyAlignment="1">
      <alignment horizontal="center"/>
    </xf>
    <xf numFmtId="0" fontId="117" fillId="66" borderId="0" xfId="0" quotePrefix="1" applyFont="1" applyFill="1"/>
    <xf numFmtId="172" fontId="93" fillId="3" borderId="0" xfId="13330" applyNumberFormat="1" applyFont="1" applyFill="1" applyBorder="1" applyAlignment="1">
      <alignment horizontal="center" vertical="top"/>
    </xf>
    <xf numFmtId="0" fontId="94" fillId="0" borderId="107" xfId="0" applyFont="1" applyBorder="1"/>
    <xf numFmtId="0" fontId="93" fillId="0" borderId="103" xfId="0" applyFont="1" applyBorder="1"/>
    <xf numFmtId="0" fontId="93" fillId="0" borderId="105" xfId="0" applyFont="1" applyBorder="1"/>
    <xf numFmtId="0" fontId="94" fillId="0" borderId="19" xfId="0" applyFont="1" applyBorder="1" applyAlignment="1">
      <alignment horizontal="center"/>
    </xf>
    <xf numFmtId="0" fontId="106" fillId="0" borderId="0" xfId="0" applyFont="1" applyFill="1"/>
    <xf numFmtId="175" fontId="98" fillId="2" borderId="67" xfId="0" applyNumberFormat="1" applyFont="1" applyFill="1" applyBorder="1"/>
    <xf numFmtId="0" fontId="98" fillId="2" borderId="61" xfId="0" applyFont="1" applyFill="1" applyBorder="1" applyAlignment="1" applyProtection="1">
      <alignment horizontal="center" vertical="top"/>
      <protection locked="0"/>
    </xf>
    <xf numFmtId="0" fontId="98" fillId="2" borderId="62" xfId="0" applyFont="1" applyFill="1" applyBorder="1" applyAlignment="1" applyProtection="1">
      <alignment horizontal="center" vertical="top"/>
      <protection locked="0"/>
    </xf>
    <xf numFmtId="1" fontId="98" fillId="2" borderId="62" xfId="0" applyNumberFormat="1" applyFont="1" applyFill="1" applyBorder="1" applyAlignment="1" applyProtection="1">
      <alignment horizontal="center" vertical="top"/>
      <protection locked="0"/>
    </xf>
    <xf numFmtId="1" fontId="98" fillId="2" borderId="63" xfId="0" applyNumberFormat="1" applyFont="1" applyFill="1" applyBorder="1" applyAlignment="1" applyProtection="1">
      <alignment horizontal="center" vertical="top"/>
      <protection locked="0"/>
    </xf>
    <xf numFmtId="0" fontId="98" fillId="2" borderId="112" xfId="0" applyFont="1" applyFill="1" applyBorder="1" applyAlignment="1" applyProtection="1">
      <alignment horizontal="center" vertical="top"/>
      <protection locked="0"/>
    </xf>
    <xf numFmtId="172" fontId="94" fillId="3" borderId="103" xfId="0" applyNumberFormat="1" applyFont="1" applyFill="1" applyBorder="1" applyAlignment="1">
      <alignment horizontal="center"/>
    </xf>
    <xf numFmtId="9" fontId="93" fillId="0" borderId="0" xfId="9" applyFont="1" applyFill="1" applyBorder="1" applyAlignment="1">
      <alignment horizontal="center" vertical="top"/>
    </xf>
    <xf numFmtId="0" fontId="94" fillId="0" borderId="103" xfId="0" applyFont="1" applyBorder="1"/>
    <xf numFmtId="0" fontId="94" fillId="0" borderId="107" xfId="0" applyFont="1" applyBorder="1" applyAlignment="1">
      <alignment horizontal="center"/>
    </xf>
    <xf numFmtId="182" fontId="93" fillId="0" borderId="0" xfId="0" applyNumberFormat="1" applyFont="1" applyBorder="1" applyAlignment="1">
      <alignment horizontal="center" vertical="top"/>
    </xf>
    <xf numFmtId="182" fontId="94" fillId="0" borderId="103" xfId="0" applyNumberFormat="1" applyFont="1" applyBorder="1" applyAlignment="1">
      <alignment horizontal="center" vertical="top"/>
    </xf>
    <xf numFmtId="174" fontId="93" fillId="0" borderId="0" xfId="0" applyNumberFormat="1" applyFont="1" applyFill="1" applyBorder="1"/>
    <xf numFmtId="174" fontId="111" fillId="0" borderId="103" xfId="0" applyNumberFormat="1" applyFont="1" applyFill="1" applyBorder="1"/>
    <xf numFmtId="165" fontId="93" fillId="4" borderId="99" xfId="11" applyNumberFormat="1" applyFont="1" applyBorder="1" applyAlignment="1" applyProtection="1">
      <alignment horizontal="center" vertical="top"/>
      <protection locked="0"/>
    </xf>
    <xf numFmtId="1" fontId="93" fillId="0" borderId="0" xfId="0" applyNumberFormat="1" applyFont="1" applyFill="1" applyAlignment="1">
      <alignment horizontal="left"/>
    </xf>
    <xf numFmtId="1" fontId="93" fillId="0" borderId="53" xfId="0" applyNumberFormat="1" applyFont="1" applyFill="1" applyBorder="1" applyAlignment="1">
      <alignment horizontal="left"/>
    </xf>
    <xf numFmtId="1" fontId="109" fillId="0" borderId="0" xfId="0" applyNumberFormat="1" applyFont="1" applyFill="1" applyBorder="1" applyAlignment="1">
      <alignment horizontal="left"/>
    </xf>
    <xf numFmtId="1" fontId="93" fillId="0" borderId="68" xfId="0" applyNumberFormat="1" applyFont="1" applyFill="1" applyBorder="1" applyAlignment="1">
      <alignment horizontal="left"/>
    </xf>
    <xf numFmtId="177" fontId="93" fillId="0" borderId="53" xfId="0" applyNumberFormat="1" applyFont="1" applyFill="1" applyBorder="1" applyAlignment="1">
      <alignment horizontal="left"/>
    </xf>
    <xf numFmtId="1" fontId="94" fillId="0" borderId="53" xfId="0" applyNumberFormat="1" applyFont="1" applyFill="1" applyBorder="1" applyAlignment="1">
      <alignment horizontal="left"/>
    </xf>
    <xf numFmtId="172" fontId="93" fillId="0" borderId="104" xfId="0" applyNumberFormat="1" applyFont="1" applyFill="1" applyBorder="1" applyAlignment="1">
      <alignment horizontal="center"/>
    </xf>
    <xf numFmtId="3" fontId="93" fillId="0" borderId="103" xfId="0" applyNumberFormat="1" applyFont="1" applyBorder="1" applyAlignment="1">
      <alignment horizontal="center" vertical="top"/>
    </xf>
    <xf numFmtId="165" fontId="105" fillId="4" borderId="3" xfId="11" applyNumberFormat="1" applyFont="1" applyAlignment="1" applyProtection="1">
      <alignment horizontal="center"/>
      <protection locked="0"/>
    </xf>
    <xf numFmtId="0" fontId="94" fillId="0" borderId="103" xfId="0" applyFont="1" applyFill="1" applyBorder="1"/>
    <xf numFmtId="1" fontId="94" fillId="0" borderId="103" xfId="0" applyNumberFormat="1" applyFont="1" applyFill="1" applyBorder="1" applyAlignment="1">
      <alignment horizontal="center"/>
    </xf>
    <xf numFmtId="172" fontId="93" fillId="0" borderId="103" xfId="0" applyNumberFormat="1" applyFont="1" applyFill="1" applyBorder="1" applyAlignment="1">
      <alignment horizontal="center"/>
    </xf>
    <xf numFmtId="172" fontId="94" fillId="0" borderId="103" xfId="0" applyNumberFormat="1" applyFont="1" applyFill="1" applyBorder="1" applyAlignment="1">
      <alignment horizontal="center"/>
    </xf>
    <xf numFmtId="174" fontId="93" fillId="0" borderId="0" xfId="0" applyNumberFormat="1" applyFont="1"/>
    <xf numFmtId="174" fontId="93" fillId="0" borderId="0" xfId="0" applyNumberFormat="1" applyFont="1" applyAlignment="1">
      <alignment horizontal="center" vertical="top"/>
    </xf>
    <xf numFmtId="174" fontId="108" fillId="0" borderId="103" xfId="0" applyNumberFormat="1" applyFont="1" applyFill="1" applyBorder="1"/>
    <xf numFmtId="0" fontId="98" fillId="2" borderId="67" xfId="0" applyFont="1" applyFill="1" applyBorder="1" applyProtection="1"/>
    <xf numFmtId="0" fontId="98" fillId="2" borderId="67" xfId="0" applyFont="1" applyFill="1" applyBorder="1" applyAlignment="1">
      <alignment vertical="center"/>
    </xf>
    <xf numFmtId="0" fontId="93" fillId="0" borderId="18" xfId="0" applyFont="1" applyBorder="1" applyProtection="1"/>
    <xf numFmtId="0" fontId="118" fillId="0" borderId="0" xfId="0" applyFont="1" applyAlignment="1" applyProtection="1">
      <alignment horizontal="center"/>
    </xf>
    <xf numFmtId="174" fontId="94" fillId="0" borderId="6" xfId="0" applyNumberFormat="1" applyFont="1" applyFill="1" applyBorder="1" applyAlignment="1">
      <alignment horizontal="right"/>
    </xf>
    <xf numFmtId="174" fontId="93" fillId="0" borderId="0" xfId="0" applyNumberFormat="1" applyFont="1" applyFill="1" applyAlignment="1">
      <alignment horizontal="right"/>
    </xf>
    <xf numFmtId="174" fontId="108" fillId="63" borderId="0" xfId="0" applyNumberFormat="1" applyFont="1" applyFill="1" applyAlignment="1">
      <alignment horizontal="right"/>
    </xf>
    <xf numFmtId="174" fontId="93" fillId="0" borderId="0" xfId="0" applyNumberFormat="1" applyFont="1" applyFill="1" applyAlignment="1" applyProtection="1">
      <alignment horizontal="right"/>
      <protection hidden="1"/>
    </xf>
    <xf numFmtId="174" fontId="94" fillId="0" borderId="0" xfId="0" applyNumberFormat="1" applyFont="1" applyFill="1" applyBorder="1" applyAlignment="1" applyProtection="1">
      <alignment horizontal="right"/>
      <protection hidden="1"/>
    </xf>
    <xf numFmtId="174" fontId="93" fillId="0" borderId="0" xfId="0" applyNumberFormat="1" applyFont="1" applyFill="1" applyBorder="1" applyAlignment="1" applyProtection="1">
      <alignment horizontal="right"/>
      <protection hidden="1"/>
    </xf>
    <xf numFmtId="174" fontId="94" fillId="0" borderId="0" xfId="0" applyNumberFormat="1" applyFont="1" applyBorder="1" applyAlignment="1">
      <alignment horizontal="right"/>
    </xf>
    <xf numFmtId="174" fontId="94" fillId="0" borderId="0" xfId="0" applyNumberFormat="1" applyFont="1" applyFill="1" applyBorder="1" applyAlignment="1">
      <alignment horizontal="right"/>
    </xf>
    <xf numFmtId="174" fontId="93" fillId="0" borderId="0" xfId="0" applyNumberFormat="1" applyFont="1" applyFill="1" applyBorder="1" applyAlignment="1">
      <alignment horizontal="right"/>
    </xf>
    <xf numFmtId="174" fontId="93" fillId="0" borderId="0" xfId="0" applyNumberFormat="1" applyFont="1" applyBorder="1" applyAlignment="1">
      <alignment horizontal="right"/>
    </xf>
    <xf numFmtId="174" fontId="94" fillId="0" borderId="53" xfId="0" applyNumberFormat="1" applyFont="1" applyBorder="1" applyAlignment="1">
      <alignment horizontal="right"/>
    </xf>
    <xf numFmtId="174" fontId="109" fillId="0" borderId="0" xfId="0" applyNumberFormat="1" applyFont="1" applyAlignment="1">
      <alignment horizontal="right"/>
    </xf>
    <xf numFmtId="174" fontId="93" fillId="0" borderId="0" xfId="0" applyNumberFormat="1" applyFont="1" applyAlignment="1">
      <alignment horizontal="right"/>
    </xf>
    <xf numFmtId="174" fontId="105" fillId="4" borderId="3" xfId="11" applyNumberFormat="1" applyFont="1" applyAlignment="1" applyProtection="1">
      <alignment horizontal="right"/>
      <protection locked="0"/>
    </xf>
    <xf numFmtId="174" fontId="94" fillId="4" borderId="3" xfId="11" applyNumberFormat="1" applyFont="1" applyAlignment="1" applyProtection="1">
      <alignment horizontal="right"/>
      <protection locked="0"/>
    </xf>
    <xf numFmtId="174" fontId="94" fillId="0" borderId="6" xfId="0" applyNumberFormat="1" applyFont="1" applyBorder="1" applyAlignment="1">
      <alignment horizontal="right"/>
    </xf>
    <xf numFmtId="174" fontId="93" fillId="0" borderId="6" xfId="0" applyNumberFormat="1" applyFont="1" applyBorder="1" applyAlignment="1">
      <alignment horizontal="right"/>
    </xf>
    <xf numFmtId="174" fontId="94" fillId="0" borderId="0" xfId="0" applyNumberFormat="1" applyFont="1" applyAlignment="1">
      <alignment horizontal="right"/>
    </xf>
    <xf numFmtId="174" fontId="109" fillId="0" borderId="0" xfId="0" applyNumberFormat="1" applyFont="1" applyBorder="1" applyAlignment="1">
      <alignment horizontal="right"/>
    </xf>
    <xf numFmtId="174" fontId="94" fillId="0" borderId="0" xfId="11" applyNumberFormat="1" applyFont="1" applyFill="1" applyBorder="1" applyAlignment="1">
      <alignment horizontal="right"/>
    </xf>
    <xf numFmtId="174" fontId="93" fillId="3" borderId="7" xfId="0" applyNumberFormat="1" applyFont="1" applyFill="1" applyBorder="1" applyAlignment="1">
      <alignment horizontal="right"/>
    </xf>
    <xf numFmtId="174" fontId="93" fillId="3" borderId="0" xfId="0" applyNumberFormat="1" applyFont="1" applyFill="1" applyBorder="1" applyAlignment="1">
      <alignment horizontal="right"/>
    </xf>
    <xf numFmtId="174" fontId="93" fillId="3" borderId="10" xfId="0" applyNumberFormat="1" applyFont="1" applyFill="1" applyBorder="1" applyAlignment="1">
      <alignment horizontal="right"/>
    </xf>
    <xf numFmtId="174" fontId="93" fillId="0" borderId="1" xfId="0" applyNumberFormat="1" applyFont="1" applyBorder="1" applyAlignment="1">
      <alignment horizontal="right"/>
    </xf>
    <xf numFmtId="174" fontId="93" fillId="3" borderId="7" xfId="9" applyNumberFormat="1" applyFont="1" applyFill="1" applyBorder="1" applyAlignment="1">
      <alignment horizontal="right"/>
    </xf>
    <xf numFmtId="174" fontId="94" fillId="3" borderId="0" xfId="0" applyNumberFormat="1" applyFont="1" applyFill="1" applyBorder="1" applyAlignment="1">
      <alignment horizontal="right" vertical="top"/>
    </xf>
    <xf numFmtId="172" fontId="93" fillId="0" borderId="0" xfId="0" applyNumberFormat="1" applyFont="1" applyFill="1" applyBorder="1" applyAlignment="1">
      <alignment horizontal="right"/>
    </xf>
    <xf numFmtId="172" fontId="93" fillId="0" borderId="1" xfId="0" applyNumberFormat="1" applyFont="1" applyFill="1" applyBorder="1" applyAlignment="1">
      <alignment horizontal="right"/>
    </xf>
    <xf numFmtId="172" fontId="93" fillId="0" borderId="53" xfId="0" applyNumberFormat="1" applyFont="1" applyFill="1" applyBorder="1" applyAlignment="1">
      <alignment horizontal="right"/>
    </xf>
    <xf numFmtId="0" fontId="94" fillId="0" borderId="0" xfId="0" applyFont="1" applyFill="1" applyBorder="1"/>
    <xf numFmtId="175" fontId="93" fillId="0" borderId="0" xfId="0" applyNumberFormat="1" applyFont="1" applyFill="1" applyBorder="1" applyAlignment="1">
      <alignment horizontal="center" vertical="top"/>
    </xf>
    <xf numFmtId="175" fontId="93" fillId="0" borderId="0" xfId="0" applyNumberFormat="1" applyFont="1" applyFill="1" applyAlignment="1">
      <alignment horizontal="center" vertical="top"/>
    </xf>
    <xf numFmtId="174" fontId="93" fillId="0" borderId="3" xfId="11" applyNumberFormat="1" applyFont="1" applyFill="1" applyAlignment="1" applyProtection="1">
      <alignment horizontal="right"/>
      <protection locked="0"/>
    </xf>
    <xf numFmtId="172" fontId="94" fillId="0" borderId="0" xfId="0" applyNumberFormat="1" applyFont="1" applyFill="1" applyAlignment="1">
      <alignment horizontal="center"/>
    </xf>
    <xf numFmtId="180" fontId="94" fillId="0" borderId="0" xfId="0" applyNumberFormat="1" applyFont="1" applyFill="1" applyAlignment="1">
      <alignment horizontal="center"/>
    </xf>
    <xf numFmtId="6" fontId="93" fillId="0" borderId="0" xfId="0" applyNumberFormat="1" applyFont="1" applyFill="1" applyAlignment="1">
      <alignment horizontal="center"/>
    </xf>
    <xf numFmtId="0" fontId="98" fillId="0" borderId="0" xfId="0" applyFont="1" applyFill="1" applyBorder="1"/>
    <xf numFmtId="172" fontId="93" fillId="0" borderId="0" xfId="0" applyNumberFormat="1" applyFont="1" applyFill="1" applyBorder="1" applyAlignment="1" applyProtection="1">
      <alignment horizontal="center" vertical="top"/>
      <protection locked="0"/>
    </xf>
    <xf numFmtId="188" fontId="93" fillId="0" borderId="0" xfId="7" applyNumberFormat="1" applyFont="1" applyFill="1" applyBorder="1" applyAlignment="1" applyProtection="1">
      <alignment horizontal="center" wrapText="1"/>
    </xf>
    <xf numFmtId="0" fontId="93" fillId="0" borderId="0" xfId="7" applyFont="1" applyFill="1" applyBorder="1" applyAlignment="1" applyProtection="1">
      <alignment horizontal="left" wrapText="1"/>
    </xf>
    <xf numFmtId="0" fontId="94" fillId="0" borderId="1" xfId="0" applyFont="1" applyFill="1" applyBorder="1"/>
    <xf numFmtId="0" fontId="93" fillId="0" borderId="67" xfId="0" applyFont="1" applyBorder="1"/>
    <xf numFmtId="9" fontId="94" fillId="2" borderId="126" xfId="9" applyFont="1" applyFill="1" applyBorder="1" applyAlignment="1" applyProtection="1">
      <alignment horizontal="center" vertical="top"/>
      <protection locked="0"/>
    </xf>
    <xf numFmtId="172" fontId="94" fillId="2" borderId="126" xfId="9" applyNumberFormat="1" applyFont="1" applyFill="1" applyBorder="1" applyAlignment="1" applyProtection="1">
      <alignment horizontal="center" vertical="top"/>
      <protection locked="0"/>
    </xf>
    <xf numFmtId="0" fontId="105" fillId="0" borderId="0" xfId="0" applyFont="1" applyFill="1" applyBorder="1" applyAlignment="1">
      <alignment horizontal="left"/>
    </xf>
    <xf numFmtId="188" fontId="98" fillId="0" borderId="0" xfId="7" applyNumberFormat="1" applyFont="1" applyFill="1" applyBorder="1" applyAlignment="1" applyProtection="1">
      <alignment horizontal="center" wrapText="1"/>
    </xf>
    <xf numFmtId="0" fontId="98" fillId="0" borderId="0" xfId="7" applyFont="1" applyFill="1" applyBorder="1" applyAlignment="1" applyProtection="1">
      <alignment horizontal="left" wrapText="1"/>
    </xf>
    <xf numFmtId="0" fontId="98" fillId="0" borderId="0" xfId="0" applyFont="1" applyFill="1" applyBorder="1" applyAlignment="1">
      <alignment horizontal="left"/>
    </xf>
    <xf numFmtId="0" fontId="93" fillId="3" borderId="103" xfId="0" applyFont="1" applyFill="1" applyBorder="1"/>
    <xf numFmtId="172" fontId="93" fillId="3" borderId="103" xfId="0" applyNumberFormat="1" applyFont="1" applyFill="1" applyBorder="1"/>
    <xf numFmtId="174" fontId="97" fillId="0" borderId="0" xfId="8" applyNumberFormat="1" applyFont="1" applyFill="1" applyProtection="1"/>
    <xf numFmtId="172" fontId="97" fillId="0" borderId="0" xfId="8" applyNumberFormat="1" applyFont="1" applyFill="1" applyProtection="1"/>
    <xf numFmtId="172" fontId="93" fillId="0" borderId="0" xfId="0" quotePrefix="1" applyNumberFormat="1" applyFont="1" applyFill="1"/>
    <xf numFmtId="172" fontId="93" fillId="0" borderId="0" xfId="0" applyNumberFormat="1" applyFont="1" applyFill="1"/>
    <xf numFmtId="174" fontId="93" fillId="0" borderId="0" xfId="0" applyNumberFormat="1" applyFont="1" applyFill="1"/>
    <xf numFmtId="1" fontId="98" fillId="4" borderId="3" xfId="11" applyNumberFormat="1" applyFont="1" applyAlignment="1" applyProtection="1">
      <alignment horizontal="center"/>
      <protection locked="0"/>
    </xf>
    <xf numFmtId="174" fontId="98" fillId="4" borderId="3" xfId="11" applyNumberFormat="1" applyFont="1" applyAlignment="1" applyProtection="1">
      <alignment horizontal="center"/>
      <protection locked="0"/>
    </xf>
    <xf numFmtId="1" fontId="98" fillId="0" borderId="0" xfId="0" applyNumberFormat="1" applyFont="1" applyFill="1" applyBorder="1" applyAlignment="1">
      <alignment horizontal="center"/>
    </xf>
    <xf numFmtId="0" fontId="98" fillId="0" borderId="0" xfId="0" applyFont="1" applyFill="1" applyBorder="1" applyAlignment="1">
      <alignment horizontal="center"/>
    </xf>
    <xf numFmtId="0" fontId="98" fillId="0" borderId="0" xfId="0" applyFont="1" applyFill="1"/>
    <xf numFmtId="174" fontId="98" fillId="0" borderId="0" xfId="0" applyNumberFormat="1" applyFont="1" applyFill="1" applyBorder="1" applyAlignment="1">
      <alignment horizontal="center"/>
    </xf>
    <xf numFmtId="0" fontId="98" fillId="4" borderId="3" xfId="11" applyFont="1" applyAlignment="1" applyProtection="1">
      <protection locked="0"/>
    </xf>
    <xf numFmtId="1" fontId="98" fillId="2" borderId="3" xfId="0" applyNumberFormat="1" applyFont="1" applyFill="1" applyBorder="1" applyAlignment="1" applyProtection="1">
      <alignment horizontal="center"/>
      <protection locked="0"/>
    </xf>
    <xf numFmtId="165" fontId="98" fillId="4" borderId="3" xfId="11" applyNumberFormat="1" applyFont="1" applyBorder="1" applyAlignment="1" applyProtection="1">
      <alignment horizontal="center" vertical="top"/>
      <protection locked="0"/>
    </xf>
    <xf numFmtId="10" fontId="98" fillId="4" borderId="3" xfId="11" applyNumberFormat="1" applyFont="1" applyBorder="1" applyAlignment="1" applyProtection="1">
      <alignment horizontal="center" vertical="top"/>
      <protection locked="0"/>
    </xf>
    <xf numFmtId="9" fontId="98" fillId="4" borderId="3" xfId="11" applyNumberFormat="1" applyFont="1" applyBorder="1" applyAlignment="1" applyProtection="1">
      <alignment horizontal="center" vertical="top"/>
      <protection locked="0"/>
    </xf>
    <xf numFmtId="165" fontId="98" fillId="2" borderId="3" xfId="11" applyNumberFormat="1" applyFont="1" applyFill="1" applyAlignment="1" applyProtection="1">
      <alignment horizontal="center" vertical="top"/>
    </xf>
    <xf numFmtId="165" fontId="98" fillId="4" borderId="3" xfId="11" applyNumberFormat="1" applyFont="1" applyAlignment="1" applyProtection="1">
      <alignment horizontal="center" vertical="top"/>
      <protection locked="0"/>
    </xf>
    <xf numFmtId="164" fontId="98" fillId="4" borderId="3" xfId="11" applyNumberFormat="1" applyFont="1" applyFill="1" applyAlignment="1" applyProtection="1">
      <alignment horizontal="center" vertical="top"/>
      <protection locked="0"/>
    </xf>
    <xf numFmtId="2" fontId="98" fillId="4" borderId="3" xfId="11" applyNumberFormat="1" applyFont="1" applyAlignment="1" applyProtection="1">
      <alignment horizontal="center" vertical="top"/>
      <protection locked="0"/>
    </xf>
    <xf numFmtId="172" fontId="98" fillId="4" borderId="99" xfId="11" applyNumberFormat="1" applyFont="1" applyBorder="1" applyAlignment="1" applyProtection="1">
      <alignment horizontal="center"/>
      <protection locked="0"/>
    </xf>
    <xf numFmtId="172" fontId="98" fillId="4" borderId="99" xfId="11" applyNumberFormat="1" applyFont="1" applyBorder="1" applyAlignment="1" applyProtection="1">
      <alignment horizontal="center" vertical="top"/>
      <protection locked="0"/>
    </xf>
    <xf numFmtId="182" fontId="98" fillId="4" borderId="99" xfId="11" applyNumberFormat="1" applyFont="1" applyBorder="1" applyAlignment="1" applyProtection="1">
      <alignment horizontal="center" vertical="top"/>
      <protection locked="0"/>
    </xf>
    <xf numFmtId="0" fontId="98" fillId="4" borderId="99" xfId="11" applyFont="1" applyBorder="1" applyAlignment="1" applyProtection="1">
      <protection locked="0"/>
    </xf>
    <xf numFmtId="1" fontId="98" fillId="4" borderId="99" xfId="11" applyNumberFormat="1" applyFont="1" applyBorder="1" applyAlignment="1" applyProtection="1">
      <alignment horizontal="center"/>
      <protection locked="0"/>
    </xf>
    <xf numFmtId="0" fontId="98" fillId="4" borderId="99" xfId="11" applyFont="1" applyBorder="1" applyAlignment="1"/>
    <xf numFmtId="1" fontId="98" fillId="4" borderId="99" xfId="11" applyNumberFormat="1" applyFont="1" applyBorder="1" applyAlignment="1">
      <alignment horizontal="center"/>
    </xf>
    <xf numFmtId="0" fontId="93" fillId="0" borderId="1" xfId="0" applyFont="1" applyFill="1" applyBorder="1" applyAlignment="1">
      <alignment horizontal="center" wrapText="1"/>
    </xf>
    <xf numFmtId="172" fontId="96" fillId="0" borderId="26" xfId="8" applyNumberFormat="1" applyFont="1" applyBorder="1" applyProtection="1"/>
    <xf numFmtId="0" fontId="96" fillId="0" borderId="28" xfId="8" quotePrefix="1" applyFont="1" applyBorder="1" applyAlignment="1" applyProtection="1">
      <alignment horizontal="center" wrapText="1"/>
    </xf>
    <xf numFmtId="176" fontId="94" fillId="0" borderId="0" xfId="0" applyNumberFormat="1" applyFont="1" applyAlignment="1" applyProtection="1">
      <alignment horizontal="center"/>
    </xf>
    <xf numFmtId="174" fontId="97" fillId="0" borderId="0" xfId="8" applyNumberFormat="1" applyFont="1" applyProtection="1"/>
    <xf numFmtId="174" fontId="96" fillId="0" borderId="94" xfId="8" applyNumberFormat="1" applyFont="1" applyBorder="1" applyProtection="1"/>
    <xf numFmtId="174" fontId="93" fillId="0" borderId="53" xfId="0" applyNumberFormat="1" applyFont="1" applyFill="1" applyBorder="1" applyAlignment="1">
      <alignment horizontal="center" vertical="top"/>
    </xf>
    <xf numFmtId="0" fontId="94" fillId="0" borderId="1" xfId="0" applyFont="1" applyBorder="1"/>
    <xf numFmtId="183" fontId="98" fillId="2" borderId="82" xfId="0" applyNumberFormat="1" applyFont="1" applyFill="1" applyBorder="1" applyProtection="1">
      <protection locked="0"/>
    </xf>
    <xf numFmtId="5" fontId="98" fillId="2" borderId="82" xfId="13118" applyNumberFormat="1" applyFont="1" applyFill="1" applyBorder="1" applyProtection="1">
      <protection locked="0"/>
    </xf>
    <xf numFmtId="183" fontId="98" fillId="2" borderId="73" xfId="0" applyNumberFormat="1" applyFont="1" applyFill="1" applyBorder="1" applyProtection="1">
      <protection locked="0"/>
    </xf>
    <xf numFmtId="5" fontId="98" fillId="2" borderId="73" xfId="13118" applyNumberFormat="1" applyFont="1" applyFill="1" applyBorder="1" applyProtection="1">
      <protection locked="0"/>
    </xf>
    <xf numFmtId="172" fontId="98" fillId="2" borderId="99" xfId="0" applyNumberFormat="1" applyFont="1" applyFill="1" applyBorder="1" applyAlignment="1" applyProtection="1">
      <alignment horizontal="center" vertical="top"/>
      <protection locked="0"/>
    </xf>
    <xf numFmtId="9" fontId="105" fillId="2" borderId="62" xfId="9" applyFont="1" applyFill="1" applyBorder="1" applyAlignment="1" applyProtection="1">
      <alignment horizontal="center" vertical="top"/>
      <protection locked="0"/>
    </xf>
    <xf numFmtId="9" fontId="105" fillId="2" borderId="3" xfId="9" applyFont="1" applyFill="1" applyBorder="1" applyAlignment="1" applyProtection="1">
      <alignment horizontal="center" vertical="top"/>
      <protection locked="0"/>
    </xf>
    <xf numFmtId="9" fontId="105" fillId="2" borderId="126" xfId="9" applyFont="1" applyFill="1" applyBorder="1" applyAlignment="1" applyProtection="1">
      <alignment horizontal="center" vertical="top"/>
      <protection locked="0"/>
    </xf>
    <xf numFmtId="172" fontId="105" fillId="2" borderId="126" xfId="9" applyNumberFormat="1" applyFont="1" applyFill="1" applyBorder="1" applyAlignment="1" applyProtection="1">
      <alignment horizontal="center" vertical="top"/>
      <protection locked="0"/>
    </xf>
    <xf numFmtId="172" fontId="105" fillId="2" borderId="113" xfId="9" applyNumberFormat="1" applyFont="1" applyFill="1" applyBorder="1" applyAlignment="1" applyProtection="1">
      <alignment horizontal="center" vertical="top"/>
      <protection locked="0"/>
    </xf>
    <xf numFmtId="193" fontId="93" fillId="0" borderId="0" xfId="0" applyNumberFormat="1" applyFont="1" applyFill="1" applyBorder="1" applyAlignment="1">
      <alignment horizontal="left"/>
    </xf>
    <xf numFmtId="172" fontId="96" fillId="0" borderId="128" xfId="8" applyNumberFormat="1" applyFont="1" applyBorder="1"/>
    <xf numFmtId="172" fontId="97" fillId="0" borderId="6" xfId="8" applyNumberFormat="1" applyFont="1" applyBorder="1"/>
    <xf numFmtId="172" fontId="119" fillId="0" borderId="130" xfId="8" applyNumberFormat="1" applyFont="1" applyBorder="1"/>
    <xf numFmtId="0" fontId="104" fillId="0" borderId="131" xfId="33111" applyFont="1" applyFill="1" applyBorder="1" applyAlignment="1">
      <alignment horizontal="center" vertical="center" wrapText="1"/>
    </xf>
    <xf numFmtId="0" fontId="104" fillId="0" borderId="132" xfId="33111" applyFont="1" applyFill="1" applyBorder="1" applyAlignment="1">
      <alignment horizontal="center" vertical="center" wrapText="1"/>
    </xf>
    <xf numFmtId="0" fontId="104" fillId="0" borderId="133" xfId="33111" applyFont="1" applyFill="1" applyBorder="1" applyAlignment="1">
      <alignment horizontal="center" vertical="center" wrapText="1"/>
    </xf>
    <xf numFmtId="0" fontId="120" fillId="0" borderId="133" xfId="33111" applyFont="1" applyFill="1" applyBorder="1" applyAlignment="1">
      <alignment horizontal="center" vertical="center" wrapText="1"/>
    </xf>
    <xf numFmtId="0" fontId="104" fillId="0" borderId="128" xfId="33111" applyFont="1" applyFill="1" applyBorder="1" applyAlignment="1">
      <alignment horizontal="left"/>
    </xf>
    <xf numFmtId="0" fontId="104" fillId="0" borderId="6" xfId="33111" applyFont="1" applyFill="1" applyBorder="1" applyAlignment="1"/>
    <xf numFmtId="0" fontId="104" fillId="0" borderId="129" xfId="33111" applyFont="1" applyFill="1" applyBorder="1" applyAlignment="1"/>
    <xf numFmtId="172" fontId="98" fillId="4" borderId="99" xfId="11" applyNumberFormat="1" applyFont="1" applyBorder="1" applyAlignment="1" applyProtection="1">
      <alignment horizontal="right"/>
      <protection locked="0"/>
    </xf>
    <xf numFmtId="172" fontId="98" fillId="4" borderId="99" xfId="11" applyNumberFormat="1" applyFont="1" applyBorder="1" applyAlignment="1">
      <alignment horizontal="right"/>
    </xf>
    <xf numFmtId="172" fontId="98" fillId="4" borderId="3" xfId="11" applyNumberFormat="1" applyFont="1" applyAlignment="1" applyProtection="1">
      <alignment horizontal="right"/>
      <protection locked="0"/>
    </xf>
    <xf numFmtId="0" fontId="93" fillId="0" borderId="0" xfId="0" applyFont="1" applyAlignment="1">
      <alignment horizontal="left"/>
    </xf>
    <xf numFmtId="0" fontId="94" fillId="0" borderId="115" xfId="0" applyFont="1" applyFill="1" applyBorder="1" applyAlignment="1" applyProtection="1">
      <alignment horizontal="center"/>
    </xf>
    <xf numFmtId="0" fontId="94" fillId="0" borderId="22" xfId="0" applyFont="1" applyFill="1" applyBorder="1" applyAlignment="1" applyProtection="1">
      <alignment horizontal="center"/>
    </xf>
    <xf numFmtId="174" fontId="93" fillId="0" borderId="0" xfId="0" applyNumberFormat="1" applyFont="1" applyAlignment="1" applyProtection="1">
      <alignment horizontal="right" wrapText="1"/>
    </xf>
    <xf numFmtId="172" fontId="93" fillId="0" borderId="0" xfId="0" applyNumberFormat="1" applyFont="1" applyAlignment="1" applyProtection="1">
      <alignment horizontal="right" wrapText="1"/>
    </xf>
    <xf numFmtId="172" fontId="94" fillId="7" borderId="53" xfId="0" applyNumberFormat="1" applyFont="1" applyFill="1" applyBorder="1" applyAlignment="1" applyProtection="1">
      <alignment horizontal="center"/>
    </xf>
    <xf numFmtId="172" fontId="94" fillId="7" borderId="0" xfId="0" applyNumberFormat="1" applyFont="1" applyFill="1" applyBorder="1" applyAlignment="1" applyProtection="1">
      <alignment horizontal="center"/>
    </xf>
    <xf numFmtId="0" fontId="94" fillId="0" borderId="1" xfId="0" applyFont="1" applyBorder="1"/>
    <xf numFmtId="0" fontId="0" fillId="0" borderId="0" xfId="0" applyAlignment="1">
      <alignment horizontal="center"/>
    </xf>
    <xf numFmtId="172" fontId="93" fillId="3" borderId="0" xfId="0" applyNumberFormat="1" applyFont="1" applyFill="1" applyBorder="1"/>
    <xf numFmtId="0" fontId="94" fillId="0" borderId="0" xfId="0" applyFont="1" applyBorder="1" applyAlignment="1">
      <alignment horizontal="left" indent="1"/>
    </xf>
    <xf numFmtId="172" fontId="91" fillId="0" borderId="93" xfId="0" applyNumberFormat="1" applyFont="1" applyFill="1" applyBorder="1" applyAlignment="1">
      <alignment horizontal="center"/>
    </xf>
    <xf numFmtId="172" fontId="91" fillId="0" borderId="116" xfId="0" applyNumberFormat="1" applyFont="1" applyFill="1" applyBorder="1" applyAlignment="1">
      <alignment horizontal="center"/>
    </xf>
    <xf numFmtId="0" fontId="94" fillId="64" borderId="1" xfId="0" applyFont="1" applyFill="1" applyBorder="1"/>
    <xf numFmtId="0" fontId="108" fillId="0" borderId="0" xfId="6628" applyFont="1" applyFill="1"/>
    <xf numFmtId="0" fontId="93" fillId="0" borderId="107" xfId="0" applyFont="1" applyBorder="1" applyProtection="1"/>
    <xf numFmtId="0" fontId="94" fillId="0" borderId="103" xfId="0" applyFont="1" applyBorder="1" applyAlignment="1" applyProtection="1">
      <alignment horizontal="center"/>
    </xf>
    <xf numFmtId="0" fontId="93" fillId="0" borderId="103" xfId="0" applyFont="1" applyBorder="1" applyProtection="1"/>
    <xf numFmtId="191" fontId="94" fillId="0" borderId="116" xfId="0" applyNumberFormat="1" applyFont="1" applyBorder="1" applyAlignment="1" applyProtection="1">
      <alignment horizontal="center"/>
    </xf>
    <xf numFmtId="0" fontId="93" fillId="0" borderId="103" xfId="0" applyFont="1" applyFill="1" applyBorder="1" applyProtection="1"/>
    <xf numFmtId="192" fontId="94" fillId="0" borderId="116" xfId="0" applyNumberFormat="1" applyFont="1" applyBorder="1" applyAlignment="1" applyProtection="1">
      <alignment horizontal="center"/>
    </xf>
    <xf numFmtId="192" fontId="94" fillId="0" borderId="114" xfId="0" applyNumberFormat="1" applyFont="1" applyBorder="1" applyAlignment="1" applyProtection="1">
      <alignment horizontal="center"/>
    </xf>
    <xf numFmtId="0" fontId="108" fillId="0" borderId="19" xfId="0" applyFont="1" applyBorder="1" applyProtection="1"/>
    <xf numFmtId="0" fontId="94" fillId="0" borderId="1" xfId="0" applyFont="1" applyFill="1" applyBorder="1" applyProtection="1"/>
    <xf numFmtId="0" fontId="94" fillId="61" borderId="1" xfId="0" applyFont="1" applyFill="1" applyBorder="1"/>
    <xf numFmtId="164" fontId="94" fillId="61" borderId="1" xfId="0" applyNumberFormat="1" applyFont="1" applyFill="1" applyBorder="1" applyAlignment="1">
      <alignment horizontal="center" vertical="top"/>
    </xf>
    <xf numFmtId="165" fontId="93" fillId="61" borderId="1" xfId="0" applyNumberFormat="1" applyFont="1" applyFill="1" applyBorder="1"/>
    <xf numFmtId="165" fontId="94" fillId="61" borderId="1" xfId="0" applyNumberFormat="1" applyFont="1" applyFill="1" applyBorder="1" applyAlignment="1">
      <alignment horizontal="center"/>
    </xf>
    <xf numFmtId="0" fontId="106" fillId="64" borderId="0" xfId="0" applyFont="1" applyFill="1"/>
    <xf numFmtId="172" fontId="94" fillId="3" borderId="0" xfId="13330" applyNumberFormat="1" applyFont="1" applyFill="1" applyBorder="1" applyAlignment="1">
      <alignment horizontal="center" vertical="top"/>
    </xf>
    <xf numFmtId="0" fontId="109" fillId="3" borderId="0" xfId="0" applyFont="1" applyFill="1" applyBorder="1"/>
    <xf numFmtId="0" fontId="94" fillId="0" borderId="1" xfId="0" applyFont="1" applyBorder="1"/>
    <xf numFmtId="172" fontId="91" fillId="0" borderId="93" xfId="0" applyNumberFormat="1" applyFont="1" applyFill="1" applyBorder="1" applyAlignment="1">
      <alignment horizontal="left"/>
    </xf>
    <xf numFmtId="172" fontId="91" fillId="0" borderId="116" xfId="0" applyNumberFormat="1" applyFont="1" applyFill="1" applyBorder="1" applyAlignment="1">
      <alignment horizontal="left"/>
    </xf>
    <xf numFmtId="0" fontId="94" fillId="0" borderId="1" xfId="0" applyFont="1" applyFill="1" applyBorder="1"/>
    <xf numFmtId="0" fontId="94" fillId="0" borderId="103" xfId="0" applyFont="1" applyFill="1" applyBorder="1" applyProtection="1">
      <protection hidden="1"/>
    </xf>
    <xf numFmtId="174" fontId="93" fillId="0" borderId="103" xfId="0" applyNumberFormat="1" applyFont="1" applyFill="1" applyBorder="1" applyAlignment="1" applyProtection="1">
      <alignment horizontal="right"/>
      <protection hidden="1"/>
    </xf>
    <xf numFmtId="0" fontId="93" fillId="0" borderId="103" xfId="0" applyFont="1" applyFill="1" applyBorder="1" applyProtection="1">
      <protection hidden="1"/>
    </xf>
    <xf numFmtId="172" fontId="94" fillId="0" borderId="53" xfId="0" applyNumberFormat="1" applyFont="1" applyFill="1" applyBorder="1" applyAlignment="1" applyProtection="1">
      <alignment horizontal="center"/>
    </xf>
    <xf numFmtId="1" fontId="98" fillId="4" borderId="3" xfId="11" applyNumberFormat="1" applyFont="1" applyAlignment="1" applyProtection="1">
      <alignment horizontal="left"/>
      <protection locked="0"/>
    </xf>
    <xf numFmtId="172" fontId="93" fillId="0" borderId="0" xfId="0" applyNumberFormat="1" applyFont="1" applyFill="1" applyAlignment="1">
      <alignment horizontal="left"/>
    </xf>
    <xf numFmtId="174" fontId="93" fillId="0" borderId="103" xfId="0" applyNumberFormat="1" applyFont="1" applyFill="1" applyBorder="1" applyAlignment="1">
      <alignment horizontal="right"/>
    </xf>
    <xf numFmtId="174" fontId="94" fillId="0" borderId="103" xfId="0" applyNumberFormat="1" applyFont="1" applyFill="1" applyBorder="1" applyAlignment="1">
      <alignment horizontal="right"/>
    </xf>
    <xf numFmtId="172" fontId="94" fillId="0" borderId="103" xfId="0" applyNumberFormat="1" applyFont="1" applyFill="1" applyBorder="1" applyAlignment="1">
      <alignment horizontal="left"/>
    </xf>
    <xf numFmtId="174" fontId="94" fillId="0" borderId="53" xfId="0" applyNumberFormat="1" applyFont="1" applyFill="1" applyBorder="1" applyAlignment="1">
      <alignment horizontal="right"/>
    </xf>
    <xf numFmtId="0" fontId="93" fillId="63" borderId="0" xfId="0" applyFont="1" applyFill="1"/>
    <xf numFmtId="182" fontId="93" fillId="63" borderId="0" xfId="0" applyNumberFormat="1" applyFont="1" applyFill="1" applyBorder="1"/>
    <xf numFmtId="0" fontId="93" fillId="63" borderId="0" xfId="0" applyFont="1" applyFill="1" applyBorder="1" applyProtection="1"/>
    <xf numFmtId="172" fontId="93" fillId="63" borderId="0" xfId="0" applyNumberFormat="1" applyFont="1" applyFill="1" applyBorder="1" applyAlignment="1">
      <alignment horizontal="center" vertical="top"/>
    </xf>
    <xf numFmtId="0" fontId="94" fillId="63" borderId="0" xfId="0" applyFont="1" applyFill="1" applyBorder="1"/>
    <xf numFmtId="0" fontId="94" fillId="63" borderId="0" xfId="0" applyFont="1" applyFill="1" applyBorder="1" applyAlignment="1">
      <alignment horizontal="right"/>
    </xf>
    <xf numFmtId="0" fontId="94" fillId="63" borderId="0" xfId="0" applyFont="1" applyFill="1" applyBorder="1" applyAlignment="1">
      <alignment horizontal="center"/>
    </xf>
    <xf numFmtId="0" fontId="93" fillId="63" borderId="0" xfId="0" applyFont="1" applyFill="1" applyBorder="1" applyAlignment="1">
      <alignment horizontal="center" wrapText="1"/>
    </xf>
    <xf numFmtId="0" fontId="94" fillId="3" borderId="103" xfId="0" applyFont="1" applyFill="1" applyBorder="1"/>
    <xf numFmtId="172" fontId="93" fillId="3" borderId="103" xfId="0" applyNumberFormat="1" applyFont="1" applyFill="1" applyBorder="1" applyAlignment="1">
      <alignment horizontal="center" vertical="top"/>
    </xf>
    <xf numFmtId="0" fontId="93" fillId="0" borderId="0" xfId="0" applyFont="1" applyFill="1" applyAlignment="1">
      <alignment horizontal="center"/>
    </xf>
    <xf numFmtId="0" fontId="98" fillId="0" borderId="0" xfId="0" applyFont="1" applyFill="1" applyAlignment="1">
      <alignment horizontal="center"/>
    </xf>
    <xf numFmtId="174" fontId="93" fillId="0" borderId="1" xfId="0" applyNumberFormat="1" applyFont="1" applyFill="1" applyBorder="1" applyAlignment="1">
      <alignment horizontal="right"/>
    </xf>
    <xf numFmtId="0" fontId="93" fillId="0" borderId="103" xfId="0" applyFont="1" applyFill="1" applyBorder="1"/>
    <xf numFmtId="172" fontId="93" fillId="0" borderId="0" xfId="0" applyNumberFormat="1" applyFont="1" applyFill="1" applyBorder="1" applyAlignment="1">
      <alignment horizontal="left"/>
    </xf>
    <xf numFmtId="0" fontId="94" fillId="0" borderId="94" xfId="0" applyFont="1" applyFill="1" applyBorder="1"/>
    <xf numFmtId="174" fontId="94" fillId="0" borderId="94" xfId="0" applyNumberFormat="1" applyFont="1" applyFill="1" applyBorder="1" applyAlignment="1">
      <alignment horizontal="right"/>
    </xf>
    <xf numFmtId="0" fontId="94" fillId="0" borderId="1" xfId="0" applyFont="1" applyFill="1" applyBorder="1"/>
    <xf numFmtId="164" fontId="93" fillId="63" borderId="0" xfId="0" applyNumberFormat="1" applyFont="1" applyFill="1" applyBorder="1" applyAlignment="1" applyProtection="1">
      <alignment horizontal="center"/>
    </xf>
    <xf numFmtId="172" fontId="94" fillId="63" borderId="0" xfId="0" applyNumberFormat="1" applyFont="1" applyFill="1" applyBorder="1" applyAlignment="1">
      <alignment horizontal="center" vertical="top"/>
    </xf>
    <xf numFmtId="0" fontId="93" fillId="63" borderId="0" xfId="0" applyFont="1" applyFill="1" applyBorder="1"/>
    <xf numFmtId="182" fontId="93" fillId="63" borderId="0" xfId="0" applyNumberFormat="1" applyFont="1" applyFill="1" applyBorder="1" applyAlignment="1">
      <alignment horizontal="center"/>
    </xf>
    <xf numFmtId="174" fontId="94" fillId="0" borderId="103" xfId="0" applyNumberFormat="1" applyFont="1" applyFill="1" applyBorder="1" applyAlignment="1" applyProtection="1">
      <alignment horizontal="right"/>
      <protection hidden="1"/>
    </xf>
    <xf numFmtId="165" fontId="93" fillId="0" borderId="0" xfId="11" applyNumberFormat="1" applyFont="1" applyFill="1" applyBorder="1" applyAlignment="1">
      <alignment horizontal="center" vertical="top"/>
    </xf>
    <xf numFmtId="165" fontId="93" fillId="0" borderId="0" xfId="11" applyNumberFormat="1" applyFont="1" applyFill="1" applyBorder="1" applyAlignment="1" applyProtection="1">
      <alignment horizontal="center" vertical="top"/>
    </xf>
    <xf numFmtId="0" fontId="93" fillId="0" borderId="0" xfId="0" applyFont="1" applyFill="1" applyBorder="1" applyAlignment="1">
      <alignment horizontal="center" wrapText="1"/>
    </xf>
    <xf numFmtId="182" fontId="93" fillId="0" borderId="103" xfId="0" applyNumberFormat="1" applyFont="1" applyFill="1" applyBorder="1" applyAlignment="1">
      <alignment horizontal="center"/>
    </xf>
    <xf numFmtId="182" fontId="93" fillId="0" borderId="103" xfId="0" applyNumberFormat="1" applyFont="1" applyFill="1" applyBorder="1"/>
    <xf numFmtId="174" fontId="98" fillId="0" borderId="0" xfId="0" applyNumberFormat="1" applyFont="1" applyFill="1" applyBorder="1"/>
    <xf numFmtId="172" fontId="93" fillId="0" borderId="103" xfId="0" applyNumberFormat="1" applyFont="1" applyFill="1" applyBorder="1" applyAlignment="1">
      <alignment horizontal="left"/>
    </xf>
    <xf numFmtId="172" fontId="94" fillId="0" borderId="0" xfId="0" applyNumberFormat="1" applyFont="1" applyFill="1" applyBorder="1" applyAlignment="1">
      <alignment horizontal="left"/>
    </xf>
    <xf numFmtId="0" fontId="108" fillId="0" borderId="1" xfId="0" applyFont="1" applyFill="1" applyBorder="1"/>
    <xf numFmtId="174" fontId="94" fillId="0" borderId="1" xfId="0" applyNumberFormat="1" applyFont="1" applyFill="1" applyBorder="1" applyAlignment="1">
      <alignment horizontal="right"/>
    </xf>
    <xf numFmtId="1" fontId="94" fillId="0" borderId="1" xfId="0" applyNumberFormat="1" applyFont="1" applyFill="1" applyBorder="1" applyAlignment="1">
      <alignment horizontal="center"/>
    </xf>
    <xf numFmtId="172" fontId="93" fillId="0" borderId="1" xfId="0" applyNumberFormat="1" applyFont="1" applyFill="1" applyBorder="1" applyAlignment="1">
      <alignment horizontal="center" vertical="top"/>
    </xf>
    <xf numFmtId="0" fontId="108" fillId="0" borderId="103" xfId="0" applyFont="1" applyBorder="1"/>
    <xf numFmtId="174" fontId="94" fillId="0" borderId="103" xfId="0" applyNumberFormat="1" applyFont="1" applyBorder="1" applyAlignment="1">
      <alignment horizontal="right"/>
    </xf>
    <xf numFmtId="0" fontId="94" fillId="0" borderId="103" xfId="0" applyFont="1" applyBorder="1" applyProtection="1">
      <protection hidden="1"/>
    </xf>
    <xf numFmtId="174" fontId="94" fillId="0" borderId="103" xfId="0" applyNumberFormat="1" applyFont="1" applyBorder="1" applyAlignment="1" applyProtection="1">
      <alignment horizontal="right"/>
      <protection hidden="1"/>
    </xf>
    <xf numFmtId="0" fontId="93" fillId="0" borderId="103" xfId="0" applyFont="1" applyBorder="1" applyProtection="1">
      <protection hidden="1"/>
    </xf>
    <xf numFmtId="172" fontId="93" fillId="0" borderId="0" xfId="0" applyNumberFormat="1" applyFont="1" applyFill="1" applyBorder="1" applyProtection="1">
      <protection hidden="1"/>
    </xf>
    <xf numFmtId="172" fontId="94" fillId="0" borderId="103" xfId="0" applyNumberFormat="1" applyFont="1" applyFill="1" applyBorder="1" applyProtection="1">
      <protection hidden="1"/>
    </xf>
    <xf numFmtId="1" fontId="94" fillId="0" borderId="103" xfId="0" applyNumberFormat="1" applyFont="1" applyFill="1" applyBorder="1" applyAlignment="1" applyProtection="1">
      <alignment horizontal="center"/>
      <protection hidden="1"/>
    </xf>
    <xf numFmtId="0" fontId="94" fillId="0" borderId="1" xfId="0" applyFont="1" applyFill="1" applyBorder="1" applyProtection="1">
      <protection hidden="1"/>
    </xf>
    <xf numFmtId="174" fontId="94" fillId="0" borderId="1" xfId="0" applyNumberFormat="1" applyFont="1" applyFill="1" applyBorder="1" applyAlignment="1" applyProtection="1">
      <alignment horizontal="right"/>
      <protection hidden="1"/>
    </xf>
    <xf numFmtId="1" fontId="94" fillId="0" borderId="1" xfId="0" applyNumberFormat="1" applyFont="1" applyFill="1" applyBorder="1" applyAlignment="1" applyProtection="1">
      <alignment horizontal="center"/>
      <protection hidden="1"/>
    </xf>
    <xf numFmtId="0" fontId="93" fillId="0" borderId="1" xfId="0" applyFont="1" applyFill="1" applyBorder="1" applyProtection="1">
      <protection hidden="1"/>
    </xf>
    <xf numFmtId="172" fontId="93" fillId="0" borderId="0" xfId="0" applyNumberFormat="1" applyFont="1" applyFill="1" applyBorder="1" applyAlignment="1" applyProtection="1">
      <alignment horizontal="left"/>
      <protection hidden="1"/>
    </xf>
    <xf numFmtId="172" fontId="94" fillId="0" borderId="1" xfId="0" applyNumberFormat="1" applyFont="1" applyFill="1" applyBorder="1" applyProtection="1">
      <protection hidden="1"/>
    </xf>
    <xf numFmtId="174" fontId="93" fillId="0" borderId="1" xfId="0" applyNumberFormat="1" applyFont="1" applyFill="1" applyBorder="1" applyAlignment="1" applyProtection="1">
      <alignment horizontal="right"/>
      <protection hidden="1"/>
    </xf>
    <xf numFmtId="0" fontId="93" fillId="0" borderId="1" xfId="0" applyFont="1" applyBorder="1" applyProtection="1">
      <protection hidden="1"/>
    </xf>
    <xf numFmtId="174" fontId="93" fillId="0" borderId="0" xfId="0" applyNumberFormat="1" applyFont="1" applyBorder="1"/>
    <xf numFmtId="174" fontId="93" fillId="0" borderId="1" xfId="0" applyNumberFormat="1" applyFont="1" applyBorder="1"/>
    <xf numFmtId="0" fontId="93" fillId="0" borderId="94" xfId="0" applyFont="1" applyBorder="1"/>
    <xf numFmtId="174" fontId="94" fillId="0" borderId="6" xfId="0" applyNumberFormat="1" applyFont="1" applyFill="1" applyBorder="1"/>
    <xf numFmtId="0" fontId="94" fillId="65" borderId="5" xfId="0" applyFont="1" applyFill="1" applyBorder="1"/>
    <xf numFmtId="174" fontId="94" fillId="65" borderId="6" xfId="0" applyNumberFormat="1" applyFont="1" applyFill="1" applyBorder="1" applyAlignment="1">
      <alignment horizontal="right"/>
    </xf>
    <xf numFmtId="0" fontId="94" fillId="65" borderId="6" xfId="0" applyFont="1" applyFill="1" applyBorder="1"/>
    <xf numFmtId="174" fontId="93" fillId="0" borderId="0" xfId="0" applyNumberFormat="1" applyFont="1" applyBorder="1" applyAlignment="1">
      <alignment horizontal="center" vertical="top"/>
    </xf>
    <xf numFmtId="0" fontId="94" fillId="65" borderId="5" xfId="0" applyFont="1" applyFill="1" applyBorder="1" applyProtection="1"/>
    <xf numFmtId="0" fontId="93" fillId="65" borderId="6" xfId="0" applyFont="1" applyFill="1" applyBorder="1" applyProtection="1"/>
    <xf numFmtId="177" fontId="94" fillId="65" borderId="6" xfId="0" applyNumberFormat="1" applyFont="1" applyFill="1" applyBorder="1" applyAlignment="1" applyProtection="1">
      <alignment horizontal="center"/>
    </xf>
    <xf numFmtId="177" fontId="93" fillId="0" borderId="0" xfId="0" applyNumberFormat="1" applyFont="1" applyAlignment="1" applyProtection="1">
      <alignment horizontal="center"/>
    </xf>
    <xf numFmtId="0" fontId="94" fillId="65" borderId="6" xfId="0" applyFont="1" applyFill="1" applyBorder="1" applyProtection="1"/>
    <xf numFmtId="0" fontId="109" fillId="0" borderId="0" xfId="0" applyFont="1" applyFill="1" applyProtection="1"/>
    <xf numFmtId="177" fontId="109" fillId="0" borderId="0" xfId="0" applyNumberFormat="1" applyFont="1" applyProtection="1"/>
    <xf numFmtId="177" fontId="94" fillId="65" borderId="6" xfId="0" applyNumberFormat="1" applyFont="1" applyFill="1" applyBorder="1" applyProtection="1"/>
    <xf numFmtId="174" fontId="94" fillId="0" borderId="6" xfId="0" applyNumberFormat="1" applyFont="1" applyBorder="1" applyProtection="1"/>
    <xf numFmtId="174" fontId="93" fillId="0" borderId="6" xfId="0" applyNumberFormat="1" applyFont="1" applyFill="1" applyBorder="1" applyProtection="1"/>
    <xf numFmtId="174" fontId="94" fillId="0" borderId="103" xfId="33110" applyNumberFormat="1" applyFont="1" applyFill="1" applyBorder="1"/>
    <xf numFmtId="174" fontId="94" fillId="0" borderId="53" xfId="33110" applyNumberFormat="1" applyFont="1" applyFill="1" applyBorder="1"/>
    <xf numFmtId="191" fontId="94" fillId="0" borderId="0" xfId="0" applyNumberFormat="1" applyFont="1" applyAlignment="1">
      <alignment horizontal="center"/>
    </xf>
    <xf numFmtId="172" fontId="94" fillId="3" borderId="0" xfId="0" applyNumberFormat="1" applyFont="1" applyFill="1" applyBorder="1" applyAlignment="1">
      <alignment horizontal="center"/>
    </xf>
    <xf numFmtId="9" fontId="93" fillId="3" borderId="0" xfId="13330" applyFont="1" applyFill="1" applyBorder="1" applyAlignment="1">
      <alignment horizontal="center" vertical="top"/>
    </xf>
    <xf numFmtId="0" fontId="98" fillId="2" borderId="82" xfId="0" applyFont="1" applyFill="1" applyBorder="1" applyAlignment="1" applyProtection="1">
      <protection locked="0"/>
    </xf>
    <xf numFmtId="0" fontId="98" fillId="2" borderId="73" xfId="0" applyFont="1" applyFill="1" applyBorder="1" applyAlignment="1" applyProtection="1">
      <protection locked="0"/>
    </xf>
    <xf numFmtId="0" fontId="98" fillId="2" borderId="92" xfId="0" applyFont="1" applyFill="1" applyBorder="1" applyAlignment="1">
      <alignment vertical="center"/>
    </xf>
    <xf numFmtId="172" fontId="98" fillId="2" borderId="92" xfId="6628" applyNumberFormat="1" applyFont="1" applyFill="1" applyBorder="1"/>
    <xf numFmtId="172" fontId="98" fillId="2" borderId="67" xfId="6628" applyNumberFormat="1" applyFont="1" applyFill="1" applyBorder="1"/>
    <xf numFmtId="0" fontId="98" fillId="2" borderId="91" xfId="0" applyFont="1" applyFill="1" applyBorder="1" applyAlignment="1">
      <alignment vertical="center"/>
    </xf>
    <xf numFmtId="172" fontId="98" fillId="2" borderId="91" xfId="6628" applyNumberFormat="1" applyFont="1" applyFill="1" applyBorder="1"/>
    <xf numFmtId="0" fontId="109" fillId="0" borderId="0" xfId="0" applyFont="1" applyAlignment="1">
      <alignment vertical="center"/>
    </xf>
    <xf numFmtId="0" fontId="98" fillId="2" borderId="82" xfId="0" applyFont="1" applyFill="1" applyBorder="1" applyAlignment="1" applyProtection="1"/>
    <xf numFmtId="0" fontId="98" fillId="2" borderId="73" xfId="0" applyFont="1" applyFill="1" applyBorder="1" applyAlignment="1" applyProtection="1"/>
    <xf numFmtId="0" fontId="98" fillId="2" borderId="73" xfId="0" applyFont="1" applyFill="1" applyBorder="1" applyProtection="1"/>
    <xf numFmtId="0" fontId="98" fillId="2" borderId="81" xfId="0" applyFont="1" applyFill="1" applyBorder="1" applyProtection="1">
      <protection locked="0"/>
    </xf>
    <xf numFmtId="183" fontId="98" fillId="2" borderId="86" xfId="0" applyNumberFormat="1" applyFont="1" applyFill="1" applyBorder="1" applyProtection="1">
      <protection locked="0"/>
    </xf>
    <xf numFmtId="5" fontId="98" fillId="2" borderId="90" xfId="13118" applyNumberFormat="1" applyFont="1" applyFill="1" applyBorder="1" applyProtection="1">
      <protection locked="0"/>
    </xf>
    <xf numFmtId="186" fontId="98" fillId="2" borderId="73" xfId="0" applyNumberFormat="1" applyFont="1" applyFill="1" applyBorder="1" applyProtection="1">
      <protection locked="0"/>
    </xf>
    <xf numFmtId="0" fontId="98" fillId="2" borderId="81" xfId="0" applyFont="1" applyFill="1" applyBorder="1" applyAlignment="1" applyProtection="1">
      <protection locked="0"/>
    </xf>
    <xf numFmtId="186" fontId="98" fillId="2" borderId="81" xfId="0" applyNumberFormat="1" applyFont="1" applyFill="1" applyBorder="1" applyProtection="1">
      <protection locked="0"/>
    </xf>
    <xf numFmtId="5" fontId="98" fillId="2" borderId="81" xfId="13118" applyNumberFormat="1" applyFont="1" applyFill="1" applyBorder="1" applyProtection="1">
      <protection locked="0"/>
    </xf>
    <xf numFmtId="172" fontId="98" fillId="2" borderId="73" xfId="13118" applyNumberFormat="1" applyFont="1" applyFill="1" applyBorder="1" applyProtection="1"/>
    <xf numFmtId="174" fontId="98" fillId="2" borderId="92" xfId="6628" applyNumberFormat="1" applyFont="1" applyFill="1" applyBorder="1"/>
    <xf numFmtId="174" fontId="124" fillId="2" borderId="21" xfId="6" applyNumberFormat="1" applyFont="1" applyFill="1" applyBorder="1" applyProtection="1">
      <protection locked="0"/>
    </xf>
    <xf numFmtId="172" fontId="96" fillId="0" borderId="0" xfId="10" quotePrefix="1" applyNumberFormat="1" applyFont="1" applyAlignment="1" applyProtection="1">
      <alignment horizontal="center"/>
    </xf>
    <xf numFmtId="172" fontId="125" fillId="0" borderId="0" xfId="8" quotePrefix="1" applyNumberFormat="1" applyFont="1" applyAlignment="1" applyProtection="1">
      <alignment horizontal="center"/>
    </xf>
    <xf numFmtId="0" fontId="96" fillId="65" borderId="0" xfId="8" applyFont="1" applyFill="1" applyProtection="1"/>
    <xf numFmtId="44" fontId="97" fillId="65" borderId="0" xfId="8" applyNumberFormat="1" applyFont="1" applyFill="1" applyBorder="1" applyProtection="1"/>
    <xf numFmtId="173" fontId="97" fillId="65" borderId="0" xfId="8" applyNumberFormat="1" applyFont="1" applyFill="1" applyProtection="1"/>
    <xf numFmtId="0" fontId="110" fillId="0" borderId="0" xfId="0" applyFont="1" applyProtection="1"/>
    <xf numFmtId="0" fontId="98" fillId="4" borderId="117" xfId="11" applyFont="1" applyBorder="1" applyAlignment="1" applyProtection="1">
      <protection locked="0"/>
    </xf>
    <xf numFmtId="1" fontId="98" fillId="4" borderId="117" xfId="11" applyNumberFormat="1" applyFont="1" applyBorder="1" applyAlignment="1" applyProtection="1">
      <alignment horizontal="center"/>
      <protection locked="0"/>
    </xf>
    <xf numFmtId="182" fontId="98" fillId="2" borderId="117" xfId="0" applyNumberFormat="1" applyFont="1" applyFill="1" applyBorder="1" applyAlignment="1" applyProtection="1">
      <alignment horizontal="center"/>
      <protection locked="0"/>
    </xf>
    <xf numFmtId="182" fontId="98" fillId="4" borderId="117" xfId="11" applyNumberFormat="1" applyFont="1" applyBorder="1" applyAlignment="1" applyProtection="1">
      <alignment horizontal="center"/>
      <protection locked="0"/>
    </xf>
    <xf numFmtId="182" fontId="93" fillId="0" borderId="1" xfId="0" applyNumberFormat="1" applyFont="1" applyFill="1" applyBorder="1" applyAlignment="1">
      <alignment horizontal="center"/>
    </xf>
    <xf numFmtId="164" fontId="93" fillId="0" borderId="1" xfId="0" applyNumberFormat="1" applyFont="1" applyFill="1" applyBorder="1" applyAlignment="1" applyProtection="1">
      <alignment horizontal="center"/>
    </xf>
    <xf numFmtId="0" fontId="98" fillId="4" borderId="98" xfId="11" applyFont="1" applyBorder="1" applyAlignment="1" applyProtection="1">
      <protection locked="0"/>
    </xf>
    <xf numFmtId="1" fontId="98" fillId="2" borderId="98" xfId="0" applyNumberFormat="1" applyFont="1" applyFill="1" applyBorder="1" applyAlignment="1" applyProtection="1">
      <alignment horizontal="center"/>
      <protection locked="0"/>
    </xf>
    <xf numFmtId="182" fontId="98" fillId="4" borderId="98" xfId="11" applyNumberFormat="1" applyFont="1" applyBorder="1" applyAlignment="1" applyProtection="1">
      <alignment horizontal="center"/>
      <protection locked="0"/>
    </xf>
    <xf numFmtId="1" fontId="98" fillId="4" borderId="99" xfId="11" applyNumberFormat="1" applyFont="1" applyBorder="1" applyAlignment="1" applyProtection="1">
      <alignment horizontal="left"/>
      <protection locked="0"/>
    </xf>
    <xf numFmtId="174" fontId="98" fillId="4" borderId="99" xfId="11" applyNumberFormat="1" applyFont="1" applyBorder="1" applyAlignment="1" applyProtection="1">
      <alignment horizontal="center"/>
      <protection locked="0"/>
    </xf>
    <xf numFmtId="172" fontId="108" fillId="0" borderId="0" xfId="0" applyNumberFormat="1" applyFont="1" applyFill="1" applyBorder="1" applyAlignment="1">
      <alignment horizontal="center"/>
    </xf>
    <xf numFmtId="3" fontId="98" fillId="4" borderId="3" xfId="11" applyNumberFormat="1" applyFont="1" applyAlignment="1" applyProtection="1">
      <alignment horizontal="center" vertical="top"/>
      <protection locked="0"/>
    </xf>
    <xf numFmtId="165" fontId="98" fillId="4" borderId="3" xfId="11" applyNumberFormat="1" applyFont="1" applyAlignment="1" applyProtection="1">
      <alignment horizontal="center"/>
      <protection locked="0"/>
    </xf>
    <xf numFmtId="0" fontId="98" fillId="4" borderId="3" xfId="11" applyNumberFormat="1" applyFont="1" applyAlignment="1" applyProtection="1">
      <alignment horizontal="center"/>
      <protection locked="0"/>
    </xf>
    <xf numFmtId="187" fontId="96" fillId="0" borderId="115" xfId="6628" applyNumberFormat="1" applyFont="1" applyBorder="1"/>
    <xf numFmtId="195" fontId="96" fillId="0" borderId="22" xfId="6628" applyNumberFormat="1" applyFont="1" applyBorder="1"/>
    <xf numFmtId="0" fontId="92" fillId="0" borderId="103" xfId="0" applyFont="1" applyBorder="1" applyAlignment="1" applyProtection="1">
      <protection locked="0"/>
    </xf>
    <xf numFmtId="174" fontId="92" fillId="0" borderId="103" xfId="13118" applyNumberFormat="1" applyFont="1" applyFill="1" applyBorder="1" applyProtection="1"/>
    <xf numFmtId="174" fontId="92" fillId="0" borderId="0" xfId="13118" applyNumberFormat="1" applyFont="1" applyFill="1" applyBorder="1" applyProtection="1"/>
    <xf numFmtId="0" fontId="98" fillId="2" borderId="67" xfId="0" applyFont="1" applyFill="1" applyBorder="1" applyAlignment="1" applyProtection="1">
      <protection locked="0"/>
    </xf>
    <xf numFmtId="186" fontId="98" fillId="2" borderId="67" xfId="0" applyNumberFormat="1" applyFont="1" applyFill="1" applyBorder="1" applyProtection="1">
      <protection locked="0"/>
    </xf>
    <xf numFmtId="5" fontId="98" fillId="2" borderId="67" xfId="13118" applyNumberFormat="1" applyFont="1" applyFill="1" applyBorder="1" applyProtection="1">
      <protection locked="0"/>
    </xf>
    <xf numFmtId="172" fontId="92" fillId="0" borderId="67" xfId="13118" applyNumberFormat="1" applyFont="1" applyFill="1" applyBorder="1" applyProtection="1"/>
    <xf numFmtId="8" fontId="98" fillId="4" borderId="3" xfId="11" applyNumberFormat="1" applyFont="1" applyAlignment="1" applyProtection="1">
      <alignment horizontal="center"/>
      <protection locked="0"/>
    </xf>
    <xf numFmtId="3" fontId="98" fillId="2" borderId="33" xfId="11" applyNumberFormat="1" applyFont="1" applyFill="1" applyBorder="1" applyAlignment="1" applyProtection="1">
      <alignment horizontal="center"/>
      <protection locked="0"/>
    </xf>
    <xf numFmtId="181" fontId="105" fillId="4" borderId="3" xfId="11" applyNumberFormat="1" applyFont="1" applyAlignment="1" applyProtection="1">
      <alignment horizontal="center"/>
      <protection locked="0"/>
    </xf>
    <xf numFmtId="190" fontId="98" fillId="4" borderId="3" xfId="11" applyNumberFormat="1" applyFont="1" applyAlignment="1" applyProtection="1">
      <alignment horizontal="center"/>
      <protection locked="0"/>
    </xf>
    <xf numFmtId="6" fontId="98" fillId="2" borderId="0" xfId="0" applyNumberFormat="1" applyFont="1" applyFill="1" applyBorder="1" applyAlignment="1" applyProtection="1">
      <alignment horizontal="center"/>
    </xf>
    <xf numFmtId="172" fontId="110" fillId="0" borderId="0" xfId="0" applyNumberFormat="1" applyFont="1" applyAlignment="1">
      <alignment horizontal="center"/>
    </xf>
    <xf numFmtId="172" fontId="94" fillId="0" borderId="0" xfId="0" applyNumberFormat="1" applyFont="1" applyFill="1" applyAlignment="1">
      <alignment horizontal="center" vertical="top"/>
    </xf>
    <xf numFmtId="6" fontId="93" fillId="0" borderId="103" xfId="0" applyNumberFormat="1" applyFont="1" applyBorder="1" applyAlignment="1">
      <alignment horizontal="center"/>
    </xf>
    <xf numFmtId="6" fontId="93" fillId="0" borderId="103" xfId="0" applyNumberFormat="1" applyFont="1" applyFill="1" applyBorder="1" applyAlignment="1">
      <alignment horizontal="center"/>
    </xf>
    <xf numFmtId="44" fontId="93" fillId="0" borderId="103" xfId="33110" applyFont="1" applyFill="1" applyBorder="1"/>
    <xf numFmtId="172" fontId="124" fillId="2" borderId="21" xfId="6" applyNumberFormat="1" applyFont="1" applyFill="1" applyBorder="1" applyProtection="1">
      <protection locked="0"/>
    </xf>
    <xf numFmtId="172" fontId="124" fillId="2" borderId="24" xfId="6" applyNumberFormat="1" applyFont="1" applyFill="1" applyBorder="1" applyProtection="1">
      <protection locked="0"/>
    </xf>
    <xf numFmtId="172" fontId="124" fillId="2" borderId="21" xfId="6" applyNumberFormat="1" applyFont="1" applyFill="1" applyBorder="1" applyAlignment="1" applyProtection="1">
      <protection locked="0"/>
    </xf>
    <xf numFmtId="172" fontId="124" fillId="2" borderId="24" xfId="6" applyNumberFormat="1" applyFont="1" applyFill="1" applyBorder="1" applyAlignment="1" applyProtection="1">
      <protection locked="0"/>
    </xf>
    <xf numFmtId="172" fontId="124" fillId="2" borderId="22" xfId="6" applyNumberFormat="1" applyFont="1" applyFill="1" applyBorder="1" applyAlignment="1" applyProtection="1">
      <protection locked="0"/>
    </xf>
    <xf numFmtId="172" fontId="124" fillId="2" borderId="19" xfId="6" applyNumberFormat="1" applyFont="1" applyFill="1" applyBorder="1" applyProtection="1">
      <protection locked="0"/>
    </xf>
    <xf numFmtId="172" fontId="93" fillId="68" borderId="0" xfId="0" applyNumberFormat="1" applyFont="1" applyFill="1" applyBorder="1" applyAlignment="1">
      <alignment horizontal="center" vertical="top"/>
    </xf>
    <xf numFmtId="172" fontId="91" fillId="0" borderId="0" xfId="0" applyNumberFormat="1" applyFont="1" applyFill="1" applyBorder="1" applyAlignment="1">
      <alignment horizontal="center"/>
    </xf>
    <xf numFmtId="0" fontId="94" fillId="0" borderId="0" xfId="0" applyFont="1" applyFill="1" applyBorder="1" applyAlignment="1">
      <alignment horizontal="center" wrapText="1"/>
    </xf>
    <xf numFmtId="0" fontId="109" fillId="3" borderId="107" xfId="0" applyFont="1" applyFill="1" applyBorder="1"/>
    <xf numFmtId="0" fontId="104" fillId="0" borderId="103" xfId="33111" applyFont="1" applyFill="1" applyBorder="1" applyAlignment="1">
      <alignment horizontal="left"/>
    </xf>
    <xf numFmtId="0" fontId="104" fillId="0" borderId="103" xfId="33111" applyFont="1" applyFill="1" applyBorder="1" applyAlignment="1"/>
    <xf numFmtId="172" fontId="96" fillId="0" borderId="103" xfId="8" applyNumberFormat="1" applyFont="1" applyBorder="1"/>
    <xf numFmtId="172" fontId="97" fillId="0" borderId="103" xfId="8" applyNumberFormat="1" applyFont="1" applyBorder="1"/>
    <xf numFmtId="172" fontId="119" fillId="0" borderId="105" xfId="8" applyNumberFormat="1" applyFont="1" applyBorder="1"/>
    <xf numFmtId="0" fontId="104" fillId="0" borderId="103" xfId="33111" applyFont="1" applyFill="1" applyBorder="1" applyAlignment="1">
      <alignment horizontal="center" vertical="center" wrapText="1"/>
    </xf>
    <xf numFmtId="0" fontId="93" fillId="0" borderId="107" xfId="0" applyFont="1" applyBorder="1" applyAlignment="1">
      <alignment horizontal="left" indent="1"/>
    </xf>
    <xf numFmtId="0" fontId="93" fillId="0" borderId="24" xfId="0" applyFont="1" applyBorder="1" applyAlignment="1">
      <alignment horizontal="left" indent="1"/>
    </xf>
    <xf numFmtId="0" fontId="93" fillId="0" borderId="19" xfId="0" applyFont="1" applyBorder="1" applyAlignment="1">
      <alignment horizontal="left" indent="1"/>
    </xf>
    <xf numFmtId="172" fontId="93" fillId="0" borderId="1" xfId="0" applyNumberFormat="1" applyFont="1" applyBorder="1"/>
    <xf numFmtId="0" fontId="93" fillId="0" borderId="120" xfId="0" applyFont="1" applyBorder="1" applyAlignment="1">
      <alignment horizontal="left" indent="1"/>
    </xf>
    <xf numFmtId="0" fontId="94" fillId="3" borderId="116" xfId="0" applyFont="1" applyFill="1" applyBorder="1" applyAlignment="1">
      <alignment wrapText="1"/>
    </xf>
    <xf numFmtId="0" fontId="94" fillId="3" borderId="116" xfId="0" applyFont="1" applyFill="1" applyBorder="1" applyAlignment="1">
      <alignment horizontal="right"/>
    </xf>
    <xf numFmtId="0" fontId="94" fillId="3" borderId="116" xfId="0" applyFont="1" applyFill="1" applyBorder="1" applyAlignment="1">
      <alignment horizontal="right" wrapText="1"/>
    </xf>
    <xf numFmtId="0" fontId="94" fillId="0" borderId="116" xfId="0" applyFont="1" applyFill="1" applyBorder="1" applyAlignment="1">
      <alignment horizontal="right"/>
    </xf>
    <xf numFmtId="0" fontId="94" fillId="0" borderId="116" xfId="0" applyFont="1" applyBorder="1" applyAlignment="1">
      <alignment horizontal="right" wrapText="1"/>
    </xf>
    <xf numFmtId="0" fontId="94" fillId="0" borderId="114" xfId="0" applyFont="1" applyFill="1" applyBorder="1" applyAlignment="1">
      <alignment horizontal="center" wrapText="1"/>
    </xf>
    <xf numFmtId="172" fontId="93" fillId="0" borderId="103" xfId="0" applyNumberFormat="1" applyFont="1" applyBorder="1"/>
    <xf numFmtId="0" fontId="108" fillId="0" borderId="0" xfId="0" applyFont="1" applyBorder="1" applyAlignment="1">
      <alignment horizontal="left" indent="1"/>
    </xf>
    <xf numFmtId="0" fontId="127" fillId="0" borderId="0" xfId="33112" applyFill="1" applyBorder="1" applyAlignment="1">
      <alignment horizontal="left" vertical="top"/>
    </xf>
    <xf numFmtId="0" fontId="89" fillId="0" borderId="0" xfId="33112" applyFont="1" applyFill="1" applyBorder="1" applyAlignment="1">
      <alignment horizontal="left" vertical="top"/>
    </xf>
    <xf numFmtId="0" fontId="88" fillId="0" borderId="0" xfId="33112" applyFont="1" applyFill="1" applyBorder="1" applyAlignment="1">
      <alignment horizontal="left" vertical="top"/>
    </xf>
    <xf numFmtId="0" fontId="90" fillId="66" borderId="0" xfId="33112" applyFont="1" applyFill="1" applyBorder="1" applyAlignment="1">
      <alignment horizontal="left" vertical="top"/>
    </xf>
    <xf numFmtId="0" fontId="66" fillId="7" borderId="0" xfId="33112" applyFont="1" applyFill="1" applyBorder="1" applyAlignment="1">
      <alignment horizontal="left" vertical="top"/>
    </xf>
    <xf numFmtId="0" fontId="93" fillId="0" borderId="103" xfId="33112" applyFont="1" applyFill="1" applyBorder="1" applyAlignment="1">
      <alignment horizontal="left" vertical="top" wrapText="1"/>
    </xf>
    <xf numFmtId="172" fontId="93" fillId="0" borderId="103" xfId="33112" applyNumberFormat="1" applyFont="1" applyFill="1" applyBorder="1" applyAlignment="1">
      <alignment horizontal="right" vertical="top" wrapText="1"/>
    </xf>
    <xf numFmtId="0" fontId="93" fillId="0" borderId="103" xfId="33112" applyFont="1" applyFill="1" applyBorder="1" applyAlignment="1">
      <alignment horizontal="right" vertical="top" wrapText="1"/>
    </xf>
    <xf numFmtId="0" fontId="93" fillId="0" borderId="1" xfId="33112" applyFont="1" applyFill="1" applyBorder="1" applyAlignment="1">
      <alignment horizontal="left" vertical="top" wrapText="1"/>
    </xf>
    <xf numFmtId="172" fontId="93" fillId="0" borderId="1" xfId="33112" applyNumberFormat="1" applyFont="1" applyFill="1" applyBorder="1" applyAlignment="1">
      <alignment horizontal="right" vertical="top" wrapText="1"/>
    </xf>
    <xf numFmtId="0" fontId="93" fillId="0" borderId="1" xfId="33112" applyFont="1" applyFill="1" applyBorder="1" applyAlignment="1">
      <alignment horizontal="right" vertical="top" wrapText="1"/>
    </xf>
    <xf numFmtId="0" fontId="129" fillId="0" borderId="0" xfId="33112" applyFont="1" applyFill="1" applyBorder="1" applyAlignment="1">
      <alignment vertical="top" wrapText="1"/>
    </xf>
    <xf numFmtId="197" fontId="92" fillId="0" borderId="150" xfId="33112" applyNumberFormat="1" applyFont="1" applyFill="1" applyBorder="1" applyAlignment="1">
      <alignment horizontal="right" vertical="top" wrapText="1"/>
    </xf>
    <xf numFmtId="0" fontId="92" fillId="0" borderId="151" xfId="33112" applyFont="1" applyFill="1" applyBorder="1" applyAlignment="1">
      <alignment horizontal="left" vertical="top" wrapText="1"/>
    </xf>
    <xf numFmtId="0" fontId="93" fillId="0" borderId="103" xfId="33112" applyFont="1" applyFill="1" applyBorder="1" applyAlignment="1">
      <alignment vertical="top" wrapText="1"/>
    </xf>
    <xf numFmtId="172" fontId="93" fillId="0" borderId="103" xfId="33112" applyNumberFormat="1" applyFont="1" applyFill="1" applyBorder="1" applyAlignment="1">
      <alignment vertical="top" wrapText="1"/>
    </xf>
    <xf numFmtId="0" fontId="93" fillId="69" borderId="145" xfId="33112" applyFont="1" applyFill="1" applyBorder="1" applyAlignment="1">
      <alignment vertical="center" wrapText="1"/>
    </xf>
    <xf numFmtId="172" fontId="93" fillId="69" borderId="145" xfId="33112" applyNumberFormat="1" applyFont="1" applyFill="1" applyBorder="1" applyAlignment="1">
      <alignment vertical="center" wrapText="1"/>
    </xf>
    <xf numFmtId="172" fontId="93" fillId="69" borderId="147" xfId="33112" applyNumberFormat="1" applyFont="1" applyFill="1" applyBorder="1" applyAlignment="1">
      <alignment vertical="center" wrapText="1"/>
    </xf>
    <xf numFmtId="0" fontId="93" fillId="0" borderId="152" xfId="33112" applyFont="1" applyFill="1" applyBorder="1" applyAlignment="1">
      <alignment horizontal="left" vertical="top" wrapText="1"/>
    </xf>
    <xf numFmtId="0" fontId="93" fillId="0" borderId="153" xfId="33112" applyFont="1" applyFill="1" applyBorder="1" applyAlignment="1">
      <alignment vertical="top" wrapText="1"/>
    </xf>
    <xf numFmtId="0" fontId="93" fillId="0" borderId="148" xfId="33112" applyFont="1" applyFill="1" applyBorder="1" applyAlignment="1">
      <alignment horizontal="left" vertical="top" wrapText="1"/>
    </xf>
    <xf numFmtId="0" fontId="93" fillId="0" borderId="149" xfId="33112" applyFont="1" applyFill="1" applyBorder="1" applyAlignment="1">
      <alignment vertical="top" wrapText="1"/>
    </xf>
    <xf numFmtId="0" fontId="66" fillId="63" borderId="146" xfId="33112" applyFont="1" applyFill="1" applyBorder="1" applyAlignment="1">
      <alignment horizontal="left" vertical="top" wrapText="1"/>
    </xf>
    <xf numFmtId="0" fontId="93" fillId="69" borderId="156" xfId="33112" applyFont="1" applyFill="1" applyBorder="1" applyAlignment="1">
      <alignment vertical="center" wrapText="1"/>
    </xf>
    <xf numFmtId="0" fontId="66" fillId="63" borderId="157" xfId="33112" applyFont="1" applyFill="1" applyBorder="1" applyAlignment="1">
      <alignment horizontal="center" vertical="top" wrapText="1"/>
    </xf>
    <xf numFmtId="0" fontId="66" fillId="63" borderId="158" xfId="33112" applyFont="1" applyFill="1" applyBorder="1" applyAlignment="1">
      <alignment horizontal="center" vertical="top" wrapText="1"/>
    </xf>
    <xf numFmtId="0" fontId="66" fillId="63" borderId="159" xfId="33112" applyFont="1" applyFill="1" applyBorder="1" applyAlignment="1">
      <alignment horizontal="center" vertical="top" wrapText="1"/>
    </xf>
    <xf numFmtId="181" fontId="93" fillId="69" borderId="145" xfId="33112" applyNumberFormat="1" applyFont="1" applyFill="1" applyBorder="1" applyAlignment="1">
      <alignment vertical="center" wrapText="1"/>
    </xf>
    <xf numFmtId="0" fontId="130" fillId="0" borderId="99" xfId="33112" applyFont="1" applyFill="1" applyBorder="1" applyAlignment="1">
      <alignment horizontal="center" vertical="top"/>
    </xf>
    <xf numFmtId="0" fontId="128" fillId="0" borderId="0" xfId="33112" applyFont="1" applyFill="1" applyBorder="1" applyAlignment="1">
      <alignment horizontal="left" vertical="top" wrapText="1"/>
    </xf>
    <xf numFmtId="172" fontId="130" fillId="0" borderId="99" xfId="33112" applyNumberFormat="1" applyFont="1" applyFill="1" applyBorder="1" applyAlignment="1">
      <alignment horizontal="center" vertical="top"/>
    </xf>
    <xf numFmtId="0" fontId="131" fillId="0" borderId="0" xfId="33112" applyFont="1" applyFill="1" applyBorder="1" applyAlignment="1">
      <alignment horizontal="left" vertical="top"/>
    </xf>
    <xf numFmtId="181" fontId="91" fillId="0" borderId="154" xfId="33112" applyNumberFormat="1" applyFont="1" applyFill="1" applyBorder="1" applyAlignment="1">
      <alignment horizontal="right" vertical="top" wrapText="1"/>
    </xf>
    <xf numFmtId="0" fontId="91" fillId="0" borderId="155" xfId="33112" applyFont="1" applyFill="1" applyBorder="1" applyAlignment="1">
      <alignment horizontal="left" vertical="top" wrapText="1"/>
    </xf>
    <xf numFmtId="38" fontId="97" fillId="0" borderId="115" xfId="6" applyNumberFormat="1" applyFont="1" applyBorder="1" applyProtection="1"/>
    <xf numFmtId="0" fontId="96" fillId="0" borderId="0" xfId="8" applyFont="1" applyAlignment="1" applyProtection="1">
      <alignment horizontal="center"/>
    </xf>
    <xf numFmtId="172" fontId="98" fillId="0" borderId="3" xfId="11" applyNumberFormat="1" applyFont="1" applyFill="1" applyAlignment="1" applyProtection="1">
      <alignment horizontal="center"/>
      <protection locked="0"/>
    </xf>
    <xf numFmtId="0" fontId="93" fillId="0" borderId="0" xfId="0" applyFont="1" applyFill="1" applyBorder="1" applyAlignment="1" applyProtection="1">
      <alignment horizontal="right"/>
    </xf>
    <xf numFmtId="175" fontId="93" fillId="0" borderId="0" xfId="0" applyNumberFormat="1" applyFont="1" applyFill="1"/>
    <xf numFmtId="0" fontId="108" fillId="69" borderId="0" xfId="0" applyFont="1" applyFill="1" applyProtection="1"/>
    <xf numFmtId="0" fontId="94" fillId="69" borderId="0" xfId="0" applyFont="1" applyFill="1" applyProtection="1"/>
    <xf numFmtId="175" fontId="98" fillId="4" borderId="3" xfId="11" applyNumberFormat="1" applyFont="1" applyAlignment="1" applyProtection="1">
      <alignment horizontal="center"/>
      <protection locked="0"/>
    </xf>
    <xf numFmtId="0" fontId="94" fillId="0" borderId="0" xfId="0" applyFont="1" applyBorder="1" applyAlignment="1" applyProtection="1">
      <alignment horizontal="center"/>
    </xf>
    <xf numFmtId="0" fontId="93" fillId="63" borderId="103" xfId="0" applyFont="1" applyFill="1" applyBorder="1" applyAlignment="1">
      <alignment horizontal="center" wrapText="1"/>
    </xf>
    <xf numFmtId="0" fontId="93" fillId="63" borderId="103" xfId="0" applyFont="1" applyFill="1" applyBorder="1"/>
    <xf numFmtId="0" fontId="94" fillId="0" borderId="146" xfId="33112" applyFont="1" applyFill="1" applyBorder="1" applyAlignment="1">
      <alignment horizontal="left" vertical="center" wrapText="1"/>
    </xf>
    <xf numFmtId="0" fontId="93" fillId="0" borderId="146" xfId="33112" applyFont="1" applyFill="1" applyBorder="1" applyAlignment="1">
      <alignment horizontal="left" vertical="center" wrapText="1"/>
    </xf>
    <xf numFmtId="0" fontId="93" fillId="0" borderId="164" xfId="33112" applyFont="1" applyFill="1" applyBorder="1" applyAlignment="1">
      <alignment horizontal="left" vertical="center" wrapText="1"/>
    </xf>
    <xf numFmtId="0" fontId="93" fillId="69" borderId="165" xfId="33112" applyFont="1" applyFill="1" applyBorder="1" applyAlignment="1">
      <alignment vertical="center" wrapText="1"/>
    </xf>
    <xf numFmtId="0" fontId="93" fillId="0" borderId="166" xfId="33112" applyFont="1" applyFill="1" applyBorder="1" applyAlignment="1">
      <alignment vertical="center" wrapText="1"/>
    </xf>
    <xf numFmtId="0" fontId="93" fillId="69" borderId="167" xfId="33112" applyFont="1" applyFill="1" applyBorder="1" applyAlignment="1">
      <alignment vertical="center" wrapText="1"/>
    </xf>
    <xf numFmtId="0" fontId="93" fillId="0" borderId="168" xfId="33112" applyFont="1" applyFill="1" applyBorder="1" applyAlignment="1">
      <alignment vertical="center" wrapText="1"/>
    </xf>
    <xf numFmtId="172" fontId="93" fillId="0" borderId="168" xfId="33112" applyNumberFormat="1" applyFont="1" applyFill="1" applyBorder="1" applyAlignment="1">
      <alignment vertical="center" wrapText="1"/>
    </xf>
    <xf numFmtId="172" fontId="92" fillId="0" borderId="168" xfId="33112" quotePrefix="1" applyNumberFormat="1" applyFont="1" applyFill="1" applyBorder="1" applyAlignment="1">
      <alignment vertical="center" wrapText="1"/>
    </xf>
    <xf numFmtId="0" fontId="93" fillId="69" borderId="169" xfId="33112" applyFont="1" applyFill="1" applyBorder="1" applyAlignment="1">
      <alignment vertical="center" wrapText="1"/>
    </xf>
    <xf numFmtId="0" fontId="93" fillId="0" borderId="107" xfId="33112" applyFont="1" applyFill="1" applyBorder="1" applyAlignment="1">
      <alignment vertical="top" wrapText="1"/>
    </xf>
    <xf numFmtId="0" fontId="93" fillId="0" borderId="105" xfId="33112" applyFont="1" applyFill="1" applyBorder="1" applyAlignment="1">
      <alignment vertical="top" wrapText="1"/>
    </xf>
    <xf numFmtId="0" fontId="93" fillId="0" borderId="20" xfId="33112" applyFont="1" applyFill="1" applyBorder="1" applyAlignment="1">
      <alignment horizontal="left" vertical="center"/>
    </xf>
    <xf numFmtId="0" fontId="93" fillId="0" borderId="167" xfId="33112" applyFont="1" applyFill="1" applyBorder="1" applyAlignment="1">
      <alignment horizontal="right" vertical="center" wrapText="1"/>
    </xf>
    <xf numFmtId="0" fontId="93" fillId="0" borderId="123" xfId="33112" applyFont="1" applyFill="1" applyBorder="1" applyAlignment="1">
      <alignment horizontal="left" vertical="center"/>
    </xf>
    <xf numFmtId="172" fontId="93" fillId="0" borderId="123" xfId="33112" applyNumberFormat="1" applyFont="1" applyFill="1" applyBorder="1" applyAlignment="1">
      <alignment horizontal="right" vertical="center"/>
    </xf>
    <xf numFmtId="0" fontId="98" fillId="0" borderId="167" xfId="33112" applyFont="1" applyFill="1" applyBorder="1" applyAlignment="1">
      <alignment horizontal="right" vertical="center" wrapText="1"/>
    </xf>
    <xf numFmtId="181" fontId="93" fillId="0" borderId="168" xfId="33112" applyNumberFormat="1" applyFont="1" applyFill="1" applyBorder="1" applyAlignment="1">
      <alignment horizontal="right" vertical="center" wrapText="1"/>
    </xf>
    <xf numFmtId="172" fontId="93" fillId="0" borderId="168" xfId="33112" applyNumberFormat="1" applyFont="1" applyFill="1" applyBorder="1" applyAlignment="1">
      <alignment horizontal="right" vertical="center" wrapText="1"/>
    </xf>
    <xf numFmtId="172" fontId="93" fillId="0" borderId="174" xfId="33112" applyNumberFormat="1" applyFont="1" applyFill="1" applyBorder="1" applyAlignment="1">
      <alignment horizontal="right" vertical="center" wrapText="1"/>
    </xf>
    <xf numFmtId="0" fontId="93" fillId="0" borderId="168" xfId="33112" applyFont="1" applyFill="1" applyBorder="1" applyAlignment="1">
      <alignment horizontal="right" vertical="center" wrapText="1"/>
    </xf>
    <xf numFmtId="0" fontId="93" fillId="0" borderId="137" xfId="33112" applyFont="1" applyFill="1" applyBorder="1" applyAlignment="1">
      <alignment horizontal="right" vertical="center" wrapText="1"/>
    </xf>
    <xf numFmtId="0" fontId="93" fillId="0" borderId="123" xfId="33112" applyFont="1" applyFill="1" applyBorder="1" applyAlignment="1">
      <alignment horizontal="right" vertical="center" wrapText="1"/>
    </xf>
    <xf numFmtId="0" fontId="93" fillId="0" borderId="1" xfId="33112" applyFont="1" applyFill="1" applyBorder="1" applyAlignment="1">
      <alignment vertical="top" wrapText="1"/>
    </xf>
    <xf numFmtId="0" fontId="127" fillId="0" borderId="1" xfId="33112" applyFont="1" applyFill="1" applyBorder="1" applyAlignment="1">
      <alignment horizontal="left" vertical="top"/>
    </xf>
    <xf numFmtId="0" fontId="93" fillId="0" borderId="19" xfId="33112" quotePrefix="1" applyFont="1" applyFill="1" applyBorder="1" applyAlignment="1">
      <alignment vertical="top" wrapText="1"/>
    </xf>
    <xf numFmtId="172" fontId="93" fillId="0" borderId="1" xfId="33112" quotePrefix="1" applyNumberFormat="1" applyFont="1" applyFill="1" applyBorder="1" applyAlignment="1">
      <alignment vertical="top" wrapText="1"/>
    </xf>
    <xf numFmtId="174" fontId="98" fillId="4" borderId="3" xfId="11" applyNumberFormat="1" applyFont="1" applyAlignment="1" applyProtection="1">
      <alignment horizontal="right"/>
      <protection locked="0"/>
    </xf>
    <xf numFmtId="174" fontId="93" fillId="0" borderId="0" xfId="0" applyNumberFormat="1" applyFont="1" applyAlignment="1" applyProtection="1">
      <alignment horizontal="right"/>
    </xf>
    <xf numFmtId="172" fontId="93" fillId="0" borderId="0" xfId="0" applyNumberFormat="1" applyFont="1" applyAlignment="1" applyProtection="1">
      <alignment horizontal="right"/>
    </xf>
    <xf numFmtId="0" fontId="94" fillId="63" borderId="1" xfId="0" applyFont="1" applyFill="1" applyBorder="1" applyProtection="1"/>
    <xf numFmtId="0" fontId="93" fillId="63" borderId="1" xfId="0" applyFont="1" applyFill="1" applyBorder="1" applyProtection="1"/>
    <xf numFmtId="3" fontId="94" fillId="63" borderId="1" xfId="11" applyNumberFormat="1" applyFont="1" applyFill="1" applyBorder="1" applyAlignment="1" applyProtection="1">
      <alignment horizontal="center"/>
    </xf>
    <xf numFmtId="174" fontId="93" fillId="0" borderId="0" xfId="0" applyNumberFormat="1" applyFont="1" applyFill="1" applyBorder="1" applyAlignment="1">
      <alignment horizontal="center" vertical="top"/>
    </xf>
    <xf numFmtId="0" fontId="93" fillId="69" borderId="0" xfId="0" applyFont="1" applyFill="1" applyProtection="1"/>
    <xf numFmtId="172" fontId="93" fillId="69" borderId="0" xfId="0" applyNumberFormat="1" applyFont="1" applyFill="1" applyProtection="1"/>
    <xf numFmtId="0" fontId="97" fillId="69" borderId="0" xfId="8" applyFont="1" applyFill="1" applyProtection="1"/>
    <xf numFmtId="0" fontId="97" fillId="69" borderId="0" xfId="0" applyFont="1" applyFill="1" applyProtection="1"/>
    <xf numFmtId="0" fontId="93" fillId="69" borderId="1" xfId="0" applyFont="1" applyFill="1" applyBorder="1" applyProtection="1"/>
    <xf numFmtId="177" fontId="94" fillId="0" borderId="6" xfId="0" quotePrefix="1" applyNumberFormat="1" applyFont="1" applyBorder="1" applyAlignment="1" applyProtection="1">
      <alignment horizontal="center"/>
    </xf>
    <xf numFmtId="174" fontId="94" fillId="65" borderId="5" xfId="0" applyNumberFormat="1" applyFont="1" applyFill="1" applyBorder="1" applyProtection="1"/>
    <xf numFmtId="174" fontId="94" fillId="0" borderId="103" xfId="0" applyNumberFormat="1" applyFont="1" applyFill="1" applyBorder="1"/>
    <xf numFmtId="174" fontId="93" fillId="0" borderId="0" xfId="0" applyNumberFormat="1" applyFont="1" applyBorder="1" applyProtection="1"/>
    <xf numFmtId="172" fontId="93" fillId="0" borderId="0" xfId="0" applyNumberFormat="1" applyFont="1" applyBorder="1" applyProtection="1"/>
    <xf numFmtId="191" fontId="94" fillId="0" borderId="24" xfId="0" applyNumberFormat="1" applyFont="1" applyBorder="1" applyAlignment="1" applyProtection="1">
      <alignment horizontal="center"/>
    </xf>
    <xf numFmtId="174" fontId="98" fillId="2" borderId="137" xfId="0" applyNumberFormat="1" applyFont="1" applyFill="1" applyBorder="1" applyProtection="1"/>
    <xf numFmtId="172" fontId="98" fillId="2" borderId="137" xfId="0" applyNumberFormat="1" applyFont="1" applyFill="1" applyBorder="1" applyProtection="1"/>
    <xf numFmtId="172" fontId="98" fillId="2" borderId="176" xfId="0" applyNumberFormat="1" applyFont="1" applyFill="1" applyBorder="1" applyProtection="1"/>
    <xf numFmtId="174" fontId="108" fillId="65" borderId="53" xfId="0" applyNumberFormat="1" applyFont="1" applyFill="1" applyBorder="1" applyProtection="1"/>
    <xf numFmtId="174" fontId="108" fillId="65" borderId="175" xfId="0" applyNumberFormat="1" applyFont="1" applyFill="1" applyBorder="1" applyProtection="1"/>
    <xf numFmtId="174" fontId="108" fillId="65" borderId="103" xfId="0" applyNumberFormat="1" applyFont="1" applyFill="1" applyBorder="1" applyProtection="1"/>
    <xf numFmtId="175" fontId="93" fillId="68" borderId="0" xfId="0" applyNumberFormat="1" applyFont="1" applyFill="1" applyBorder="1" applyAlignment="1">
      <alignment horizontal="center" vertical="top"/>
    </xf>
    <xf numFmtId="0" fontId="0" fillId="69" borderId="0" xfId="0" applyFill="1"/>
    <xf numFmtId="193" fontId="93" fillId="0" borderId="0" xfId="0" applyNumberFormat="1" applyFont="1" applyAlignment="1">
      <alignment horizontal="center" vertical="top"/>
    </xf>
    <xf numFmtId="174" fontId="94" fillId="0" borderId="32" xfId="0" applyNumberFormat="1" applyFont="1" applyBorder="1" applyAlignment="1">
      <alignment horizontal="center" vertical="top"/>
    </xf>
    <xf numFmtId="0" fontId="94" fillId="69" borderId="69" xfId="0" applyFont="1" applyFill="1" applyBorder="1" applyAlignment="1">
      <alignment horizontal="center"/>
    </xf>
    <xf numFmtId="0" fontId="94" fillId="69" borderId="12" xfId="0" applyFont="1" applyFill="1" applyBorder="1" applyAlignment="1">
      <alignment horizontal="center"/>
    </xf>
    <xf numFmtId="165" fontId="94" fillId="4" borderId="177" xfId="11" applyNumberFormat="1" applyFont="1" applyBorder="1" applyAlignment="1" applyProtection="1">
      <alignment horizontal="center"/>
      <protection locked="0"/>
    </xf>
    <xf numFmtId="0" fontId="108" fillId="65" borderId="0" xfId="33112" applyFont="1" applyFill="1" applyBorder="1" applyAlignment="1">
      <alignment horizontal="left" vertical="top"/>
    </xf>
    <xf numFmtId="0" fontId="128" fillId="65" borderId="0" xfId="33112" applyFont="1" applyFill="1" applyBorder="1" applyAlignment="1">
      <alignment horizontal="left" vertical="top" wrapText="1"/>
    </xf>
    <xf numFmtId="199" fontId="93" fillId="3" borderId="0" xfId="0" applyNumberFormat="1" applyFont="1" applyFill="1" applyBorder="1" applyAlignment="1">
      <alignment horizontal="center"/>
    </xf>
    <xf numFmtId="172" fontId="98" fillId="2" borderId="61" xfId="0" applyNumberFormat="1" applyFont="1" applyFill="1" applyBorder="1" applyAlignment="1" applyProtection="1">
      <alignment horizontal="center" vertical="top"/>
      <protection locked="0"/>
    </xf>
    <xf numFmtId="172" fontId="98" fillId="2" borderId="62" xfId="0" applyNumberFormat="1" applyFont="1" applyFill="1" applyBorder="1" applyAlignment="1" applyProtection="1">
      <alignment horizontal="center" vertical="top"/>
      <protection locked="0"/>
    </xf>
    <xf numFmtId="172" fontId="98" fillId="2" borderId="3" xfId="0" applyNumberFormat="1" applyFont="1" applyFill="1" applyBorder="1" applyAlignment="1" applyProtection="1">
      <alignment horizontal="center" vertical="top"/>
      <protection locked="0"/>
    </xf>
    <xf numFmtId="172" fontId="98" fillId="2" borderId="63" xfId="0" applyNumberFormat="1" applyFont="1" applyFill="1" applyBorder="1" applyAlignment="1" applyProtection="1">
      <alignment horizontal="center" vertical="top"/>
      <protection locked="0"/>
    </xf>
    <xf numFmtId="172" fontId="98" fillId="2" borderId="55" xfId="0" applyNumberFormat="1" applyFont="1" applyFill="1" applyBorder="1" applyAlignment="1" applyProtection="1">
      <alignment horizontal="center" vertical="top"/>
      <protection locked="0"/>
    </xf>
    <xf numFmtId="172" fontId="105" fillId="2" borderId="112" xfId="0" applyNumberFormat="1" applyFont="1" applyFill="1" applyBorder="1" applyAlignment="1" applyProtection="1">
      <alignment horizontal="center" vertical="top"/>
      <protection locked="0"/>
    </xf>
    <xf numFmtId="172" fontId="105" fillId="2" borderId="59" xfId="0" applyNumberFormat="1" applyFont="1" applyFill="1" applyBorder="1" applyAlignment="1" applyProtection="1">
      <alignment horizontal="center" vertical="top"/>
      <protection locked="0"/>
    </xf>
    <xf numFmtId="172" fontId="105" fillId="2" borderId="66" xfId="0" applyNumberFormat="1" applyFont="1" applyFill="1" applyBorder="1" applyAlignment="1" applyProtection="1">
      <alignment horizontal="center" vertical="top"/>
      <protection locked="0"/>
    </xf>
    <xf numFmtId="172" fontId="98" fillId="0" borderId="0" xfId="0" applyNumberFormat="1" applyFont="1" applyFill="1" applyAlignment="1" applyProtection="1">
      <alignment horizontal="right"/>
    </xf>
    <xf numFmtId="172" fontId="98" fillId="0" borderId="0" xfId="0" applyNumberFormat="1" applyFont="1" applyFill="1" applyProtection="1"/>
    <xf numFmtId="172" fontId="92" fillId="0" borderId="0" xfId="0" applyNumberFormat="1" applyFont="1" applyFill="1" applyProtection="1"/>
    <xf numFmtId="174" fontId="92" fillId="0" borderId="0" xfId="0" applyNumberFormat="1" applyFont="1" applyFill="1" applyBorder="1"/>
    <xf numFmtId="172" fontId="92" fillId="0" borderId="67" xfId="0" applyNumberFormat="1" applyFont="1" applyFill="1" applyBorder="1"/>
    <xf numFmtId="172" fontId="92" fillId="0" borderId="0" xfId="0" applyNumberFormat="1" applyFont="1" applyFill="1" applyBorder="1"/>
    <xf numFmtId="191" fontId="94" fillId="0" borderId="1" xfId="0" applyNumberFormat="1" applyFont="1" applyFill="1" applyBorder="1" applyAlignment="1">
      <alignment horizontal="center" wrapText="1"/>
    </xf>
    <xf numFmtId="174" fontId="98" fillId="2" borderId="82" xfId="13118" applyNumberFormat="1" applyFont="1" applyFill="1" applyBorder="1" applyProtection="1"/>
    <xf numFmtId="173" fontId="98" fillId="2" borderId="83" xfId="0" applyNumberFormat="1" applyFont="1" applyFill="1" applyBorder="1" applyProtection="1">
      <protection locked="0"/>
    </xf>
    <xf numFmtId="173" fontId="98" fillId="2" borderId="84" xfId="0" applyNumberFormat="1" applyFont="1" applyFill="1" applyBorder="1" applyProtection="1">
      <protection locked="0"/>
    </xf>
    <xf numFmtId="173" fontId="98" fillId="2" borderId="85" xfId="0" applyNumberFormat="1" applyFont="1" applyFill="1" applyBorder="1" applyProtection="1">
      <protection locked="0"/>
    </xf>
    <xf numFmtId="172" fontId="98" fillId="2" borderId="88" xfId="13118" applyNumberFormat="1" applyFont="1" applyFill="1" applyBorder="1" applyProtection="1">
      <protection locked="0"/>
    </xf>
    <xf numFmtId="172" fontId="98" fillId="2" borderId="89" xfId="13118" applyNumberFormat="1" applyFont="1" applyFill="1" applyBorder="1" applyProtection="1">
      <protection locked="0"/>
    </xf>
    <xf numFmtId="174" fontId="98" fillId="2" borderId="87" xfId="13118" applyNumberFormat="1" applyFont="1" applyFill="1" applyBorder="1" applyProtection="1">
      <protection locked="0"/>
    </xf>
    <xf numFmtId="10" fontId="133" fillId="0" borderId="0" xfId="8" applyNumberFormat="1" applyFont="1" applyFill="1" applyAlignment="1" applyProtection="1">
      <alignment horizontal="center"/>
    </xf>
    <xf numFmtId="172" fontId="124" fillId="2" borderId="101" xfId="8" applyNumberFormat="1" applyFont="1" applyFill="1" applyBorder="1" applyProtection="1"/>
    <xf numFmtId="172" fontId="124" fillId="2" borderId="56" xfId="8" applyNumberFormat="1" applyFont="1" applyFill="1" applyBorder="1" applyProtection="1"/>
    <xf numFmtId="38" fontId="97" fillId="0" borderId="21" xfId="6" applyNumberFormat="1" applyFont="1" applyFill="1" applyBorder="1" applyProtection="1"/>
    <xf numFmtId="172" fontId="97" fillId="0" borderId="21" xfId="6" applyNumberFormat="1" applyFont="1" applyBorder="1" applyProtection="1"/>
    <xf numFmtId="172" fontId="97" fillId="0" borderId="22" xfId="6" applyNumberFormat="1" applyFont="1" applyBorder="1" applyProtection="1"/>
    <xf numFmtId="172" fontId="97" fillId="0" borderId="19" xfId="6" applyNumberFormat="1" applyFont="1" applyBorder="1" applyProtection="1"/>
    <xf numFmtId="172" fontId="96" fillId="0" borderId="26" xfId="6" applyNumberFormat="1" applyFont="1" applyBorder="1" applyProtection="1"/>
    <xf numFmtId="0" fontId="117" fillId="66" borderId="0" xfId="0" quotePrefix="1" applyFont="1" applyFill="1" applyProtection="1"/>
    <xf numFmtId="0" fontId="94" fillId="0" borderId="0" xfId="0" applyFont="1" applyFill="1" applyBorder="1" applyAlignment="1" applyProtection="1">
      <alignment horizontal="left"/>
    </xf>
    <xf numFmtId="0" fontId="132" fillId="0" borderId="0" xfId="0" applyFont="1" applyFill="1" applyProtection="1"/>
    <xf numFmtId="0" fontId="93" fillId="0" borderId="0" xfId="0" applyFont="1" applyFill="1" applyBorder="1" applyAlignment="1" applyProtection="1">
      <alignment horizontal="left"/>
    </xf>
    <xf numFmtId="0" fontId="93" fillId="0" borderId="0" xfId="0" applyFont="1" applyAlignment="1" applyProtection="1">
      <alignment horizontal="left" indent="1"/>
    </xf>
    <xf numFmtId="0" fontId="94" fillId="0" borderId="0" xfId="0" applyFont="1" applyAlignment="1" applyProtection="1">
      <alignment horizontal="right"/>
    </xf>
    <xf numFmtId="0" fontId="94" fillId="0" borderId="0" xfId="0" applyFont="1" applyFill="1" applyBorder="1" applyAlignment="1" applyProtection="1">
      <alignment horizontal="center" vertical="top"/>
    </xf>
    <xf numFmtId="0" fontId="94" fillId="0" borderId="0" xfId="0" applyFont="1" applyFill="1" applyAlignment="1" applyProtection="1">
      <alignment horizontal="center"/>
    </xf>
    <xf numFmtId="0" fontId="93" fillId="0" borderId="0" xfId="0" applyFont="1" applyBorder="1" applyAlignment="1" applyProtection="1">
      <alignment horizontal="left" indent="1"/>
    </xf>
    <xf numFmtId="0" fontId="94" fillId="0" borderId="57" xfId="0" applyFont="1" applyBorder="1" applyAlignment="1" applyProtection="1">
      <alignment horizontal="center"/>
    </xf>
    <xf numFmtId="0" fontId="94" fillId="0" borderId="53" xfId="0" applyFont="1" applyBorder="1" applyAlignment="1" applyProtection="1">
      <alignment horizontal="center"/>
    </xf>
    <xf numFmtId="0" fontId="93" fillId="0" borderId="53" xfId="0" applyFont="1" applyBorder="1" applyProtection="1"/>
    <xf numFmtId="0" fontId="93" fillId="0" borderId="58" xfId="0" applyFont="1" applyBorder="1" applyProtection="1"/>
    <xf numFmtId="0" fontId="94" fillId="0" borderId="24" xfId="0" applyFont="1" applyBorder="1" applyAlignment="1" applyProtection="1">
      <alignment horizontal="center"/>
    </xf>
    <xf numFmtId="0" fontId="94" fillId="0" borderId="20" xfId="0" applyFont="1" applyBorder="1" applyAlignment="1" applyProtection="1">
      <alignment horizontal="center"/>
    </xf>
    <xf numFmtId="0" fontId="111" fillId="0" borderId="107" xfId="0" applyFont="1" applyFill="1" applyBorder="1" applyAlignment="1" applyProtection="1">
      <alignment horizontal="center" vertical="top"/>
    </xf>
    <xf numFmtId="0" fontId="111" fillId="0" borderId="103" xfId="0" applyFont="1" applyFill="1" applyBorder="1" applyAlignment="1" applyProtection="1">
      <alignment horizontal="center" vertical="top"/>
    </xf>
    <xf numFmtId="0" fontId="111" fillId="0" borderId="105" xfId="0" applyFont="1" applyFill="1" applyBorder="1" applyAlignment="1" applyProtection="1">
      <alignment horizontal="center" vertical="top"/>
    </xf>
    <xf numFmtId="0" fontId="111" fillId="0" borderId="19" xfId="0" applyFont="1" applyFill="1" applyBorder="1" applyAlignment="1" applyProtection="1">
      <alignment horizontal="center" vertical="top"/>
    </xf>
    <xf numFmtId="0" fontId="111" fillId="0" borderId="1" xfId="0" applyFont="1" applyFill="1" applyBorder="1" applyAlignment="1" applyProtection="1">
      <alignment horizontal="center" vertical="top"/>
    </xf>
    <xf numFmtId="0" fontId="108" fillId="0" borderId="1" xfId="0" applyFont="1" applyFill="1" applyBorder="1" applyAlignment="1" applyProtection="1">
      <alignment horizontal="center" vertical="top"/>
    </xf>
    <xf numFmtId="0" fontId="108" fillId="0" borderId="18" xfId="0" applyFont="1" applyFill="1" applyBorder="1" applyAlignment="1" applyProtection="1">
      <alignment horizontal="center" vertical="top"/>
    </xf>
    <xf numFmtId="172" fontId="108" fillId="0" borderId="116" xfId="0" applyNumberFormat="1" applyFont="1" applyFill="1" applyBorder="1" applyAlignment="1" applyProtection="1">
      <alignment horizontal="center" vertical="top"/>
    </xf>
    <xf numFmtId="172" fontId="108" fillId="0" borderId="114" xfId="0" applyNumberFormat="1" applyFont="1" applyFill="1" applyBorder="1" applyAlignment="1" applyProtection="1">
      <alignment horizontal="center" vertical="top"/>
    </xf>
    <xf numFmtId="174" fontId="108" fillId="0" borderId="120" xfId="0" applyNumberFormat="1" applyFont="1" applyFill="1" applyBorder="1" applyAlignment="1" applyProtection="1">
      <alignment horizontal="center" vertical="top"/>
    </xf>
    <xf numFmtId="172" fontId="108" fillId="0" borderId="1" xfId="0" applyNumberFormat="1" applyFont="1" applyFill="1" applyBorder="1" applyAlignment="1" applyProtection="1">
      <alignment horizontal="center" vertical="top"/>
    </xf>
    <xf numFmtId="172" fontId="108" fillId="0" borderId="18" xfId="0" applyNumberFormat="1" applyFont="1" applyFill="1" applyBorder="1" applyAlignment="1" applyProtection="1">
      <alignment horizontal="center" vertical="top"/>
    </xf>
    <xf numFmtId="174" fontId="108" fillId="0" borderId="103" xfId="0" applyNumberFormat="1" applyFont="1" applyFill="1" applyBorder="1" applyAlignment="1" applyProtection="1">
      <alignment horizontal="center" vertical="top"/>
    </xf>
    <xf numFmtId="0" fontId="111" fillId="0" borderId="24" xfId="0" applyFont="1" applyFill="1" applyBorder="1" applyAlignment="1" applyProtection="1">
      <alignment horizontal="center" vertical="top"/>
    </xf>
    <xf numFmtId="0" fontId="93" fillId="0" borderId="24" xfId="0" applyFont="1" applyFill="1" applyBorder="1" applyAlignment="1" applyProtection="1">
      <alignment horizontal="center" vertical="top"/>
    </xf>
    <xf numFmtId="0" fontId="108" fillId="3" borderId="1" xfId="0" applyFont="1" applyFill="1" applyBorder="1" applyProtection="1"/>
    <xf numFmtId="0" fontId="93" fillId="0" borderId="19" xfId="0" applyFont="1" applyFill="1" applyBorder="1" applyAlignment="1" applyProtection="1">
      <alignment horizontal="center" vertical="top"/>
    </xf>
    <xf numFmtId="0" fontId="110" fillId="3" borderId="116" xfId="0" applyFont="1" applyFill="1" applyBorder="1" applyProtection="1"/>
    <xf numFmtId="0" fontId="93" fillId="3" borderId="68" xfId="0" applyFont="1" applyFill="1" applyBorder="1" applyAlignment="1" applyProtection="1">
      <alignment wrapText="1"/>
    </xf>
    <xf numFmtId="0" fontId="93" fillId="0" borderId="68" xfId="0" applyFont="1" applyFill="1" applyBorder="1" applyAlignment="1" applyProtection="1">
      <alignment horizontal="center" vertical="top"/>
    </xf>
    <xf numFmtId="174" fontId="93" fillId="0" borderId="0" xfId="0" applyNumberFormat="1" applyFont="1" applyFill="1" applyBorder="1" applyAlignment="1" applyProtection="1">
      <alignment horizontal="center" vertical="top"/>
    </xf>
    <xf numFmtId="0" fontId="98" fillId="0" borderId="0" xfId="0" applyFont="1" applyFill="1" applyBorder="1" applyProtection="1"/>
    <xf numFmtId="175" fontId="98" fillId="0" borderId="0" xfId="0" applyNumberFormat="1" applyFont="1" applyFill="1" applyBorder="1" applyProtection="1"/>
    <xf numFmtId="174" fontId="94" fillId="3" borderId="53" xfId="0" applyNumberFormat="1" applyFont="1" applyFill="1" applyBorder="1" applyAlignment="1" applyProtection="1">
      <alignment horizontal="center"/>
    </xf>
    <xf numFmtId="0" fontId="93" fillId="0" borderId="0" xfId="0" applyFont="1" applyFill="1" applyBorder="1" applyAlignment="1" applyProtection="1">
      <alignment horizontal="center" vertical="top"/>
    </xf>
    <xf numFmtId="172" fontId="93" fillId="0" borderId="0" xfId="0" applyNumberFormat="1" applyFont="1" applyFill="1" applyBorder="1" applyAlignment="1" applyProtection="1">
      <alignment horizontal="center" vertical="top"/>
    </xf>
    <xf numFmtId="0" fontId="94" fillId="0" borderId="0" xfId="0" quotePrefix="1" applyFont="1" applyFill="1" applyBorder="1" applyAlignment="1" applyProtection="1">
      <alignment horizontal="center"/>
    </xf>
    <xf numFmtId="0" fontId="123" fillId="0" borderId="1" xfId="0" applyFont="1" applyFill="1" applyBorder="1" applyProtection="1"/>
    <xf numFmtId="0" fontId="94" fillId="0" borderId="1" xfId="0" applyFont="1" applyFill="1" applyBorder="1" applyAlignment="1" applyProtection="1">
      <alignment horizontal="center"/>
    </xf>
    <xf numFmtId="0" fontId="93" fillId="3" borderId="0" xfId="0" applyFont="1" applyFill="1" applyBorder="1" applyAlignment="1" applyProtection="1">
      <alignment wrapText="1"/>
    </xf>
    <xf numFmtId="0" fontId="93" fillId="3" borderId="67" xfId="0" applyFont="1" applyFill="1" applyBorder="1" applyProtection="1"/>
    <xf numFmtId="0" fontId="93" fillId="0" borderId="0" xfId="0" applyFont="1" applyBorder="1" applyAlignment="1" applyProtection="1">
      <alignment horizontal="left" vertical="center" indent="1"/>
    </xf>
    <xf numFmtId="0" fontId="93" fillId="3" borderId="118" xfId="0" applyFont="1" applyFill="1" applyBorder="1" applyProtection="1"/>
    <xf numFmtId="0" fontId="94" fillId="3" borderId="53" xfId="0" applyFont="1" applyFill="1" applyBorder="1" applyProtection="1"/>
    <xf numFmtId="0" fontId="93" fillId="3" borderId="53" xfId="0" applyFont="1" applyFill="1" applyBorder="1" applyProtection="1"/>
    <xf numFmtId="0" fontId="94" fillId="3" borderId="53" xfId="0" applyFont="1" applyFill="1" applyBorder="1" applyAlignment="1" applyProtection="1">
      <alignment horizontal="center"/>
    </xf>
    <xf numFmtId="0" fontId="109" fillId="3" borderId="0" xfId="0" applyFont="1" applyFill="1" applyBorder="1" applyProtection="1"/>
    <xf numFmtId="0" fontId="94" fillId="3" borderId="0" xfId="0" applyFont="1" applyFill="1" applyBorder="1" applyAlignment="1" applyProtection="1">
      <alignment horizontal="center"/>
    </xf>
    <xf numFmtId="9" fontId="93" fillId="3" borderId="0" xfId="9" applyFont="1" applyFill="1" applyBorder="1" applyAlignment="1" applyProtection="1">
      <alignment horizontal="center" vertical="top"/>
    </xf>
    <xf numFmtId="0" fontId="98" fillId="2" borderId="92" xfId="0" applyFont="1" applyFill="1" applyBorder="1" applyProtection="1">
      <protection locked="0"/>
    </xf>
    <xf numFmtId="174" fontId="98" fillId="2" borderId="119" xfId="0" applyNumberFormat="1" applyFont="1" applyFill="1" applyBorder="1" applyProtection="1">
      <protection locked="0"/>
    </xf>
    <xf numFmtId="0" fontId="98" fillId="2" borderId="67" xfId="0" applyFont="1" applyFill="1" applyBorder="1" applyProtection="1">
      <protection locked="0"/>
    </xf>
    <xf numFmtId="174" fontId="98" fillId="2" borderId="122" xfId="0" applyNumberFormat="1" applyFont="1" applyFill="1" applyBorder="1" applyProtection="1">
      <protection locked="0"/>
    </xf>
    <xf numFmtId="175" fontId="98" fillId="2" borderId="122" xfId="0" applyNumberFormat="1" applyFont="1" applyFill="1" applyBorder="1" applyProtection="1">
      <protection locked="0"/>
    </xf>
    <xf numFmtId="175" fontId="98" fillId="2" borderId="123" xfId="0" applyNumberFormat="1" applyFont="1" applyFill="1" applyBorder="1" applyProtection="1">
      <protection locked="0"/>
    </xf>
    <xf numFmtId="0" fontId="98" fillId="2" borderId="117" xfId="0" applyFont="1" applyFill="1" applyBorder="1" applyAlignment="1" applyProtection="1">
      <alignment horizontal="center"/>
      <protection locked="0"/>
    </xf>
    <xf numFmtId="172" fontId="98" fillId="2" borderId="119" xfId="0" applyNumberFormat="1" applyFont="1" applyFill="1" applyBorder="1" applyAlignment="1" applyProtection="1">
      <alignment horizontal="center"/>
      <protection locked="0"/>
    </xf>
    <xf numFmtId="0" fontId="98" fillId="2" borderId="99" xfId="0" applyFont="1" applyFill="1" applyBorder="1" applyAlignment="1" applyProtection="1">
      <alignment horizontal="center"/>
      <protection locked="0"/>
    </xf>
    <xf numFmtId="172" fontId="98" fillId="2" borderId="123" xfId="0" applyNumberFormat="1" applyFont="1" applyFill="1" applyBorder="1" applyAlignment="1" applyProtection="1">
      <alignment horizontal="center"/>
      <protection locked="0"/>
    </xf>
    <xf numFmtId="0" fontId="98" fillId="2" borderId="99" xfId="0" applyFont="1" applyFill="1" applyBorder="1" applyAlignment="1" applyProtection="1">
      <alignment horizontal="center" vertical="center"/>
      <protection locked="0"/>
    </xf>
    <xf numFmtId="172" fontId="98" fillId="2" borderId="123" xfId="0" applyNumberFormat="1" applyFont="1" applyFill="1" applyBorder="1" applyAlignment="1" applyProtection="1">
      <alignment horizontal="center" vertical="center"/>
      <protection locked="0"/>
    </xf>
    <xf numFmtId="172" fontId="98" fillId="2" borderId="124" xfId="0" applyNumberFormat="1" applyFont="1" applyFill="1" applyBorder="1" applyAlignment="1" applyProtection="1">
      <alignment horizontal="center"/>
      <protection locked="0"/>
    </xf>
    <xf numFmtId="172" fontId="98" fillId="2" borderId="125" xfId="0" applyNumberFormat="1" applyFont="1" applyFill="1" applyBorder="1" applyAlignment="1" applyProtection="1">
      <alignment horizontal="center"/>
      <protection locked="0"/>
    </xf>
    <xf numFmtId="0" fontId="92" fillId="0" borderId="103" xfId="0" applyFont="1" applyBorder="1" applyAlignment="1" applyProtection="1"/>
    <xf numFmtId="183" fontId="98" fillId="0" borderId="103" xfId="0" applyNumberFormat="1" applyFont="1" applyBorder="1" applyProtection="1"/>
    <xf numFmtId="5" fontId="98" fillId="0" borderId="103" xfId="13118" applyNumberFormat="1" applyFont="1" applyBorder="1" applyProtection="1"/>
    <xf numFmtId="0" fontId="92" fillId="0" borderId="0" xfId="0" applyFont="1" applyBorder="1" applyAlignment="1" applyProtection="1"/>
    <xf numFmtId="183" fontId="98" fillId="0" borderId="0" xfId="0" applyNumberFormat="1" applyFont="1" applyBorder="1" applyProtection="1"/>
    <xf numFmtId="5" fontId="98" fillId="0" borderId="0" xfId="13118" applyNumberFormat="1" applyFont="1" applyBorder="1" applyProtection="1"/>
    <xf numFmtId="174" fontId="98" fillId="2" borderId="92" xfId="0" applyNumberFormat="1" applyFont="1" applyFill="1" applyBorder="1" applyProtection="1">
      <protection locked="0"/>
    </xf>
    <xf numFmtId="0" fontId="98" fillId="2" borderId="117" xfId="0" applyFont="1" applyFill="1" applyBorder="1" applyProtection="1">
      <protection locked="0"/>
    </xf>
    <xf numFmtId="172" fontId="98" fillId="2" borderId="67" xfId="0" applyNumberFormat="1" applyFont="1" applyFill="1" applyBorder="1" applyProtection="1">
      <protection locked="0"/>
    </xf>
    <xf numFmtId="174" fontId="98" fillId="2" borderId="67" xfId="0" applyNumberFormat="1" applyFont="1" applyFill="1" applyBorder="1" applyProtection="1">
      <protection locked="0"/>
    </xf>
    <xf numFmtId="174" fontId="98" fillId="2" borderId="99" xfId="0" applyNumberFormat="1" applyFont="1" applyFill="1" applyBorder="1" applyProtection="1">
      <protection locked="0"/>
    </xf>
    <xf numFmtId="172" fontId="98" fillId="2" borderId="99" xfId="0" applyNumberFormat="1" applyFont="1" applyFill="1" applyBorder="1" applyProtection="1">
      <protection locked="0"/>
    </xf>
    <xf numFmtId="0" fontId="98" fillId="2" borderId="67" xfId="0" applyFont="1" applyFill="1" applyBorder="1" applyAlignment="1" applyProtection="1">
      <alignment vertical="center"/>
      <protection locked="0"/>
    </xf>
    <xf numFmtId="0" fontId="122" fillId="2" borderId="67" xfId="0" applyFont="1" applyFill="1" applyBorder="1" applyProtection="1">
      <protection locked="0"/>
    </xf>
    <xf numFmtId="0" fontId="98" fillId="2" borderId="99" xfId="0" applyFont="1" applyFill="1" applyBorder="1" applyProtection="1">
      <protection locked="0"/>
    </xf>
    <xf numFmtId="172" fontId="98" fillId="2" borderId="91" xfId="0" applyNumberFormat="1" applyFont="1" applyFill="1" applyBorder="1" applyProtection="1">
      <protection locked="0"/>
    </xf>
    <xf numFmtId="172" fontId="98" fillId="2" borderId="67" xfId="0" applyNumberFormat="1" applyFont="1" applyFill="1" applyBorder="1" applyAlignment="1" applyProtection="1">
      <alignment wrapText="1"/>
      <protection locked="0"/>
    </xf>
    <xf numFmtId="0" fontId="111" fillId="0" borderId="76" xfId="0" applyFont="1" applyFill="1" applyBorder="1" applyAlignment="1" applyProtection="1">
      <alignment horizontal="center" vertical="top"/>
    </xf>
    <xf numFmtId="0" fontId="111" fillId="0" borderId="60" xfId="0" applyFont="1" applyFill="1" applyBorder="1" applyAlignment="1" applyProtection="1">
      <alignment horizontal="center" vertical="top"/>
    </xf>
    <xf numFmtId="0" fontId="111" fillId="0" borderId="74" xfId="0" applyFont="1" applyFill="1" applyBorder="1" applyAlignment="1" applyProtection="1">
      <alignment horizontal="center" vertical="top"/>
    </xf>
    <xf numFmtId="191" fontId="108" fillId="0" borderId="65" xfId="0" applyNumberFormat="1" applyFont="1" applyFill="1" applyBorder="1" applyAlignment="1" applyProtection="1">
      <alignment horizontal="center" vertical="top"/>
    </xf>
    <xf numFmtId="191" fontId="108" fillId="0" borderId="59" xfId="0" applyNumberFormat="1" applyFont="1" applyFill="1" applyBorder="1" applyAlignment="1" applyProtection="1">
      <alignment horizontal="center" vertical="top"/>
    </xf>
    <xf numFmtId="191" fontId="108" fillId="0" borderId="66" xfId="0" applyNumberFormat="1" applyFont="1" applyFill="1" applyBorder="1" applyAlignment="1" applyProtection="1">
      <alignment horizontal="center" vertical="top"/>
    </xf>
    <xf numFmtId="172" fontId="93" fillId="2" borderId="105" xfId="0" applyNumberFormat="1" applyFont="1" applyFill="1" applyBorder="1" applyAlignment="1" applyProtection="1">
      <alignment horizontal="center" vertical="top"/>
    </xf>
    <xf numFmtId="0" fontId="92" fillId="0" borderId="108" xfId="0" applyFont="1" applyFill="1" applyBorder="1" applyAlignment="1" applyProtection="1">
      <alignment horizontal="center" vertical="top"/>
    </xf>
    <xf numFmtId="0" fontId="92" fillId="0" borderId="109" xfId="0" applyFont="1" applyFill="1" applyBorder="1" applyAlignment="1" applyProtection="1">
      <alignment horizontal="center" vertical="top"/>
    </xf>
    <xf numFmtId="0" fontId="92" fillId="0" borderId="110" xfId="0" applyFont="1" applyFill="1" applyBorder="1" applyAlignment="1" applyProtection="1">
      <alignment horizontal="center" vertical="top"/>
    </xf>
    <xf numFmtId="172" fontId="93" fillId="2" borderId="106" xfId="0" applyNumberFormat="1" applyFont="1" applyFill="1" applyBorder="1" applyAlignment="1" applyProtection="1">
      <alignment horizontal="center" vertical="top"/>
    </xf>
    <xf numFmtId="0" fontId="92" fillId="0" borderId="65" xfId="0" applyFont="1" applyFill="1" applyBorder="1" applyAlignment="1" applyProtection="1">
      <alignment horizontal="center" vertical="top"/>
    </xf>
    <xf numFmtId="0" fontId="92" fillId="0" borderId="59" xfId="0" applyFont="1" applyFill="1" applyBorder="1" applyAlignment="1" applyProtection="1">
      <alignment horizontal="center" vertical="top"/>
    </xf>
    <xf numFmtId="0" fontId="92" fillId="0" borderId="66" xfId="0" applyFont="1" applyFill="1" applyBorder="1" applyAlignment="1" applyProtection="1">
      <alignment horizontal="center" vertical="top"/>
    </xf>
    <xf numFmtId="0" fontId="93" fillId="0" borderId="116" xfId="0" applyFont="1" applyFill="1" applyBorder="1" applyAlignment="1" applyProtection="1">
      <alignment horizontal="center" vertical="top"/>
    </xf>
    <xf numFmtId="0" fontId="93" fillId="2" borderId="93" xfId="0" applyFont="1" applyFill="1" applyBorder="1" applyAlignment="1" applyProtection="1">
      <alignment horizontal="center" vertical="top"/>
    </xf>
    <xf numFmtId="172" fontId="93" fillId="0" borderId="162" xfId="0" applyNumberFormat="1" applyFont="1" applyFill="1" applyBorder="1" applyAlignment="1" applyProtection="1">
      <alignment horizontal="center" vertical="top"/>
    </xf>
    <xf numFmtId="172" fontId="93" fillId="0" borderId="163" xfId="0" applyNumberFormat="1" applyFont="1" applyFill="1" applyBorder="1" applyAlignment="1" applyProtection="1">
      <alignment horizontal="center" vertical="top"/>
    </xf>
    <xf numFmtId="0" fontId="93" fillId="0" borderId="67" xfId="0" applyFont="1" applyFill="1" applyBorder="1" applyProtection="1"/>
    <xf numFmtId="0" fontId="93" fillId="2" borderId="67" xfId="0" applyFont="1" applyFill="1" applyBorder="1" applyAlignment="1" applyProtection="1">
      <alignment horizontal="center" vertical="top"/>
    </xf>
    <xf numFmtId="172" fontId="93" fillId="0" borderId="126" xfId="0" applyNumberFormat="1" applyFont="1" applyFill="1" applyBorder="1" applyAlignment="1" applyProtection="1">
      <alignment horizontal="center" vertical="top"/>
    </xf>
    <xf numFmtId="172" fontId="93" fillId="0" borderId="113" xfId="0" applyNumberFormat="1" applyFont="1" applyFill="1" applyBorder="1" applyAlignment="1" applyProtection="1">
      <alignment horizontal="center" vertical="top"/>
    </xf>
    <xf numFmtId="0" fontId="93" fillId="2" borderId="142" xfId="0" applyFont="1" applyFill="1" applyBorder="1" applyAlignment="1" applyProtection="1">
      <alignment horizontal="center" vertical="top"/>
    </xf>
    <xf numFmtId="172" fontId="93" fillId="0" borderId="160" xfId="0" applyNumberFormat="1" applyFont="1" applyFill="1" applyBorder="1" applyAlignment="1" applyProtection="1">
      <alignment horizontal="center" vertical="top"/>
    </xf>
    <xf numFmtId="172" fontId="93" fillId="0" borderId="161" xfId="0" applyNumberFormat="1" applyFont="1" applyFill="1" applyBorder="1" applyAlignment="1" applyProtection="1">
      <alignment horizontal="center" vertical="top"/>
    </xf>
    <xf numFmtId="0" fontId="123" fillId="0" borderId="0" xfId="0" applyFont="1" applyFill="1" applyBorder="1" applyAlignment="1" applyProtection="1">
      <alignment horizontal="center" vertical="top"/>
    </xf>
    <xf numFmtId="0" fontId="98" fillId="2" borderId="182" xfId="0" applyFont="1" applyFill="1" applyBorder="1" applyProtection="1">
      <protection locked="0"/>
    </xf>
    <xf numFmtId="0" fontId="98" fillId="2" borderId="93" xfId="0" applyFont="1" applyFill="1" applyBorder="1" applyProtection="1">
      <protection locked="0"/>
    </xf>
    <xf numFmtId="0" fontId="98" fillId="2" borderId="183" xfId="0" applyFont="1" applyFill="1" applyBorder="1" applyProtection="1">
      <protection locked="0"/>
    </xf>
    <xf numFmtId="0" fontId="98" fillId="2" borderId="100" xfId="0" applyFont="1" applyFill="1" applyBorder="1" applyProtection="1">
      <protection locked="0"/>
    </xf>
    <xf numFmtId="0" fontId="98" fillId="2" borderId="181" xfId="0" applyFont="1" applyFill="1" applyBorder="1" applyProtection="1">
      <protection locked="0"/>
    </xf>
    <xf numFmtId="0" fontId="98" fillId="2" borderId="184" xfId="0" applyFont="1" applyFill="1" applyBorder="1" applyProtection="1">
      <protection locked="0"/>
    </xf>
    <xf numFmtId="0" fontId="98" fillId="2" borderId="142" xfId="0" applyFont="1" applyFill="1" applyBorder="1" applyProtection="1">
      <protection locked="0"/>
    </xf>
    <xf numFmtId="0" fontId="98" fillId="2" borderId="185" xfId="0" applyFont="1" applyFill="1" applyBorder="1" applyProtection="1">
      <protection locked="0"/>
    </xf>
    <xf numFmtId="174" fontId="98" fillId="2" borderId="107" xfId="33110" applyNumberFormat="1" applyFont="1" applyFill="1" applyBorder="1" applyProtection="1">
      <protection locked="0"/>
    </xf>
    <xf numFmtId="174" fontId="98" fillId="2" borderId="103" xfId="33110" applyNumberFormat="1" applyFont="1" applyFill="1" applyBorder="1" applyProtection="1">
      <protection locked="0"/>
    </xf>
    <xf numFmtId="172" fontId="98" fillId="2" borderId="100" xfId="33110" applyNumberFormat="1" applyFont="1" applyFill="1" applyBorder="1" applyProtection="1">
      <protection locked="0"/>
    </xf>
    <xf numFmtId="172" fontId="98" fillId="2" borderId="67" xfId="33110" applyNumberFormat="1" applyFont="1" applyFill="1" applyBorder="1" applyProtection="1">
      <protection locked="0"/>
    </xf>
    <xf numFmtId="172" fontId="98" fillId="2" borderId="181" xfId="33110" applyNumberFormat="1" applyFont="1" applyFill="1" applyBorder="1" applyProtection="1">
      <protection locked="0"/>
    </xf>
    <xf numFmtId="172" fontId="93" fillId="2" borderId="19" xfId="33110" applyNumberFormat="1" applyFont="1" applyFill="1" applyBorder="1" applyProtection="1">
      <protection locked="0"/>
    </xf>
    <xf numFmtId="172" fontId="93" fillId="2" borderId="1" xfId="33110" applyNumberFormat="1" applyFont="1" applyFill="1" applyBorder="1" applyProtection="1">
      <protection locked="0"/>
    </xf>
    <xf numFmtId="172" fontId="93" fillId="2" borderId="18" xfId="33110" applyNumberFormat="1" applyFont="1" applyFill="1" applyBorder="1" applyProtection="1">
      <protection locked="0"/>
    </xf>
    <xf numFmtId="0" fontId="93" fillId="2" borderId="99" xfId="0" applyFont="1" applyFill="1" applyBorder="1" applyProtection="1">
      <protection locked="0"/>
    </xf>
    <xf numFmtId="0" fontId="127" fillId="0" borderId="0" xfId="33112" applyFill="1" applyBorder="1" applyAlignment="1" applyProtection="1">
      <alignment horizontal="left" vertical="top"/>
    </xf>
    <xf numFmtId="0" fontId="111" fillId="0" borderId="108" xfId="0" applyFont="1" applyFill="1" applyBorder="1" applyAlignment="1" applyProtection="1">
      <alignment horizontal="center" vertical="top"/>
    </xf>
    <xf numFmtId="0" fontId="111" fillId="0" borderId="109" xfId="0" applyFont="1" applyFill="1" applyBorder="1" applyAlignment="1" applyProtection="1">
      <alignment horizontal="center" vertical="top"/>
    </xf>
    <xf numFmtId="0" fontId="111" fillId="0" borderId="110" xfId="0" applyFont="1" applyFill="1" applyBorder="1" applyAlignment="1" applyProtection="1">
      <alignment horizontal="center" vertical="top"/>
    </xf>
    <xf numFmtId="0" fontId="108" fillId="0" borderId="65" xfId="0" applyFont="1" applyFill="1" applyBorder="1" applyAlignment="1" applyProtection="1">
      <alignment horizontal="center" vertical="top"/>
    </xf>
    <xf numFmtId="0" fontId="108" fillId="0" borderId="59" xfId="0" applyFont="1" applyFill="1" applyBorder="1" applyAlignment="1" applyProtection="1">
      <alignment horizontal="center" vertical="top"/>
    </xf>
    <xf numFmtId="0" fontId="108" fillId="0" borderId="66" xfId="0" applyFont="1" applyFill="1" applyBorder="1" applyAlignment="1" applyProtection="1">
      <alignment horizontal="center" vertical="top"/>
    </xf>
    <xf numFmtId="0" fontId="98" fillId="2" borderId="167" xfId="33112" applyFont="1" applyFill="1" applyBorder="1" applyAlignment="1" applyProtection="1">
      <alignment horizontal="right" vertical="center" wrapText="1"/>
      <protection locked="0"/>
    </xf>
    <xf numFmtId="198" fontId="98" fillId="2" borderId="167" xfId="33112" applyNumberFormat="1" applyFont="1" applyFill="1" applyBorder="1" applyAlignment="1" applyProtection="1">
      <alignment horizontal="right" vertical="center" wrapText="1"/>
      <protection locked="0"/>
    </xf>
    <xf numFmtId="181" fontId="93" fillId="2" borderId="168" xfId="33112" applyNumberFormat="1" applyFont="1" applyFill="1" applyBorder="1" applyAlignment="1" applyProtection="1">
      <alignment vertical="center" wrapText="1"/>
      <protection locked="0"/>
    </xf>
    <xf numFmtId="172" fontId="92" fillId="2" borderId="168" xfId="33112" applyNumberFormat="1" applyFont="1" applyFill="1" applyBorder="1" applyAlignment="1" applyProtection="1">
      <alignment vertical="center" wrapText="1"/>
      <protection locked="0"/>
    </xf>
    <xf numFmtId="172" fontId="98" fillId="2" borderId="167" xfId="33112" applyNumberFormat="1" applyFont="1" applyFill="1" applyBorder="1" applyAlignment="1" applyProtection="1">
      <alignment horizontal="right" vertical="center" wrapText="1"/>
      <protection locked="0"/>
    </xf>
    <xf numFmtId="0" fontId="98" fillId="2" borderId="167" xfId="33112" applyFont="1" applyFill="1" applyBorder="1" applyAlignment="1" applyProtection="1">
      <alignment vertical="center" wrapText="1"/>
      <protection locked="0"/>
    </xf>
    <xf numFmtId="196" fontId="98" fillId="2" borderId="167" xfId="33112" applyNumberFormat="1" applyFont="1" applyFill="1" applyBorder="1" applyAlignment="1" applyProtection="1">
      <alignment vertical="center" wrapText="1"/>
      <protection locked="0"/>
    </xf>
    <xf numFmtId="0" fontId="98" fillId="2" borderId="173" xfId="33112" applyFont="1" applyFill="1" applyBorder="1" applyAlignment="1" applyProtection="1">
      <alignment vertical="center" wrapText="1"/>
      <protection locked="0"/>
    </xf>
    <xf numFmtId="172" fontId="92" fillId="2" borderId="170" xfId="33112" applyNumberFormat="1" applyFont="1" applyFill="1" applyBorder="1" applyAlignment="1" applyProtection="1">
      <alignment vertical="center" wrapText="1"/>
      <protection locked="0"/>
    </xf>
    <xf numFmtId="0" fontId="98" fillId="2" borderId="137" xfId="33112" applyFont="1" applyFill="1" applyBorder="1" applyAlignment="1" applyProtection="1">
      <alignment horizontal="right" vertical="center" wrapText="1"/>
      <protection locked="0"/>
    </xf>
    <xf numFmtId="198" fontId="98" fillId="2" borderId="137" xfId="33112" applyNumberFormat="1" applyFont="1" applyFill="1" applyBorder="1" applyAlignment="1" applyProtection="1">
      <alignment horizontal="right" vertical="center" wrapText="1"/>
      <protection locked="0"/>
    </xf>
    <xf numFmtId="0" fontId="98" fillId="2" borderId="173" xfId="33112" applyFont="1" applyFill="1" applyBorder="1" applyAlignment="1" applyProtection="1">
      <alignment horizontal="right" vertical="center" wrapText="1"/>
      <protection locked="0"/>
    </xf>
    <xf numFmtId="173" fontId="98" fillId="2" borderId="167" xfId="33112" applyNumberFormat="1" applyFont="1" applyFill="1" applyBorder="1" applyAlignment="1" applyProtection="1">
      <alignment horizontal="right" vertical="center" wrapText="1"/>
      <protection locked="0"/>
    </xf>
    <xf numFmtId="173" fontId="98" fillId="2" borderId="173" xfId="33112" applyNumberFormat="1" applyFont="1" applyFill="1" applyBorder="1" applyAlignment="1" applyProtection="1">
      <alignment horizontal="right" vertical="center" wrapText="1"/>
      <protection locked="0"/>
    </xf>
    <xf numFmtId="172" fontId="98" fillId="2" borderId="137" xfId="33112" applyNumberFormat="1" applyFont="1" applyFill="1" applyBorder="1" applyAlignment="1" applyProtection="1">
      <alignment horizontal="right" vertical="center" wrapText="1"/>
      <protection locked="0"/>
    </xf>
    <xf numFmtId="175" fontId="98" fillId="2" borderId="18" xfId="33112" quotePrefix="1" applyNumberFormat="1" applyFont="1" applyFill="1" applyBorder="1" applyAlignment="1" applyProtection="1">
      <alignment vertical="top" wrapText="1"/>
      <protection locked="0"/>
    </xf>
    <xf numFmtId="174" fontId="98" fillId="2" borderId="99" xfId="0" applyNumberFormat="1" applyFont="1" applyFill="1" applyBorder="1" applyAlignment="1" applyProtection="1">
      <alignment horizontal="right" wrapText="1"/>
      <protection locked="0"/>
    </xf>
    <xf numFmtId="172" fontId="98" fillId="2" borderId="99" xfId="0" applyNumberFormat="1" applyFont="1" applyFill="1" applyBorder="1" applyAlignment="1" applyProtection="1">
      <alignment horizontal="right" wrapText="1"/>
      <protection locked="0"/>
    </xf>
    <xf numFmtId="172" fontId="98" fillId="2" borderId="0" xfId="0" applyNumberFormat="1" applyFont="1" applyFill="1" applyAlignment="1" applyProtection="1">
      <alignment horizontal="right" wrapText="1"/>
      <protection locked="0"/>
    </xf>
    <xf numFmtId="172" fontId="98" fillId="2" borderId="0" xfId="0" applyNumberFormat="1" applyFont="1" applyFill="1" applyAlignment="1" applyProtection="1">
      <alignment horizontal="right"/>
      <protection locked="0"/>
    </xf>
    <xf numFmtId="3" fontId="93" fillId="4" borderId="3" xfId="11" applyNumberFormat="1" applyFont="1" applyAlignment="1" applyProtection="1">
      <alignment horizontal="center"/>
      <protection locked="0"/>
    </xf>
    <xf numFmtId="10" fontId="98" fillId="4" borderId="3" xfId="11" applyNumberFormat="1" applyFont="1" applyAlignment="1" applyProtection="1">
      <alignment horizontal="center"/>
      <protection locked="0"/>
    </xf>
    <xf numFmtId="3" fontId="98" fillId="4" borderId="3" xfId="11" applyNumberFormat="1" applyFont="1" applyAlignment="1" applyProtection="1">
      <alignment horizontal="center"/>
      <protection locked="0"/>
    </xf>
    <xf numFmtId="0" fontId="94" fillId="0" borderId="24" xfId="0" applyFont="1" applyFill="1" applyBorder="1" applyAlignment="1" applyProtection="1">
      <alignment horizontal="center"/>
    </xf>
    <xf numFmtId="0" fontId="111" fillId="0" borderId="43" xfId="0" applyFont="1" applyFill="1" applyBorder="1" applyAlignment="1" applyProtection="1">
      <alignment horizontal="center" vertical="top"/>
    </xf>
    <xf numFmtId="0" fontId="108" fillId="0" borderId="43" xfId="0" applyFont="1" applyFill="1" applyBorder="1" applyAlignment="1" applyProtection="1">
      <alignment horizontal="center" vertical="top"/>
    </xf>
    <xf numFmtId="0" fontId="111" fillId="0" borderId="53" xfId="0" applyFont="1" applyFill="1" applyBorder="1" applyAlignment="1" applyProtection="1">
      <alignment horizontal="center" vertical="top"/>
    </xf>
    <xf numFmtId="0" fontId="108" fillId="0" borderId="53" xfId="0" applyFont="1" applyFill="1" applyBorder="1" applyAlignment="1" applyProtection="1">
      <alignment horizontal="center" vertical="top"/>
    </xf>
    <xf numFmtId="0" fontId="111" fillId="64" borderId="1" xfId="0" applyFont="1" applyFill="1" applyBorder="1" applyAlignment="1" applyProtection="1">
      <alignment horizontal="center" vertical="top"/>
    </xf>
    <xf numFmtId="0" fontId="108" fillId="64" borderId="1" xfId="0" applyFont="1" applyFill="1" applyBorder="1" applyAlignment="1" applyProtection="1">
      <alignment horizontal="center" vertical="top"/>
    </xf>
    <xf numFmtId="0" fontId="111" fillId="0" borderId="0" xfId="0" applyFont="1" applyFill="1" applyBorder="1" applyAlignment="1" applyProtection="1">
      <alignment horizontal="center" vertical="top"/>
    </xf>
    <xf numFmtId="172" fontId="92" fillId="0" borderId="111" xfId="0" applyNumberFormat="1" applyFont="1" applyFill="1" applyBorder="1" applyAlignment="1" applyProtection="1">
      <alignment horizontal="center" vertical="top"/>
    </xf>
    <xf numFmtId="172" fontId="92" fillId="0" borderId="109" xfId="0" applyNumberFormat="1" applyFont="1" applyFill="1" applyBorder="1" applyAlignment="1" applyProtection="1">
      <alignment horizontal="center" vertical="top"/>
    </xf>
    <xf numFmtId="172" fontId="92" fillId="0" borderId="110" xfId="0" applyNumberFormat="1" applyFont="1" applyFill="1" applyBorder="1" applyAlignment="1" applyProtection="1">
      <alignment horizontal="center" vertical="top"/>
    </xf>
    <xf numFmtId="0" fontId="111" fillId="0" borderId="56" xfId="0" applyFont="1" applyFill="1" applyBorder="1" applyAlignment="1" applyProtection="1">
      <alignment horizontal="center" vertical="top"/>
    </xf>
    <xf numFmtId="172" fontId="93" fillId="0" borderId="126" xfId="9" applyNumberFormat="1" applyFont="1" applyFill="1" applyBorder="1" applyAlignment="1" applyProtection="1">
      <alignment horizontal="center" vertical="top"/>
    </xf>
    <xf numFmtId="172" fontId="92" fillId="0" borderId="67" xfId="9" applyNumberFormat="1" applyFont="1" applyFill="1" applyBorder="1" applyAlignment="1" applyProtection="1">
      <alignment horizontal="center" vertical="top"/>
    </xf>
    <xf numFmtId="0" fontId="93" fillId="3" borderId="0" xfId="0" applyFont="1" applyFill="1" applyBorder="1" applyAlignment="1" applyProtection="1">
      <alignment horizontal="left"/>
    </xf>
    <xf numFmtId="174" fontId="93" fillId="0" borderId="0" xfId="0" applyNumberFormat="1" applyFont="1" applyFill="1" applyBorder="1" applyProtection="1"/>
    <xf numFmtId="165" fontId="98" fillId="2" borderId="3" xfId="11" applyNumberFormat="1" applyFont="1" applyFill="1" applyAlignment="1" applyProtection="1">
      <alignment horizontal="center" vertical="top"/>
      <protection locked="0"/>
    </xf>
    <xf numFmtId="0" fontId="93" fillId="3" borderId="0" xfId="0" applyFont="1" applyFill="1" applyBorder="1" applyAlignment="1" applyProtection="1">
      <alignment horizontal="center"/>
    </xf>
    <xf numFmtId="172" fontId="93" fillId="0" borderId="0" xfId="11" applyNumberFormat="1" applyFont="1" applyFill="1" applyBorder="1" applyAlignment="1" applyProtection="1">
      <alignment horizontal="center"/>
    </xf>
    <xf numFmtId="172" fontId="93" fillId="0" borderId="0" xfId="11" applyNumberFormat="1" applyFont="1" applyFill="1" applyBorder="1" applyAlignment="1" applyProtection="1">
      <alignment horizontal="center" vertical="top"/>
    </xf>
    <xf numFmtId="182" fontId="93" fillId="0" borderId="0" xfId="11" applyNumberFormat="1" applyFont="1" applyFill="1" applyBorder="1" applyAlignment="1" applyProtection="1">
      <alignment horizontal="center" vertical="top"/>
    </xf>
    <xf numFmtId="182" fontId="98" fillId="0" borderId="0" xfId="0" applyNumberFormat="1" applyFont="1" applyFill="1" applyBorder="1" applyAlignment="1" applyProtection="1">
      <alignment horizontal="center"/>
    </xf>
    <xf numFmtId="172" fontId="98" fillId="0" borderId="0" xfId="11" applyNumberFormat="1" applyFont="1" applyFill="1" applyBorder="1" applyAlignment="1" applyProtection="1">
      <alignment horizontal="right"/>
    </xf>
    <xf numFmtId="182" fontId="98" fillId="0" borderId="0" xfId="11" applyNumberFormat="1" applyFont="1" applyFill="1" applyBorder="1" applyAlignment="1" applyProtection="1">
      <alignment horizontal="center"/>
    </xf>
    <xf numFmtId="174" fontId="94" fillId="0" borderId="0" xfId="0" applyNumberFormat="1" applyFont="1" applyFill="1" applyBorder="1" applyAlignment="1" applyProtection="1">
      <alignment horizontal="right"/>
    </xf>
    <xf numFmtId="3" fontId="94" fillId="0" borderId="0" xfId="0" applyNumberFormat="1" applyFont="1" applyFill="1" applyBorder="1" applyAlignment="1" applyProtection="1">
      <alignment horizontal="center"/>
    </xf>
    <xf numFmtId="165" fontId="94" fillId="0" borderId="0" xfId="11" applyNumberFormat="1" applyFont="1" applyFill="1" applyBorder="1" applyAlignment="1">
      <alignment horizontal="center" vertical="top"/>
    </xf>
    <xf numFmtId="2" fontId="93" fillId="0" borderId="0" xfId="9" applyNumberFormat="1" applyFont="1" applyFill="1" applyBorder="1" applyAlignment="1">
      <alignment horizontal="center" vertical="top"/>
    </xf>
    <xf numFmtId="165" fontId="94" fillId="0" borderId="0" xfId="0" applyNumberFormat="1" applyFont="1" applyFill="1" applyBorder="1" applyAlignment="1">
      <alignment horizontal="center" vertical="top"/>
    </xf>
    <xf numFmtId="165" fontId="93" fillId="0" borderId="10" xfId="0" applyNumberFormat="1" applyFont="1" applyFill="1" applyBorder="1" applyAlignment="1">
      <alignment horizontal="center" vertical="top"/>
    </xf>
    <xf numFmtId="9" fontId="93" fillId="0" borderId="7" xfId="9" applyFont="1" applyFill="1" applyBorder="1" applyAlignment="1">
      <alignment horizontal="center"/>
    </xf>
    <xf numFmtId="164" fontId="93" fillId="0" borderId="10" xfId="0" applyNumberFormat="1" applyFont="1" applyFill="1" applyBorder="1" applyAlignment="1">
      <alignment horizontal="center" vertical="top"/>
    </xf>
    <xf numFmtId="9" fontId="93" fillId="0" borderId="0" xfId="9" applyFont="1" applyFill="1" applyBorder="1" applyAlignment="1">
      <alignment horizontal="center"/>
    </xf>
    <xf numFmtId="9" fontId="93" fillId="0" borderId="10" xfId="9" applyFont="1" applyFill="1" applyBorder="1" applyAlignment="1">
      <alignment horizontal="center"/>
    </xf>
    <xf numFmtId="2" fontId="93" fillId="0" borderId="10" xfId="9" applyNumberFormat="1" applyFont="1" applyFill="1" applyBorder="1" applyAlignment="1">
      <alignment horizontal="center" vertical="top"/>
    </xf>
    <xf numFmtId="0" fontId="93" fillId="0" borderId="10" xfId="0" applyFont="1" applyFill="1" applyBorder="1" applyAlignment="1">
      <alignment horizontal="center"/>
    </xf>
    <xf numFmtId="174" fontId="98" fillId="3" borderId="0" xfId="9" applyNumberFormat="1" applyFont="1" applyFill="1" applyBorder="1" applyAlignment="1">
      <alignment horizontal="right" vertical="top"/>
    </xf>
    <xf numFmtId="174" fontId="98" fillId="3" borderId="10" xfId="0" applyNumberFormat="1" applyFont="1" applyFill="1" applyBorder="1" applyAlignment="1">
      <alignment horizontal="right" vertical="top"/>
    </xf>
    <xf numFmtId="174" fontId="98" fillId="3" borderId="7" xfId="9" applyNumberFormat="1" applyFont="1" applyFill="1" applyBorder="1" applyAlignment="1">
      <alignment horizontal="right"/>
    </xf>
    <xf numFmtId="174" fontId="98" fillId="3" borderId="0" xfId="9" applyNumberFormat="1" applyFont="1" applyFill="1" applyBorder="1" applyAlignment="1">
      <alignment horizontal="right"/>
    </xf>
    <xf numFmtId="174" fontId="98" fillId="3" borderId="10" xfId="9" applyNumberFormat="1" applyFont="1" applyFill="1" applyBorder="1" applyAlignment="1">
      <alignment horizontal="right"/>
    </xf>
    <xf numFmtId="174" fontId="98" fillId="3" borderId="10" xfId="9" applyNumberFormat="1" applyFont="1" applyFill="1" applyBorder="1" applyAlignment="1">
      <alignment horizontal="right" vertical="top"/>
    </xf>
    <xf numFmtId="174" fontId="98" fillId="3" borderId="10" xfId="0" applyNumberFormat="1" applyFont="1" applyFill="1" applyBorder="1" applyAlignment="1">
      <alignment horizontal="right"/>
    </xf>
    <xf numFmtId="174" fontId="98" fillId="4" borderId="3" xfId="11" applyNumberFormat="1" applyFont="1" applyBorder="1" applyAlignment="1">
      <alignment horizontal="right" vertical="top"/>
    </xf>
    <xf numFmtId="174" fontId="98" fillId="3" borderId="0" xfId="0" applyNumberFormat="1" applyFont="1" applyFill="1" applyBorder="1" applyAlignment="1">
      <alignment horizontal="right" vertical="top"/>
    </xf>
    <xf numFmtId="164" fontId="98" fillId="4" borderId="3" xfId="11" applyNumberFormat="1" applyFont="1" applyAlignment="1" applyProtection="1">
      <alignment horizontal="center"/>
      <protection locked="0"/>
    </xf>
    <xf numFmtId="174" fontId="98" fillId="4" borderId="3" xfId="11" applyNumberFormat="1" applyFont="1" applyAlignment="1" applyProtection="1">
      <alignment horizontal="right" wrapText="1"/>
      <protection locked="0"/>
    </xf>
    <xf numFmtId="164" fontId="98" fillId="4" borderId="3" xfId="11" applyNumberFormat="1" applyFont="1" applyAlignment="1" applyProtection="1">
      <alignment horizontal="center" wrapText="1"/>
      <protection locked="0"/>
    </xf>
    <xf numFmtId="0" fontId="123" fillId="0" borderId="3" xfId="0" applyFont="1" applyFill="1" applyBorder="1" applyAlignment="1" applyProtection="1">
      <alignment horizontal="center" vertical="top"/>
    </xf>
    <xf numFmtId="172" fontId="93" fillId="0" borderId="67" xfId="0" applyNumberFormat="1" applyFont="1" applyFill="1" applyBorder="1" applyAlignment="1">
      <alignment horizontal="left"/>
    </xf>
    <xf numFmtId="172" fontId="93" fillId="3" borderId="107" xfId="0" applyNumberFormat="1" applyFont="1" applyFill="1" applyBorder="1" applyAlignment="1">
      <alignment horizontal="left"/>
    </xf>
    <xf numFmtId="172" fontId="93" fillId="3" borderId="100" xfId="0" applyNumberFormat="1" applyFont="1" applyFill="1" applyBorder="1" applyAlignment="1">
      <alignment horizontal="left"/>
    </xf>
    <xf numFmtId="172" fontId="93" fillId="3" borderId="19" xfId="0" applyNumberFormat="1" applyFont="1" applyFill="1" applyBorder="1" applyAlignment="1">
      <alignment horizontal="left"/>
    </xf>
    <xf numFmtId="0" fontId="104" fillId="0" borderId="187" xfId="33111" applyFont="1" applyFill="1" applyBorder="1" applyAlignment="1">
      <alignment horizontal="center" vertical="center" wrapText="1"/>
    </xf>
    <xf numFmtId="0" fontId="120" fillId="0" borderId="186" xfId="33111" applyFont="1" applyFill="1" applyBorder="1" applyAlignment="1">
      <alignment horizontal="center" vertical="center" wrapText="1"/>
    </xf>
    <xf numFmtId="0" fontId="93" fillId="0" borderId="100" xfId="0" applyFont="1" applyFill="1" applyBorder="1" applyAlignment="1">
      <alignment horizontal="left" indent="1"/>
    </xf>
    <xf numFmtId="172" fontId="92" fillId="0" borderId="108" xfId="0" applyNumberFormat="1" applyFont="1" applyFill="1" applyBorder="1" applyAlignment="1" applyProtection="1">
      <alignment horizontal="center" vertical="top"/>
    </xf>
    <xf numFmtId="172" fontId="92" fillId="2" borderId="65" xfId="0" applyNumberFormat="1" applyFont="1" applyFill="1" applyBorder="1" applyAlignment="1" applyProtection="1">
      <alignment horizontal="center" vertical="top"/>
    </xf>
    <xf numFmtId="172" fontId="93" fillId="0" borderId="61" xfId="0" applyNumberFormat="1" applyFont="1" applyFill="1" applyBorder="1" applyAlignment="1" applyProtection="1">
      <alignment horizontal="center" vertical="top"/>
    </xf>
    <xf numFmtId="172" fontId="93" fillId="0" borderId="54" xfId="0" applyNumberFormat="1" applyFont="1" applyFill="1" applyBorder="1" applyAlignment="1" applyProtection="1">
      <alignment horizontal="center" vertical="top"/>
    </xf>
    <xf numFmtId="172" fontId="93" fillId="0" borderId="62" xfId="0" applyNumberFormat="1" applyFont="1" applyFill="1" applyBorder="1" applyAlignment="1" applyProtection="1">
      <alignment horizontal="center" vertical="top"/>
    </xf>
    <xf numFmtId="172" fontId="93" fillId="0" borderId="3" xfId="0" applyNumberFormat="1" applyFont="1" applyFill="1" applyBorder="1" applyAlignment="1" applyProtection="1">
      <alignment horizontal="center" vertical="top"/>
    </xf>
    <xf numFmtId="172" fontId="93" fillId="0" borderId="63" xfId="0" applyNumberFormat="1" applyFont="1" applyFill="1" applyBorder="1" applyAlignment="1" applyProtection="1">
      <alignment horizontal="center" vertical="top"/>
    </xf>
    <xf numFmtId="172" fontId="93" fillId="0" borderId="55" xfId="0" applyNumberFormat="1" applyFont="1" applyFill="1" applyBorder="1" applyAlignment="1" applyProtection="1">
      <alignment horizontal="center" vertical="top"/>
    </xf>
    <xf numFmtId="0" fontId="94" fillId="0" borderId="103" xfId="0" applyFont="1" applyBorder="1" applyProtection="1"/>
    <xf numFmtId="0" fontId="108" fillId="0" borderId="127" xfId="0" applyFont="1" applyFill="1" applyBorder="1" applyAlignment="1" applyProtection="1">
      <alignment horizontal="center" vertical="top"/>
    </xf>
    <xf numFmtId="0" fontId="108" fillId="0" borderId="64" xfId="0" applyFont="1" applyFill="1" applyBorder="1" applyAlignment="1" applyProtection="1">
      <alignment horizontal="center" vertical="top"/>
    </xf>
    <xf numFmtId="0" fontId="108" fillId="0" borderId="121" xfId="0" applyFont="1" applyFill="1" applyBorder="1" applyAlignment="1" applyProtection="1">
      <alignment horizontal="center" vertical="top"/>
    </xf>
    <xf numFmtId="0" fontId="108" fillId="0" borderId="0" xfId="0" applyFont="1" applyFill="1" applyBorder="1" applyAlignment="1" applyProtection="1">
      <alignment horizontal="center" vertical="top"/>
    </xf>
    <xf numFmtId="191" fontId="108" fillId="0" borderId="0" xfId="0" applyNumberFormat="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72" fontId="94" fillId="3" borderId="53" xfId="0" applyNumberFormat="1" applyFont="1" applyFill="1" applyBorder="1" applyAlignment="1" applyProtection="1">
      <alignment horizontal="center"/>
    </xf>
    <xf numFmtId="172" fontId="94" fillId="3" borderId="0" xfId="0" applyNumberFormat="1" applyFont="1" applyFill="1" applyBorder="1" applyAlignment="1" applyProtection="1">
      <alignment horizontal="center"/>
    </xf>
    <xf numFmtId="172" fontId="92" fillId="0" borderId="65" xfId="0" applyNumberFormat="1" applyFont="1" applyFill="1" applyBorder="1" applyAlignment="1" applyProtection="1">
      <alignment horizontal="center" vertical="top"/>
    </xf>
    <xf numFmtId="172" fontId="92" fillId="0" borderId="59" xfId="0" applyNumberFormat="1" applyFont="1" applyFill="1" applyBorder="1" applyAlignment="1" applyProtection="1">
      <alignment horizontal="center" vertical="top"/>
    </xf>
    <xf numFmtId="172" fontId="92" fillId="0" borderId="66" xfId="0" applyNumberFormat="1" applyFont="1" applyFill="1" applyBorder="1" applyAlignment="1" applyProtection="1">
      <alignment horizontal="center" vertical="top"/>
    </xf>
    <xf numFmtId="0" fontId="98" fillId="2" borderId="67" xfId="0" applyFont="1" applyFill="1" applyBorder="1" applyAlignment="1" applyProtection="1">
      <alignment horizontal="center"/>
      <protection locked="0"/>
    </xf>
    <xf numFmtId="49" fontId="98" fillId="2" borderId="67" xfId="0" applyNumberFormat="1" applyFont="1" applyFill="1" applyBorder="1" applyAlignment="1" applyProtection="1">
      <alignment horizontal="center"/>
      <protection locked="0"/>
    </xf>
    <xf numFmtId="0" fontId="98" fillId="2" borderId="142" xfId="0" applyFont="1" applyFill="1" applyBorder="1" applyAlignment="1" applyProtection="1">
      <alignment horizontal="center"/>
      <protection locked="0"/>
    </xf>
    <xf numFmtId="49" fontId="98" fillId="2" borderId="142" xfId="0" applyNumberFormat="1" applyFont="1" applyFill="1" applyBorder="1" applyAlignment="1" applyProtection="1">
      <alignment horizontal="center"/>
      <protection locked="0"/>
    </xf>
    <xf numFmtId="172" fontId="98" fillId="2" borderId="142" xfId="0" applyNumberFormat="1" applyFont="1" applyFill="1" applyBorder="1" applyProtection="1">
      <protection locked="0"/>
    </xf>
    <xf numFmtId="199" fontId="98" fillId="2" borderId="144" xfId="0" applyNumberFormat="1" applyFont="1" applyFill="1" applyBorder="1" applyAlignment="1" applyProtection="1">
      <alignment horizontal="center"/>
      <protection locked="0"/>
    </xf>
    <xf numFmtId="173" fontId="98" fillId="2" borderId="141" xfId="0" applyNumberFormat="1" applyFont="1" applyFill="1" applyBorder="1" applyAlignment="1" applyProtection="1">
      <alignment horizontal="center"/>
      <protection locked="0"/>
    </xf>
    <xf numFmtId="173" fontId="98" fillId="2" borderId="143" xfId="0" applyNumberFormat="1" applyFont="1" applyFill="1" applyBorder="1" applyAlignment="1" applyProtection="1">
      <alignment horizontal="center"/>
      <protection locked="0"/>
    </xf>
    <xf numFmtId="194" fontId="121" fillId="2" borderId="139" xfId="33111" applyNumberFormat="1" applyFont="1" applyFill="1" applyBorder="1" applyAlignment="1" applyProtection="1">
      <alignment horizontal="center" vertical="center"/>
      <protection locked="0"/>
    </xf>
    <xf numFmtId="194" fontId="121" fillId="2" borderId="140" xfId="33111" applyNumberFormat="1" applyFont="1" applyFill="1" applyBorder="1" applyAlignment="1" applyProtection="1">
      <alignment horizontal="center" vertical="center"/>
      <protection locked="0"/>
    </xf>
    <xf numFmtId="194" fontId="121" fillId="2" borderId="99" xfId="33111" applyNumberFormat="1" applyFont="1" applyFill="1" applyBorder="1" applyAlignment="1" applyProtection="1">
      <alignment horizontal="center" vertical="center"/>
      <protection locked="0"/>
    </xf>
    <xf numFmtId="194" fontId="121" fillId="2" borderId="123" xfId="33111" applyNumberFormat="1" applyFont="1" applyFill="1" applyBorder="1" applyAlignment="1" applyProtection="1">
      <alignment horizontal="center" vertical="center"/>
      <protection locked="0"/>
    </xf>
    <xf numFmtId="194" fontId="121" fillId="2" borderId="135" xfId="33111" applyNumberFormat="1" applyFont="1" applyFill="1" applyBorder="1" applyAlignment="1" applyProtection="1">
      <alignment horizontal="center" vertical="center"/>
      <protection locked="0"/>
    </xf>
    <xf numFmtId="194" fontId="121" fillId="2" borderId="125" xfId="33111" applyNumberFormat="1" applyFont="1" applyFill="1" applyBorder="1" applyAlignment="1" applyProtection="1">
      <alignment horizontal="center" vertical="center"/>
      <protection locked="0"/>
    </xf>
    <xf numFmtId="194" fontId="121" fillId="2" borderId="136" xfId="33111" applyNumberFormat="1" applyFont="1" applyFill="1" applyBorder="1" applyAlignment="1" applyProtection="1">
      <alignment horizontal="center" vertical="center"/>
      <protection locked="0"/>
    </xf>
    <xf numFmtId="194" fontId="121" fillId="2" borderId="134" xfId="33111" applyNumberFormat="1" applyFont="1" applyFill="1" applyBorder="1" applyAlignment="1" applyProtection="1">
      <alignment horizontal="center" vertical="center"/>
      <protection locked="0"/>
    </xf>
    <xf numFmtId="194" fontId="121" fillId="2" borderId="119" xfId="33111" applyNumberFormat="1" applyFont="1" applyFill="1" applyBorder="1" applyAlignment="1" applyProtection="1">
      <alignment horizontal="center" vertical="center"/>
      <protection locked="0"/>
    </xf>
    <xf numFmtId="194" fontId="121" fillId="2" borderId="137" xfId="33111" applyNumberFormat="1" applyFont="1" applyFill="1" applyBorder="1" applyAlignment="1" applyProtection="1">
      <alignment horizontal="center" vertical="center"/>
      <protection locked="0"/>
    </xf>
    <xf numFmtId="194" fontId="121" fillId="2" borderId="138" xfId="33111" applyNumberFormat="1" applyFont="1" applyFill="1" applyBorder="1" applyAlignment="1" applyProtection="1">
      <alignment horizontal="center" vertical="center"/>
      <protection locked="0"/>
    </xf>
    <xf numFmtId="0" fontId="105" fillId="2" borderId="99" xfId="0" applyFont="1" applyFill="1" applyBorder="1" applyAlignment="1" applyProtection="1">
      <alignment horizontal="center"/>
      <protection locked="0"/>
    </xf>
    <xf numFmtId="188" fontId="98" fillId="2" borderId="92" xfId="7" applyNumberFormat="1" applyFont="1" applyFill="1" applyBorder="1" applyAlignment="1" applyProtection="1">
      <alignment horizontal="center" wrapText="1"/>
      <protection locked="0"/>
    </xf>
    <xf numFmtId="0" fontId="98" fillId="2" borderId="0" xfId="0" applyFont="1" applyFill="1" applyAlignment="1">
      <alignment wrapText="1"/>
    </xf>
    <xf numFmtId="0" fontId="0" fillId="69" borderId="0" xfId="0" applyFill="1" applyAlignment="1">
      <alignment wrapText="1"/>
    </xf>
    <xf numFmtId="0" fontId="134" fillId="69" borderId="0" xfId="0" applyFont="1" applyFill="1"/>
    <xf numFmtId="0" fontId="90" fillId="66" borderId="0" xfId="6628" applyFont="1" applyFill="1"/>
    <xf numFmtId="0" fontId="105" fillId="2" borderId="67" xfId="0" applyFont="1" applyFill="1" applyBorder="1" applyProtection="1">
      <protection locked="0"/>
    </xf>
    <xf numFmtId="38" fontId="124" fillId="2" borderId="24" xfId="6" applyNumberFormat="1" applyFont="1" applyFill="1" applyBorder="1" applyProtection="1">
      <protection locked="0"/>
    </xf>
    <xf numFmtId="0" fontId="93" fillId="3" borderId="116" xfId="0" applyFont="1" applyFill="1" applyBorder="1" applyProtection="1"/>
    <xf numFmtId="0" fontId="93" fillId="0" borderId="104" xfId="0" applyFont="1" applyFill="1" applyBorder="1" applyAlignment="1" applyProtection="1">
      <alignment horizontal="center" vertical="top"/>
    </xf>
    <xf numFmtId="0" fontId="92" fillId="0" borderId="111" xfId="0" applyFont="1" applyFill="1" applyBorder="1" applyAlignment="1" applyProtection="1">
      <alignment horizontal="center" vertical="top"/>
    </xf>
    <xf numFmtId="9" fontId="94" fillId="0" borderId="62" xfId="9" applyFont="1" applyFill="1" applyBorder="1" applyAlignment="1" applyProtection="1">
      <alignment horizontal="center" vertical="top"/>
      <protection locked="0"/>
    </xf>
    <xf numFmtId="172" fontId="94" fillId="0" borderId="67" xfId="9" applyNumberFormat="1" applyFont="1" applyFill="1" applyBorder="1" applyAlignment="1" applyProtection="1">
      <alignment horizontal="center" vertical="top"/>
    </xf>
    <xf numFmtId="174" fontId="94" fillId="0" borderId="32" xfId="0" applyNumberFormat="1" applyFont="1" applyBorder="1" applyAlignment="1" applyProtection="1">
      <alignment horizontal="right" wrapText="1"/>
    </xf>
    <xf numFmtId="174" fontId="94" fillId="65" borderId="0" xfId="0" applyNumberFormat="1" applyFont="1" applyFill="1" applyBorder="1" applyAlignment="1" applyProtection="1">
      <alignment horizontal="right" wrapText="1"/>
    </xf>
    <xf numFmtId="0" fontId="92" fillId="0" borderId="3" xfId="11" applyNumberFormat="1" applyFont="1" applyFill="1" applyAlignment="1" applyProtection="1">
      <alignment horizontal="center"/>
    </xf>
    <xf numFmtId="0" fontId="93" fillId="0" borderId="3" xfId="11" applyNumberFormat="1" applyFont="1" applyFill="1" applyAlignment="1" applyProtection="1">
      <alignment horizontal="center"/>
    </xf>
    <xf numFmtId="0" fontId="93" fillId="0" borderId="0" xfId="0" applyFont="1" applyProtection="1">
      <protection locked="0"/>
    </xf>
    <xf numFmtId="0" fontId="111" fillId="0" borderId="53" xfId="0" applyFont="1" applyFill="1" applyBorder="1" applyAlignment="1" applyProtection="1">
      <alignment horizontal="center" vertical="top"/>
      <protection locked="0"/>
    </xf>
    <xf numFmtId="0" fontId="94" fillId="0" borderId="1" xfId="0" applyFont="1" applyFill="1" applyBorder="1" applyAlignment="1" applyProtection="1">
      <alignment horizontal="center"/>
      <protection locked="0"/>
    </xf>
    <xf numFmtId="0" fontId="66" fillId="70" borderId="0" xfId="6628" applyFont="1" applyFill="1"/>
    <xf numFmtId="0" fontId="94" fillId="0" borderId="1" xfId="0" applyFont="1" applyBorder="1"/>
    <xf numFmtId="172" fontId="93" fillId="0" borderId="0" xfId="0" applyNumberFormat="1" applyFont="1" applyFill="1" applyBorder="1" applyAlignment="1" applyProtection="1">
      <alignment horizontal="center"/>
    </xf>
    <xf numFmtId="172" fontId="94" fillId="0" borderId="103" xfId="0" applyNumberFormat="1" applyFont="1" applyFill="1" applyBorder="1" applyAlignment="1" applyProtection="1">
      <alignment horizontal="center"/>
    </xf>
    <xf numFmtId="172" fontId="94" fillId="0" borderId="103" xfId="0" applyNumberFormat="1" applyFont="1" applyBorder="1" applyAlignment="1" applyProtection="1">
      <alignment horizontal="center"/>
    </xf>
    <xf numFmtId="172" fontId="94" fillId="0" borderId="0" xfId="0" applyNumberFormat="1" applyFont="1" applyFill="1" applyBorder="1" applyAlignment="1" applyProtection="1">
      <alignment horizontal="center"/>
    </xf>
    <xf numFmtId="174" fontId="93" fillId="0" borderId="0" xfId="0" applyNumberFormat="1" applyFont="1" applyFill="1" applyBorder="1" applyAlignment="1" applyProtection="1">
      <alignment horizontal="right"/>
    </xf>
    <xf numFmtId="172" fontId="93" fillId="0" borderId="1" xfId="0" applyNumberFormat="1" applyFont="1" applyFill="1" applyBorder="1" applyAlignment="1" applyProtection="1">
      <alignment horizontal="center"/>
    </xf>
    <xf numFmtId="172" fontId="93" fillId="0" borderId="103" xfId="0" applyNumberFormat="1" applyFont="1" applyFill="1" applyBorder="1" applyAlignment="1" applyProtection="1">
      <alignment horizontal="center"/>
    </xf>
    <xf numFmtId="172" fontId="94" fillId="0" borderId="94" xfId="0" applyNumberFormat="1" applyFont="1" applyFill="1" applyBorder="1" applyAlignment="1" applyProtection="1">
      <alignment horizontal="center"/>
    </xf>
    <xf numFmtId="0" fontId="93" fillId="63" borderId="0" xfId="0" applyFont="1" applyFill="1" applyProtection="1"/>
    <xf numFmtId="172" fontId="93" fillId="0" borderId="1" xfId="0" applyNumberFormat="1" applyFont="1" applyFill="1" applyBorder="1" applyAlignment="1" applyProtection="1">
      <alignment horizontal="center" vertical="top"/>
    </xf>
    <xf numFmtId="185" fontId="94" fillId="0" borderId="53" xfId="0" applyNumberFormat="1" applyFont="1" applyBorder="1" applyAlignment="1" applyProtection="1">
      <alignment horizontal="center"/>
    </xf>
    <xf numFmtId="175" fontId="109" fillId="0" borderId="0" xfId="9" applyNumberFormat="1" applyFont="1" applyAlignment="1" applyProtection="1">
      <alignment horizontal="center"/>
    </xf>
    <xf numFmtId="172" fontId="94" fillId="0" borderId="6" xfId="0" applyNumberFormat="1" applyFont="1" applyBorder="1" applyAlignment="1" applyProtection="1">
      <alignment horizontal="center"/>
    </xf>
    <xf numFmtId="165" fontId="93" fillId="0" borderId="0" xfId="0" applyNumberFormat="1" applyFont="1" applyFill="1" applyAlignment="1" applyProtection="1">
      <alignment horizontal="center" vertical="top"/>
    </xf>
    <xf numFmtId="165" fontId="93" fillId="0" borderId="1" xfId="0" applyNumberFormat="1" applyFont="1" applyFill="1" applyBorder="1" applyAlignment="1" applyProtection="1">
      <alignment horizontal="center" vertical="top"/>
    </xf>
    <xf numFmtId="165" fontId="93" fillId="0" borderId="0" xfId="0" applyNumberFormat="1" applyFont="1" applyAlignment="1" applyProtection="1">
      <alignment horizontal="center" vertical="top"/>
    </xf>
    <xf numFmtId="174" fontId="109" fillId="0" borderId="0" xfId="0" applyNumberFormat="1" applyFont="1" applyAlignment="1" applyProtection="1">
      <alignment horizontal="center" vertical="top"/>
    </xf>
    <xf numFmtId="165" fontId="109" fillId="0" borderId="0" xfId="0" applyNumberFormat="1" applyFont="1" applyAlignment="1" applyProtection="1">
      <alignment horizontal="center" vertical="top"/>
    </xf>
    <xf numFmtId="165" fontId="93" fillId="0" borderId="0" xfId="0" applyNumberFormat="1" applyFont="1" applyProtection="1"/>
    <xf numFmtId="165" fontId="93" fillId="0" borderId="0" xfId="0" applyNumberFormat="1" applyFont="1" applyBorder="1" applyAlignment="1" applyProtection="1">
      <alignment horizontal="center" vertical="top"/>
    </xf>
    <xf numFmtId="165" fontId="93" fillId="0" borderId="1" xfId="0" applyNumberFormat="1" applyFont="1" applyBorder="1" applyAlignment="1" applyProtection="1">
      <alignment horizontal="center" vertical="top"/>
    </xf>
    <xf numFmtId="165" fontId="93" fillId="0" borderId="0" xfId="0" applyNumberFormat="1" applyFont="1" applyAlignment="1" applyProtection="1">
      <alignment horizontal="center" vertical="top" wrapText="1"/>
    </xf>
    <xf numFmtId="174" fontId="94" fillId="65" borderId="6" xfId="0" applyNumberFormat="1" applyFont="1" applyFill="1" applyBorder="1" applyAlignment="1" applyProtection="1">
      <alignment horizontal="center"/>
    </xf>
    <xf numFmtId="164" fontId="93" fillId="0" borderId="0" xfId="0" applyNumberFormat="1" applyFont="1" applyBorder="1" applyAlignment="1" applyProtection="1">
      <alignment horizontal="center"/>
    </xf>
    <xf numFmtId="0" fontId="94" fillId="0" borderId="178" xfId="0" applyFont="1" applyFill="1" applyBorder="1" applyAlignment="1" applyProtection="1">
      <alignment horizontal="center"/>
    </xf>
    <xf numFmtId="0" fontId="94" fillId="0" borderId="179" xfId="0" applyFont="1" applyFill="1" applyBorder="1" applyAlignment="1" applyProtection="1">
      <alignment horizontal="center"/>
    </xf>
    <xf numFmtId="0" fontId="94" fillId="0" borderId="180" xfId="0" applyFont="1" applyFill="1" applyBorder="1" applyAlignment="1" applyProtection="1">
      <alignment horizontal="center"/>
    </xf>
    <xf numFmtId="10" fontId="93" fillId="3" borderId="0" xfId="9" applyNumberFormat="1" applyFont="1" applyFill="1" applyBorder="1" applyAlignment="1" applyProtection="1">
      <alignment horizontal="center"/>
    </xf>
    <xf numFmtId="10" fontId="93" fillId="3" borderId="0" xfId="9" applyNumberFormat="1" applyFont="1" applyFill="1" applyBorder="1" applyAlignment="1" applyProtection="1">
      <alignment horizontal="center" vertical="top"/>
    </xf>
    <xf numFmtId="3" fontId="93" fillId="3" borderId="0" xfId="9" applyNumberFormat="1" applyFont="1" applyFill="1" applyBorder="1" applyAlignment="1" applyProtection="1">
      <alignment horizontal="center" vertical="top"/>
    </xf>
    <xf numFmtId="4" fontId="93" fillId="3" borderId="0" xfId="9" applyNumberFormat="1" applyFont="1" applyFill="1" applyBorder="1" applyAlignment="1" applyProtection="1">
      <alignment horizontal="center" vertical="top"/>
    </xf>
    <xf numFmtId="164" fontId="93" fillId="3" borderId="0" xfId="0" applyNumberFormat="1" applyFont="1" applyFill="1" applyBorder="1" applyAlignment="1" applyProtection="1">
      <alignment horizontal="center" vertical="top"/>
    </xf>
    <xf numFmtId="165" fontId="93" fillId="3" borderId="0" xfId="0" applyNumberFormat="1" applyFont="1" applyFill="1" applyBorder="1" applyAlignment="1" applyProtection="1">
      <alignment horizontal="center"/>
    </xf>
    <xf numFmtId="0" fontId="93" fillId="0" borderId="1" xfId="0" applyFont="1" applyBorder="1" applyAlignment="1" applyProtection="1">
      <alignment horizontal="center"/>
    </xf>
    <xf numFmtId="165" fontId="93" fillId="0" borderId="0" xfId="0" applyNumberFormat="1" applyFont="1" applyBorder="1" applyAlignment="1" applyProtection="1">
      <alignment horizontal="center"/>
    </xf>
    <xf numFmtId="185" fontId="93" fillId="0" borderId="0" xfId="0" applyNumberFormat="1" applyFont="1" applyBorder="1" applyAlignment="1" applyProtection="1">
      <alignment horizontal="center"/>
    </xf>
    <xf numFmtId="164" fontId="109" fillId="0" borderId="0" xfId="0" applyNumberFormat="1" applyFont="1" applyAlignment="1" applyProtection="1">
      <alignment horizontal="center"/>
    </xf>
    <xf numFmtId="185" fontId="109" fillId="0" borderId="0" xfId="0" applyNumberFormat="1" applyFont="1" applyAlignment="1" applyProtection="1">
      <alignment horizontal="center"/>
    </xf>
    <xf numFmtId="10" fontId="93" fillId="3" borderId="0" xfId="9" applyNumberFormat="1" applyFont="1" applyFill="1" applyBorder="1" applyAlignment="1" applyProtection="1">
      <alignment horizontal="left" vertical="top"/>
    </xf>
    <xf numFmtId="0" fontId="93" fillId="3" borderId="10" xfId="0" applyFont="1" applyFill="1" applyBorder="1" applyAlignment="1" applyProtection="1">
      <alignment horizontal="left"/>
    </xf>
    <xf numFmtId="10" fontId="93" fillId="3" borderId="10" xfId="9" applyNumberFormat="1" applyFont="1" applyFill="1" applyBorder="1" applyAlignment="1" applyProtection="1">
      <alignment horizontal="center" vertical="top"/>
    </xf>
    <xf numFmtId="174" fontId="93" fillId="0" borderId="0" xfId="0" applyNumberFormat="1" applyFont="1" applyAlignment="1" applyProtection="1">
      <alignment horizontal="center" vertical="top"/>
    </xf>
    <xf numFmtId="174" fontId="94" fillId="0" borderId="6" xfId="0" applyNumberFormat="1" applyFont="1" applyBorder="1" applyAlignment="1" applyProtection="1">
      <alignment horizontal="center"/>
    </xf>
    <xf numFmtId="174" fontId="94" fillId="0" borderId="6" xfId="0" applyNumberFormat="1" applyFont="1" applyFill="1" applyBorder="1" applyProtection="1"/>
    <xf numFmtId="164" fontId="93" fillId="0" borderId="0" xfId="0" applyNumberFormat="1" applyFont="1" applyProtection="1"/>
    <xf numFmtId="174" fontId="94" fillId="65" borderId="6" xfId="0" applyNumberFormat="1" applyFont="1" applyFill="1" applyBorder="1" applyAlignment="1" applyProtection="1">
      <alignment horizontal="right"/>
    </xf>
    <xf numFmtId="174" fontId="93" fillId="0" borderId="0" xfId="0" quotePrefix="1" applyNumberFormat="1" applyFont="1" applyBorder="1" applyProtection="1"/>
    <xf numFmtId="174" fontId="93" fillId="0" borderId="1" xfId="0" quotePrefix="1" applyNumberFormat="1" applyFont="1" applyBorder="1" applyProtection="1"/>
    <xf numFmtId="185" fontId="93" fillId="0" borderId="0" xfId="0" applyNumberFormat="1" applyFont="1" applyFill="1" applyProtection="1"/>
    <xf numFmtId="172" fontId="93" fillId="0" borderId="0" xfId="0" quotePrefix="1" applyNumberFormat="1" applyFont="1" applyProtection="1"/>
    <xf numFmtId="174" fontId="93" fillId="0" borderId="94" xfId="0" applyNumberFormat="1" applyFont="1" applyFill="1" applyBorder="1" applyProtection="1"/>
    <xf numFmtId="164" fontId="93" fillId="3" borderId="0" xfId="0" applyNumberFormat="1" applyFont="1" applyFill="1" applyBorder="1" applyAlignment="1" applyProtection="1">
      <alignment horizontal="center"/>
    </xf>
    <xf numFmtId="164" fontId="93" fillId="0" borderId="0" xfId="0" applyNumberFormat="1" applyFont="1" applyFill="1" applyBorder="1" applyAlignment="1" applyProtection="1">
      <alignment horizontal="center"/>
    </xf>
    <xf numFmtId="172" fontId="94" fillId="0" borderId="53" xfId="0" applyNumberFormat="1" applyFont="1" applyFill="1" applyBorder="1" applyAlignment="1" applyProtection="1">
      <alignment horizontal="center" vertical="top"/>
    </xf>
    <xf numFmtId="164" fontId="108" fillId="63" borderId="0" xfId="0" applyNumberFormat="1" applyFont="1" applyFill="1" applyBorder="1" applyAlignment="1" applyProtection="1">
      <alignment horizontal="center"/>
    </xf>
    <xf numFmtId="172" fontId="108" fillId="63" borderId="0" xfId="0" applyNumberFormat="1" applyFont="1" applyFill="1" applyBorder="1" applyAlignment="1" applyProtection="1">
      <alignment horizontal="center"/>
    </xf>
    <xf numFmtId="172" fontId="93" fillId="0" borderId="53" xfId="0" applyNumberFormat="1" applyFont="1" applyFill="1" applyBorder="1" applyAlignment="1" applyProtection="1">
      <alignment horizontal="center"/>
    </xf>
    <xf numFmtId="172" fontId="94" fillId="0" borderId="6" xfId="0" applyNumberFormat="1" applyFont="1" applyFill="1" applyBorder="1" applyAlignment="1" applyProtection="1">
      <alignment horizontal="center"/>
    </xf>
    <xf numFmtId="0" fontId="108" fillId="63" borderId="0" xfId="0" applyFont="1" applyFill="1" applyBorder="1" applyProtection="1"/>
    <xf numFmtId="0" fontId="93" fillId="0" borderId="1" xfId="0" applyFont="1" applyBorder="1" applyProtection="1"/>
    <xf numFmtId="200" fontId="93" fillId="0" borderId="0" xfId="0" applyNumberFormat="1" applyFont="1" applyFill="1" applyBorder="1"/>
    <xf numFmtId="201" fontId="98" fillId="4" borderId="3" xfId="11" applyNumberFormat="1" applyFont="1" applyBorder="1" applyAlignment="1" applyProtection="1">
      <alignment horizontal="center" vertical="top"/>
      <protection locked="0"/>
    </xf>
    <xf numFmtId="0" fontId="106" fillId="63" borderId="1" xfId="0" applyFont="1" applyFill="1" applyBorder="1" applyProtection="1">
      <protection hidden="1"/>
    </xf>
    <xf numFmtId="174" fontId="94" fillId="63" borderId="1" xfId="0" applyNumberFormat="1" applyFont="1" applyFill="1" applyBorder="1" applyAlignment="1" applyProtection="1">
      <alignment horizontal="right"/>
      <protection hidden="1"/>
    </xf>
    <xf numFmtId="1" fontId="94" fillId="63" borderId="1" xfId="0" applyNumberFormat="1" applyFont="1" applyFill="1" applyBorder="1" applyAlignment="1" applyProtection="1">
      <alignment horizontal="center"/>
      <protection hidden="1"/>
    </xf>
    <xf numFmtId="0" fontId="93" fillId="63" borderId="1" xfId="0" applyFont="1" applyFill="1" applyBorder="1" applyProtection="1">
      <protection hidden="1"/>
    </xf>
    <xf numFmtId="172" fontId="93" fillId="63" borderId="1" xfId="0" applyNumberFormat="1" applyFont="1" applyFill="1" applyBorder="1" applyAlignment="1" applyProtection="1">
      <alignment horizontal="center" vertical="top"/>
    </xf>
    <xf numFmtId="0" fontId="94" fillId="0" borderId="104" xfId="0" applyFont="1" applyFill="1" applyBorder="1" applyProtection="1">
      <protection hidden="1"/>
    </xf>
    <xf numFmtId="174" fontId="93" fillId="0" borderId="104" xfId="0" applyNumberFormat="1" applyFont="1" applyFill="1" applyBorder="1" applyAlignment="1" applyProtection="1">
      <alignment horizontal="right"/>
      <protection hidden="1"/>
    </xf>
    <xf numFmtId="0" fontId="93" fillId="0" borderId="104" xfId="0" applyFont="1" applyFill="1" applyBorder="1" applyProtection="1">
      <protection hidden="1"/>
    </xf>
    <xf numFmtId="0" fontId="93" fillId="0" borderId="104" xfId="0" applyFont="1" applyBorder="1" applyProtection="1">
      <protection hidden="1"/>
    </xf>
    <xf numFmtId="0" fontId="93" fillId="0" borderId="104" xfId="0" applyFont="1" applyBorder="1" applyProtection="1"/>
    <xf numFmtId="172" fontId="93" fillId="0" borderId="104" xfId="0" applyNumberFormat="1" applyFont="1" applyFill="1" applyBorder="1" applyAlignment="1" applyProtection="1">
      <alignment horizontal="center"/>
    </xf>
    <xf numFmtId="172" fontId="93" fillId="0" borderId="103" xfId="0" applyNumberFormat="1" applyFont="1" applyFill="1" applyBorder="1" applyAlignment="1" applyProtection="1">
      <alignment horizontal="left"/>
      <protection hidden="1"/>
    </xf>
    <xf numFmtId="172" fontId="94" fillId="0" borderId="103" xfId="0" applyNumberFormat="1" applyFont="1" applyFill="1" applyBorder="1" applyAlignment="1" applyProtection="1">
      <alignment horizontal="left"/>
      <protection hidden="1"/>
    </xf>
    <xf numFmtId="193" fontId="93" fillId="0" borderId="0" xfId="0" applyNumberFormat="1" applyFont="1" applyFill="1" applyBorder="1" applyProtection="1">
      <protection hidden="1"/>
    </xf>
    <xf numFmtId="200" fontId="93" fillId="0" borderId="0" xfId="0" applyNumberFormat="1" applyFont="1" applyFill="1" applyBorder="1" applyProtection="1">
      <protection hidden="1"/>
    </xf>
    <xf numFmtId="172" fontId="93" fillId="0" borderId="103" xfId="0" applyNumberFormat="1" applyFont="1" applyFill="1" applyBorder="1" applyAlignment="1">
      <alignment horizontal="center" vertical="top"/>
    </xf>
    <xf numFmtId="172" fontId="93" fillId="0" borderId="1" xfId="0" applyNumberFormat="1" applyFont="1" applyFill="1" applyBorder="1" applyAlignment="1" applyProtection="1">
      <alignment horizontal="left"/>
      <protection hidden="1"/>
    </xf>
    <xf numFmtId="172" fontId="93" fillId="0" borderId="0" xfId="0" applyNumberFormat="1" applyFont="1" applyFill="1" applyAlignment="1" applyProtection="1">
      <alignment horizontal="left"/>
      <protection hidden="1"/>
    </xf>
    <xf numFmtId="172" fontId="94" fillId="0" borderId="0" xfId="0" applyNumberFormat="1" applyFont="1" applyFill="1" applyBorder="1" applyAlignment="1">
      <alignment horizontal="center" wrapText="1"/>
    </xf>
    <xf numFmtId="199" fontId="93" fillId="3" borderId="0" xfId="0" quotePrefix="1" applyNumberFormat="1" applyFont="1" applyFill="1" applyBorder="1" applyAlignment="1">
      <alignment horizontal="center"/>
    </xf>
    <xf numFmtId="172" fontId="98" fillId="4" borderId="99" xfId="11" applyNumberFormat="1" applyFont="1" applyBorder="1" applyAlignment="1" applyProtection="1">
      <alignment horizontal="right" vertical="top"/>
      <protection locked="0"/>
    </xf>
    <xf numFmtId="172" fontId="98" fillId="2" borderId="99" xfId="11" applyNumberFormat="1" applyFont="1" applyFill="1" applyBorder="1" applyAlignment="1" applyProtection="1">
      <alignment horizontal="right" vertical="top"/>
      <protection locked="0"/>
    </xf>
    <xf numFmtId="174" fontId="98" fillId="4" borderId="99" xfId="11" applyNumberFormat="1" applyFont="1" applyBorder="1" applyAlignment="1" applyProtection="1">
      <alignment horizontal="right" vertical="top"/>
      <protection locked="0"/>
    </xf>
    <xf numFmtId="172" fontId="93" fillId="4" borderId="99" xfId="11" applyNumberFormat="1" applyFont="1" applyBorder="1" applyAlignment="1" applyProtection="1">
      <alignment horizontal="right" vertical="top"/>
      <protection locked="0"/>
    </xf>
    <xf numFmtId="1" fontId="98" fillId="0" borderId="0" xfId="0" applyNumberFormat="1" applyFont="1" applyFill="1" applyBorder="1" applyAlignment="1">
      <alignment horizontal="right"/>
    </xf>
    <xf numFmtId="0" fontId="93" fillId="0" borderId="104" xfId="0" applyFont="1" applyFill="1" applyBorder="1" applyProtection="1"/>
    <xf numFmtId="164" fontId="93" fillId="0" borderId="104" xfId="0" applyNumberFormat="1" applyFont="1" applyFill="1" applyBorder="1" applyAlignment="1" applyProtection="1">
      <alignment horizontal="center"/>
    </xf>
    <xf numFmtId="172" fontId="94" fillId="0" borderId="0" xfId="0" applyNumberFormat="1" applyFont="1" applyFill="1" applyBorder="1" applyAlignment="1" applyProtection="1">
      <alignment horizontal="left"/>
      <protection hidden="1"/>
    </xf>
    <xf numFmtId="174" fontId="94" fillId="0" borderId="104" xfId="0" applyNumberFormat="1" applyFont="1" applyFill="1" applyBorder="1" applyAlignment="1" applyProtection="1">
      <alignment horizontal="right"/>
      <protection hidden="1"/>
    </xf>
    <xf numFmtId="1" fontId="94" fillId="0" borderId="104" xfId="0" applyNumberFormat="1" applyFont="1" applyFill="1" applyBorder="1" applyAlignment="1" applyProtection="1">
      <alignment horizontal="center"/>
      <protection hidden="1"/>
    </xf>
    <xf numFmtId="172" fontId="93" fillId="0" borderId="104" xfId="0" applyNumberFormat="1" applyFont="1" applyFill="1" applyBorder="1" applyAlignment="1" applyProtection="1">
      <alignment horizontal="center" vertical="top"/>
    </xf>
    <xf numFmtId="174" fontId="94" fillId="0" borderId="104" xfId="0" applyNumberFormat="1" applyFont="1" applyFill="1" applyBorder="1" applyAlignment="1">
      <alignment horizontal="right"/>
    </xf>
    <xf numFmtId="1" fontId="94" fillId="0" borderId="104" xfId="0" applyNumberFormat="1" applyFont="1" applyFill="1" applyBorder="1" applyAlignment="1">
      <alignment horizontal="center"/>
    </xf>
    <xf numFmtId="0" fontId="93" fillId="0" borderId="104" xfId="0" applyFont="1" applyFill="1" applyBorder="1"/>
    <xf numFmtId="0" fontId="134" fillId="69" borderId="104" xfId="0" applyFont="1" applyFill="1" applyBorder="1"/>
    <xf numFmtId="0" fontId="63" fillId="66" borderId="0" xfId="0" applyFont="1" applyFill="1" applyProtection="1">
      <protection locked="0"/>
    </xf>
    <xf numFmtId="172" fontId="98" fillId="2" borderId="126" xfId="0" applyNumberFormat="1" applyFont="1" applyFill="1" applyBorder="1" applyAlignment="1" applyProtection="1">
      <alignment horizontal="center" vertical="top"/>
      <protection locked="0"/>
    </xf>
    <xf numFmtId="172" fontId="94" fillId="0" borderId="59" xfId="0" applyNumberFormat="1" applyFont="1" applyFill="1" applyBorder="1" applyAlignment="1" applyProtection="1">
      <alignment horizontal="center" vertical="top"/>
    </xf>
    <xf numFmtId="172" fontId="94" fillId="0" borderId="66" xfId="0" applyNumberFormat="1" applyFont="1" applyFill="1" applyBorder="1" applyAlignment="1" applyProtection="1">
      <alignment horizontal="center" vertical="top"/>
    </xf>
    <xf numFmtId="172" fontId="93" fillId="0" borderId="188" xfId="0" applyNumberFormat="1" applyFont="1" applyFill="1" applyBorder="1" applyAlignment="1" applyProtection="1">
      <alignment horizontal="center" vertical="top"/>
    </xf>
    <xf numFmtId="0" fontId="93" fillId="0" borderId="20" xfId="0" applyFont="1" applyFill="1" applyBorder="1" applyAlignment="1" applyProtection="1">
      <alignment horizontal="center" vertical="top"/>
    </xf>
    <xf numFmtId="0" fontId="93" fillId="0" borderId="106" xfId="0" applyFont="1" applyFill="1" applyBorder="1" applyAlignment="1" applyProtection="1">
      <alignment horizontal="center" vertical="top"/>
    </xf>
    <xf numFmtId="0" fontId="93" fillId="0" borderId="1" xfId="0" applyFont="1" applyFill="1" applyBorder="1" applyAlignment="1" applyProtection="1">
      <alignment horizontal="center" vertical="top"/>
    </xf>
    <xf numFmtId="172" fontId="93" fillId="0" borderId="1" xfId="0" applyNumberFormat="1" applyFont="1" applyFill="1" applyBorder="1" applyAlignment="1">
      <alignment horizontal="left"/>
    </xf>
    <xf numFmtId="172" fontId="94" fillId="0" borderId="1" xfId="0" applyNumberFormat="1" applyFont="1" applyFill="1" applyBorder="1" applyAlignment="1">
      <alignment horizontal="left"/>
    </xf>
    <xf numFmtId="172" fontId="94" fillId="0" borderId="1" xfId="0" applyNumberFormat="1" applyFont="1" applyFill="1" applyBorder="1" applyAlignment="1" applyProtection="1">
      <alignment horizontal="center"/>
    </xf>
    <xf numFmtId="172" fontId="93" fillId="69" borderId="0" xfId="0" applyNumberFormat="1" applyFont="1" applyFill="1" applyBorder="1" applyAlignment="1">
      <alignment horizontal="left"/>
    </xf>
    <xf numFmtId="174" fontId="94" fillId="69" borderId="0" xfId="0" applyNumberFormat="1" applyFont="1" applyFill="1" applyBorder="1" applyAlignment="1">
      <alignment horizontal="right"/>
    </xf>
    <xf numFmtId="1" fontId="94" fillId="69" borderId="0" xfId="0" applyNumberFormat="1" applyFont="1" applyFill="1" applyBorder="1" applyAlignment="1">
      <alignment horizontal="center"/>
    </xf>
    <xf numFmtId="0" fontId="93" fillId="69" borderId="0" xfId="0" applyFont="1" applyFill="1" applyBorder="1"/>
    <xf numFmtId="172" fontId="93" fillId="69" borderId="0" xfId="0" applyNumberFormat="1" applyFont="1" applyFill="1" applyBorder="1" applyAlignment="1" applyProtection="1">
      <alignment horizontal="center"/>
    </xf>
    <xf numFmtId="174" fontId="94" fillId="0" borderId="1" xfId="0" applyNumberFormat="1" applyFont="1" applyBorder="1" applyAlignment="1">
      <alignment horizontal="right"/>
    </xf>
    <xf numFmtId="0" fontId="94" fillId="0" borderId="189" xfId="0" applyFont="1" applyFill="1" applyBorder="1" applyAlignment="1" applyProtection="1">
      <alignment horizontal="center"/>
    </xf>
    <xf numFmtId="0" fontId="94" fillId="0" borderId="190" xfId="0" applyFont="1" applyFill="1" applyBorder="1" applyAlignment="1" applyProtection="1">
      <alignment horizontal="center"/>
    </xf>
    <xf numFmtId="0" fontId="94" fillId="0" borderId="191" xfId="0" applyFont="1" applyFill="1" applyBorder="1" applyAlignment="1" applyProtection="1">
      <alignment horizontal="center"/>
    </xf>
    <xf numFmtId="9" fontId="105" fillId="4" borderId="11" xfId="11" applyNumberFormat="1" applyFont="1" applyBorder="1" applyAlignment="1" applyProtection="1">
      <alignment horizontal="center"/>
      <protection locked="0"/>
    </xf>
    <xf numFmtId="1" fontId="105" fillId="4" borderId="3" xfId="11" applyNumberFormat="1" applyFont="1" applyBorder="1" applyAlignment="1" applyProtection="1">
      <alignment horizontal="center" vertical="top"/>
      <protection locked="0"/>
    </xf>
    <xf numFmtId="165" fontId="105" fillId="4" borderId="3" xfId="11" applyNumberFormat="1" applyFont="1" applyBorder="1" applyAlignment="1" applyProtection="1">
      <alignment horizontal="center" vertical="top"/>
      <protection locked="0"/>
    </xf>
    <xf numFmtId="2" fontId="105" fillId="4" borderId="3" xfId="11" applyNumberFormat="1" applyFont="1" applyBorder="1" applyAlignment="1" applyProtection="1">
      <alignment horizontal="center" vertical="top"/>
      <protection locked="0"/>
    </xf>
    <xf numFmtId="164" fontId="105" fillId="4" borderId="3" xfId="11" applyNumberFormat="1" applyFont="1" applyBorder="1" applyAlignment="1" applyProtection="1">
      <alignment horizontal="center" vertical="top"/>
      <protection locked="0"/>
    </xf>
    <xf numFmtId="174" fontId="98" fillId="4" borderId="99" xfId="11" applyNumberFormat="1" applyFont="1" applyBorder="1" applyAlignment="1" applyProtection="1">
      <alignment horizontal="right"/>
      <protection locked="0"/>
    </xf>
    <xf numFmtId="0" fontId="98" fillId="4" borderId="99" xfId="4" applyNumberFormat="1" applyFont="1" applyFill="1" applyBorder="1" applyAlignment="1" applyProtection="1">
      <alignment horizontal="center"/>
      <protection locked="0"/>
    </xf>
    <xf numFmtId="184" fontId="94" fillId="4" borderId="99" xfId="4" applyNumberFormat="1" applyFont="1" applyFill="1" applyBorder="1" applyAlignment="1" applyProtection="1">
      <alignment horizontal="center"/>
      <protection locked="0"/>
    </xf>
    <xf numFmtId="0" fontId="94" fillId="63" borderId="0" xfId="0" applyFont="1" applyFill="1"/>
    <xf numFmtId="174" fontId="94" fillId="63" borderId="0" xfId="0" applyNumberFormat="1" applyFont="1" applyFill="1" applyAlignment="1">
      <alignment horizontal="right"/>
    </xf>
    <xf numFmtId="0" fontId="94" fillId="63" borderId="0" xfId="0" applyFont="1" applyFill="1" applyAlignment="1" applyProtection="1">
      <alignment horizontal="center"/>
    </xf>
    <xf numFmtId="175" fontId="98" fillId="4" borderId="3" xfId="11" applyNumberFormat="1" applyFont="1" applyAlignment="1" applyProtection="1">
      <alignment horizontal="right"/>
      <protection locked="0"/>
    </xf>
    <xf numFmtId="172" fontId="97" fillId="0" borderId="30" xfId="6" applyNumberFormat="1" applyFont="1" applyBorder="1" applyProtection="1"/>
    <xf numFmtId="172" fontId="97" fillId="0" borderId="29" xfId="6" applyNumberFormat="1" applyFont="1" applyBorder="1" applyProtection="1"/>
    <xf numFmtId="0" fontId="126" fillId="2" borderId="67" xfId="0" applyFont="1" applyFill="1" applyBorder="1" applyAlignment="1" applyProtection="1">
      <alignment horizontal="left"/>
      <protection locked="0"/>
    </xf>
    <xf numFmtId="0" fontId="135" fillId="2" borderId="93" xfId="0" applyFont="1" applyFill="1" applyBorder="1" applyAlignment="1" applyProtection="1">
      <alignment horizontal="center"/>
      <protection locked="0"/>
    </xf>
    <xf numFmtId="0" fontId="94" fillId="0" borderId="1" xfId="0" applyFont="1" applyBorder="1" applyAlignment="1">
      <alignment wrapText="1"/>
    </xf>
    <xf numFmtId="0" fontId="94" fillId="0" borderId="1" xfId="0" applyFont="1" applyBorder="1"/>
    <xf numFmtId="0" fontId="98" fillId="2" borderId="93" xfId="0" applyFont="1" applyFill="1" applyBorder="1" applyAlignment="1" applyProtection="1">
      <alignment horizontal="left"/>
      <protection locked="0"/>
    </xf>
    <xf numFmtId="0" fontId="93" fillId="2" borderId="93" xfId="7" applyFont="1" applyFill="1" applyBorder="1" applyAlignment="1" applyProtection="1">
      <alignment horizontal="left" wrapText="1"/>
      <protection locked="0"/>
    </xf>
    <xf numFmtId="0" fontId="98" fillId="2" borderId="67" xfId="0" applyFont="1" applyFill="1" applyBorder="1" applyAlignment="1" applyProtection="1">
      <alignment horizontal="left"/>
      <protection locked="0"/>
    </xf>
    <xf numFmtId="0" fontId="93" fillId="2" borderId="67" xfId="7" applyFont="1" applyFill="1" applyBorder="1" applyAlignment="1" applyProtection="1">
      <alignment horizontal="left" wrapText="1"/>
      <protection locked="0"/>
    </xf>
    <xf numFmtId="0" fontId="126" fillId="2" borderId="93" xfId="0" applyFont="1" applyFill="1" applyBorder="1" applyAlignment="1" applyProtection="1">
      <alignment horizontal="left"/>
      <protection locked="0"/>
    </xf>
    <xf numFmtId="0" fontId="98" fillId="2" borderId="67" xfId="0" applyFont="1" applyFill="1" applyBorder="1" applyProtection="1">
      <protection locked="0"/>
    </xf>
    <xf numFmtId="0" fontId="98" fillId="2" borderId="142" xfId="0" applyFont="1" applyFill="1" applyBorder="1" applyProtection="1">
      <protection locked="0"/>
    </xf>
    <xf numFmtId="0" fontId="98" fillId="2" borderId="93" xfId="0" applyFont="1" applyFill="1" applyBorder="1" applyProtection="1">
      <protection locked="0"/>
    </xf>
    <xf numFmtId="172" fontId="108" fillId="0" borderId="1" xfId="0" applyNumberFormat="1" applyFont="1" applyFill="1" applyBorder="1"/>
    <xf numFmtId="0" fontId="108" fillId="0" borderId="1" xfId="0" applyFont="1" applyFill="1" applyBorder="1"/>
    <xf numFmtId="0" fontId="94" fillId="3" borderId="116" xfId="0" applyFont="1" applyFill="1" applyBorder="1" applyAlignment="1">
      <alignment wrapText="1"/>
    </xf>
    <xf numFmtId="0" fontId="91" fillId="0" borderId="103" xfId="0" applyFont="1" applyFill="1" applyBorder="1" applyAlignment="1">
      <alignment horizontal="left"/>
    </xf>
    <xf numFmtId="0" fontId="91" fillId="0" borderId="116" xfId="0" applyFont="1" applyFill="1" applyBorder="1" applyAlignment="1">
      <alignment horizontal="left"/>
    </xf>
    <xf numFmtId="0" fontId="66" fillId="63" borderId="171" xfId="33112" applyFont="1" applyFill="1" applyBorder="1" applyAlignment="1">
      <alignment horizontal="center" vertical="top" wrapText="1"/>
    </xf>
    <xf numFmtId="0" fontId="66" fillId="63" borderId="172" xfId="33112" applyFont="1" applyFill="1" applyBorder="1" applyAlignment="1">
      <alignment horizontal="center" vertical="top" wrapText="1"/>
    </xf>
    <xf numFmtId="0" fontId="106" fillId="0" borderId="0" xfId="0" applyFont="1" applyFill="1" applyBorder="1" applyAlignment="1">
      <alignment horizontal="left"/>
    </xf>
    <xf numFmtId="0" fontId="63" fillId="69" borderId="0" xfId="0" applyFont="1" applyFill="1"/>
    <xf numFmtId="0" fontId="91" fillId="63" borderId="71" xfId="0" applyFont="1" applyFill="1" applyBorder="1" applyAlignment="1" applyProtection="1">
      <alignment horizontal="center" vertical="center" wrapText="1"/>
    </xf>
    <xf numFmtId="0" fontId="91" fillId="63" borderId="68" xfId="0" applyFont="1" applyFill="1" applyBorder="1" applyAlignment="1" applyProtection="1">
      <alignment horizontal="center" vertical="center" wrapText="1"/>
    </xf>
    <xf numFmtId="0" fontId="91" fillId="63" borderId="80" xfId="0" applyFont="1" applyFill="1" applyBorder="1" applyAlignment="1" applyProtection="1">
      <alignment horizontal="center" vertical="center" wrapText="1"/>
    </xf>
    <xf numFmtId="0" fontId="103" fillId="0" borderId="57" xfId="8" applyFont="1" applyBorder="1" applyAlignment="1" applyProtection="1">
      <alignment horizontal="center"/>
    </xf>
    <xf numFmtId="0" fontId="103" fillId="0" borderId="58" xfId="8" applyFont="1" applyBorder="1" applyAlignment="1" applyProtection="1">
      <alignment horizontal="center"/>
    </xf>
    <xf numFmtId="0" fontId="0" fillId="0" borderId="0" xfId="0" applyAlignment="1">
      <alignment horizontal="center"/>
    </xf>
  </cellXfs>
  <cellStyles count="33114">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10" xfId="33113" xr:uid="{6468BD92-958D-486B-96BE-AF4FB1475FD1}"/>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2"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rmal_Sheet1" xfId="33111" xr:uid="{07D2C8C1-B135-4A2B-9BAE-C51541F968EF}"/>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60">
    <dxf>
      <fill>
        <patternFill>
          <bgColor indexed="42"/>
        </patternFill>
      </fill>
    </dxf>
    <dxf>
      <fill>
        <patternFill>
          <bgColor indexed="27"/>
        </patternFill>
      </fill>
    </dxf>
    <dxf>
      <fill>
        <patternFill>
          <bgColor indexed="27"/>
        </patternFill>
      </fill>
    </dxf>
    <dxf>
      <fill>
        <patternFill>
          <bgColor indexed="42"/>
        </patternFill>
      </fill>
    </dxf>
    <dxf>
      <fill>
        <patternFill>
          <bgColor indexed="42"/>
        </patternFill>
      </fill>
    </dxf>
    <dxf>
      <fill>
        <patternFill>
          <bgColor indexed="42"/>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indexed="22"/>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indexed="22"/>
        </patternFill>
      </fill>
    </dxf>
    <dxf>
      <fill>
        <patternFill>
          <bgColor rgb="FFF0F0F0"/>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22"/>
        </patternFill>
      </fill>
    </dxf>
    <dxf>
      <fill>
        <patternFill>
          <bgColor indexed="22"/>
        </patternFill>
      </fill>
    </dxf>
    <dxf>
      <fill>
        <patternFill>
          <bgColor indexed="42"/>
        </patternFill>
      </fill>
    </dxf>
    <dxf>
      <fill>
        <patternFill>
          <bgColor indexed="22"/>
        </patternFill>
      </fill>
    </dxf>
    <dxf>
      <fill>
        <patternFill>
          <bgColor indexed="42"/>
        </patternFill>
      </fill>
    </dxf>
    <dxf>
      <fill>
        <patternFill>
          <bgColor indexed="42"/>
        </patternFill>
      </fill>
    </dxf>
    <dxf>
      <fill>
        <patternFill>
          <bgColor indexed="22"/>
        </patternFill>
      </fill>
    </dxf>
    <dxf>
      <fill>
        <patternFill>
          <bgColor indexed="22"/>
        </patternFill>
      </fill>
    </dxf>
    <dxf>
      <fill>
        <patternFill>
          <bgColor rgb="FFF0F0F0"/>
        </patternFill>
      </fill>
    </dxf>
    <dxf>
      <fill>
        <patternFill>
          <bgColor rgb="FFF0F0F0"/>
        </patternFill>
      </fill>
    </dxf>
    <dxf>
      <fill>
        <patternFill>
          <bgColor rgb="FFF0F0F0"/>
        </patternFill>
      </fill>
    </dxf>
    <dxf>
      <fill>
        <patternFill>
          <bgColor indexed="22"/>
        </patternFill>
      </fill>
    </dxf>
    <dxf>
      <fill>
        <patternFill>
          <bgColor indexed="4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2021</c:v>
                </c:pt>
                <c:pt idx="1">
                  <c:v>2022</c:v>
                </c:pt>
                <c:pt idx="2">
                  <c:v>2023</c:v>
                </c:pt>
                <c:pt idx="3">
                  <c:v>2024</c:v>
                </c:pt>
                <c:pt idx="4">
                  <c:v>2025</c:v>
                </c:pt>
                <c:pt idx="5">
                  <c:v>2026</c:v>
                </c:pt>
                <c:pt idx="6">
                  <c:v>2027</c:v>
                </c:pt>
              </c:numCache>
            </c:numRef>
          </c:cat>
          <c:val>
            <c:numRef>
              <c:f>Marketing!$H$45:$N$45</c:f>
              <c:numCache>
                <c:formatCode>0%;[Red]\(0%\);"-%"</c:formatCode>
                <c:ptCount val="7"/>
                <c:pt idx="0">
                  <c:v>0</c:v>
                </c:pt>
                <c:pt idx="1">
                  <c:v>0.15459750045017717</c:v>
                </c:pt>
                <c:pt idx="2">
                  <c:v>0.1592354254636825</c:v>
                </c:pt>
                <c:pt idx="3">
                  <c:v>0.16401248822759298</c:v>
                </c:pt>
                <c:pt idx="4">
                  <c:v>0.16893286287442077</c:v>
                </c:pt>
                <c:pt idx="5">
                  <c:v>0.17400084876065341</c:v>
                </c:pt>
                <c:pt idx="6">
                  <c:v>0.17922087422347302</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persons/person.xml><?xml version="1.0" encoding="utf-8"?>
<personList xmlns="http://schemas.microsoft.com/office/spreadsheetml/2018/threadedcomments" xmlns:x="http://schemas.openxmlformats.org/spreadsheetml/2006/main">
  <person displayName="Michael Hutchins" id="{B99A2D5D-3262-48B4-9518-41102A0FECDD}" userId="S::m.hutchins@spcsa.nv.gov::0dee9529-13a7-462b-a458-930bcfd86a3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2" dT="2019-10-09T22:19:25.08" personId="{B99A2D5D-3262-48B4-9518-41102A0FECDD}" id="{9909DB41-4054-4051-8E9D-3A06A152DDC1}">
    <text>Lines renamed to match profile</text>
  </threadedComment>
  <threadedComment ref="B62" dT="2019-10-09T22:19:55.60" personId="{B99A2D5D-3262-48B4-9518-41102A0FECDD}" id="{AE8693CC-D799-40D8-BC0A-DDEFCADE3B8B}">
    <text>Lines renamed to match profile and other tabs</text>
  </threadedComment>
  <threadedComment ref="C62" dT="2019-10-09T22:20:22.95" personId="{B99A2D5D-3262-48B4-9518-41102A0FECDD}" id="{14D4832A-A429-4B66-9D06-54B3C5043617}">
    <text>Numbers now pulling from depreciation based expenses instead of cash acquisition cost.</text>
  </threadedComment>
  <threadedComment ref="B110" dT="2019-10-09T22:20:56.08" personId="{B99A2D5D-3262-48B4-9518-41102A0FECDD}" id="{B847000C-AC3D-464A-9FCB-AF07C0B48B0E}">
    <text>Lines changed for consistency</text>
  </threadedComment>
  <threadedComment ref="B114" dT="2019-10-09T22:21:33.10" personId="{B99A2D5D-3262-48B4-9518-41102A0FECDD}" id="{B6F42B41-A78D-412D-AF3D-9126A5E0D606}">
    <text>lines changed for consistency</text>
  </threadedComment>
  <threadedComment ref="B133" dT="2019-10-09T22:21:46.00" personId="{B99A2D5D-3262-48B4-9518-41102A0FECDD}" id="{60129E67-CD70-46E7-91DA-906463589E3F}">
    <text>lines changed for consistency</text>
  </threadedComment>
  <threadedComment ref="B153" dT="2019-10-09T22:21:59.11" personId="{B99A2D5D-3262-48B4-9518-41102A0FECDD}" id="{E0B74DCF-2136-4060-977D-5542CAFEBFAB}">
    <text>lines changed for consistency</text>
  </threadedComment>
</ThreadedComments>
</file>

<file path=xl/threadedComments/threadedComment2.xml><?xml version="1.0" encoding="utf-8"?>
<ThreadedComments xmlns="http://schemas.microsoft.com/office/spreadsheetml/2018/threadedcomments" xmlns:x="http://schemas.openxmlformats.org/spreadsheetml/2006/main">
  <threadedComment ref="B1380" dT="2019-10-09T22:25:54.66" personId="{B99A2D5D-3262-48B4-9518-41102A0FECDD}" id="{B7BA76B9-72DC-4B51-84FC-DCB653FB95D7}">
    <text>removed marketing from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G24" dT="2019-10-09T22:26:48.95" personId="{B99A2D5D-3262-48B4-9518-41102A0FECDD}" id="{049FD8B7-A556-4458-B741-9CE337C84F58}">
    <text>added capitalization assumption for capital outlay.  15 year depreciation schedule used based on Nevada Personal Property Manual (PPM)</text>
  </threadedComment>
  <threadedComment ref="H24" dT="2019-10-09T22:26:48.95" personId="{B99A2D5D-3262-48B4-9518-41102A0FECDD}" id="{7EE94EAF-B192-4E48-A3B1-248D938F898C}">
    <text>added capitalization assumption for capital outlay.  15 year depreciation schedule used based on Nevada Personal Property Manual (PPM)</text>
  </threadedComment>
  <threadedComment ref="G25" dT="2019-10-09T22:28:14.70" personId="{B99A2D5D-3262-48B4-9518-41102A0FECDD}" id="{70378DE7-6B40-4D69-A2B5-CDAE21ECCA12}">
    <text>LIst both the cash cost and the book expense</text>
  </threadedComment>
  <threadedComment ref="H25" dT="2019-10-09T22:28:14.70" personId="{B99A2D5D-3262-48B4-9518-41102A0FECDD}" id="{4D20B39F-CCD5-40F6-88A7-DA908090EB1A}">
    <text>LIst both the cash cost and the book expense</text>
  </threadedComment>
  <threadedComment ref="G63" dT="2019-10-09T22:28:29.17" personId="{B99A2D5D-3262-48B4-9518-41102A0FECDD}" id="{5A1E9927-B689-4F2F-9FDF-9AC411BA394B}">
    <text>LIst both the cash cost and the book expense</text>
  </threadedComment>
  <threadedComment ref="H63" dT="2019-10-09T22:28:29.17" personId="{B99A2D5D-3262-48B4-9518-41102A0FECDD}" id="{8B4CE012-06EE-44EF-B9A4-70A151D8CD64}">
    <text>LIst both the cash cost and the book expense</text>
  </threadedComment>
  <threadedComment ref="G64" dT="2019-10-09T22:27:53.20" personId="{B99A2D5D-3262-48B4-9518-41102A0FECDD}" id="{4A77444D-2667-414A-ACA6-5CACB9E7392C}">
    <text>Added a depreciation schedule for new building purchase/construction using a 50 year asset life per the Nevada PPM.</text>
  </threadedComment>
  <threadedComment ref="H64" dT="2019-10-09T22:27:53.20" personId="{B99A2D5D-3262-48B4-9518-41102A0FECDD}" id="{C044C3D4-0587-448F-AE58-11BAA9E73751}">
    <text>Added a depreciation schedule for new building purchase/construction using a 50 year asset life per the Nevada PPM.</text>
  </threadedComment>
  <threadedComment ref="G68" dT="2019-10-09T22:28:23.38" personId="{B99A2D5D-3262-48B4-9518-41102A0FECDD}" id="{CE06D8D1-4B55-4EF4-8B14-2444C8B0CA22}">
    <text>LIst both the cash cost and the book expense</text>
  </threadedComment>
</ThreadedComments>
</file>

<file path=xl/threadedComments/threadedComment4.xml><?xml version="1.0" encoding="utf-8"?>
<ThreadedComments xmlns="http://schemas.microsoft.com/office/spreadsheetml/2018/threadedcomments" xmlns:x="http://schemas.openxmlformats.org/spreadsheetml/2006/main">
  <threadedComment ref="D19" dT="2019-10-09T22:28:59.88" personId="{B99A2D5D-3262-48B4-9518-41102A0FECDD}" id="{F988B70B-290B-4766-ABAF-6F3E355164A9}">
    <text>added depreciation schedules with asset lives based on their category in the Nevada PPM</text>
  </threadedComment>
  <threadedComment ref="G54" dT="2019-10-09T22:29:09.07" personId="{B99A2D5D-3262-48B4-9518-41102A0FECDD}" id="{B4301313-E1AF-4271-9069-A45BFC26B287}">
    <text>LIst both the cash cost and the book expense</text>
  </threadedComment>
  <threadedComment ref="H54" dT="2019-10-09T22:29:09.07" personId="{B99A2D5D-3262-48B4-9518-41102A0FECDD}" id="{D66716B6-DB56-4581-A047-8B89F69EE2A7}">
    <text>LIst both the cash cost and the book expense</text>
  </threadedComment>
</ThreadedComments>
</file>

<file path=xl/threadedComments/threadedComment5.xml><?xml version="1.0" encoding="utf-8"?>
<ThreadedComments xmlns="http://schemas.microsoft.com/office/spreadsheetml/2018/threadedcomments" xmlns:x="http://schemas.openxmlformats.org/spreadsheetml/2006/main">
  <threadedComment ref="A14" dT="2019-10-09T22:22:23.61" personId="{B99A2D5D-3262-48B4-9518-41102A0FECDD}" id="{428C169F-7646-4CB0-B350-6B3997D0EBEC}">
    <text>lines changed to align with profile tab</text>
  </threadedComment>
  <threadedComment ref="A35" dT="2019-10-09T22:22:57.48" personId="{B99A2D5D-3262-48B4-9518-41102A0FECDD}" id="{747F349B-9CDE-4C7C-8445-7504F225BB0C}">
    <text>Lines changed to line up with profile and other tabs</text>
  </threadedComment>
  <threadedComment ref="D35" dT="2019-10-09T22:23:07.55" personId="{B99A2D5D-3262-48B4-9518-41102A0FECDD}" id="{5F5A5891-0F7E-438F-98FE-D46B19DAAF7A}">
    <text>conditional formatting added</text>
  </threadedComment>
  <threadedComment ref="A84" dT="2019-10-09T22:23:55.26" personId="{B99A2D5D-3262-48B4-9518-41102A0FECDD}" id="{E1B0AABC-FE85-4305-BCDA-D864236FBEFC}">
    <text>lines changed for consistency</text>
  </threadedComment>
  <threadedComment ref="A103" dT="2019-10-09T22:24:47.00" personId="{B99A2D5D-3262-48B4-9518-41102A0FECDD}" id="{0B2BF462-FA3C-4697-880A-84E104C1867C}">
    <text>formulas changed in this section to reflect percent of total expenses rather than revenue to avoid division by zero errors</text>
  </threadedComment>
  <threadedComment ref="A106" dT="2019-10-09T22:24:07.51" personId="{B99A2D5D-3262-48B4-9518-41102A0FECDD}" id="{105A4EF2-9C02-45A7-B312-9628B5927DF1}">
    <text>lines changed for consistency</text>
  </threadedComment>
  <threadedComment ref="A126" dT="2019-10-09T22:25:27.80" personId="{B99A2D5D-3262-48B4-9518-41102A0FECDD}" id="{5FEA338C-255D-43F8-9B7C-705D98B58B85}">
    <text>added lines to display cash expenses for each month as a percentage of the beginning and ending cash balance to highlight areas of potential liquidity concerns.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87"/>
  <sheetViews>
    <sheetView view="pageBreakPreview" topLeftCell="A44" zoomScale="115" zoomScaleNormal="115" zoomScaleSheetLayoutView="115" workbookViewId="0">
      <selection activeCell="A50" sqref="A50"/>
    </sheetView>
  </sheetViews>
  <sheetFormatPr baseColWidth="10" defaultColWidth="8.83203125" defaultRowHeight="15"/>
  <cols>
    <col min="1" max="1" width="116.83203125" customWidth="1"/>
  </cols>
  <sheetData>
    <row r="1" spans="1:1">
      <c r="A1" s="3" t="s">
        <v>263</v>
      </c>
    </row>
    <row r="2" spans="1:1" ht="7.5" customHeight="1"/>
    <row r="3" spans="1:1" ht="49.5" customHeight="1">
      <c r="A3" s="442" t="s">
        <v>875</v>
      </c>
    </row>
    <row r="5" spans="1:1">
      <c r="A5" s="3" t="s">
        <v>266</v>
      </c>
    </row>
    <row r="6" spans="1:1" ht="95.25" customHeight="1">
      <c r="A6" s="1266" t="s">
        <v>936</v>
      </c>
    </row>
    <row r="7" spans="1:1">
      <c r="A7" s="2"/>
    </row>
    <row r="8" spans="1:1">
      <c r="A8" s="1268" t="s">
        <v>896</v>
      </c>
    </row>
    <row r="9" spans="1:1" ht="16">
      <c r="A9" s="4" t="s">
        <v>897</v>
      </c>
    </row>
    <row r="10" spans="1:1">
      <c r="A10" s="4"/>
    </row>
    <row r="11" spans="1:1">
      <c r="A11" s="1268" t="s">
        <v>898</v>
      </c>
    </row>
    <row r="12" spans="1:1" ht="32">
      <c r="A12" s="4" t="s">
        <v>937</v>
      </c>
    </row>
    <row r="13" spans="1:1">
      <c r="A13" s="2"/>
    </row>
    <row r="14" spans="1:1">
      <c r="A14" s="1382" t="s">
        <v>895</v>
      </c>
    </row>
    <row r="15" spans="1:1">
      <c r="A15" s="1268" t="s">
        <v>886</v>
      </c>
    </row>
    <row r="16" spans="1:1" ht="16" hidden="1">
      <c r="A16" s="1267" t="s">
        <v>347</v>
      </c>
    </row>
    <row r="17" spans="1:26" ht="32" hidden="1">
      <c r="A17" s="1267" t="s">
        <v>348</v>
      </c>
    </row>
    <row r="18" spans="1:26" ht="32" hidden="1">
      <c r="A18" s="1267" t="s">
        <v>349</v>
      </c>
    </row>
    <row r="19" spans="1:26" ht="48">
      <c r="A19" s="2" t="s">
        <v>876</v>
      </c>
    </row>
    <row r="20" spans="1:26" ht="32">
      <c r="A20" s="2" t="s">
        <v>877</v>
      </c>
    </row>
    <row r="21" spans="1:26" ht="32">
      <c r="A21" s="2" t="s">
        <v>878</v>
      </c>
      <c r="S21" s="10"/>
      <c r="T21" s="10"/>
      <c r="U21" s="10"/>
      <c r="V21" s="10"/>
      <c r="W21" s="10"/>
      <c r="X21" s="10"/>
      <c r="Y21" s="10"/>
      <c r="Z21" s="10"/>
    </row>
    <row r="22" spans="1:26">
      <c r="A22" t="s">
        <v>879</v>
      </c>
      <c r="S22" s="10"/>
      <c r="T22" s="10"/>
      <c r="U22" s="10"/>
      <c r="V22" s="10"/>
      <c r="W22" s="10"/>
      <c r="X22" s="10"/>
      <c r="Y22" s="10"/>
      <c r="Z22" s="10"/>
    </row>
    <row r="23" spans="1:26">
      <c r="A23" s="1" t="s">
        <v>880</v>
      </c>
      <c r="S23" s="10"/>
      <c r="T23" s="10"/>
      <c r="U23" s="10"/>
      <c r="V23" s="10"/>
      <c r="W23" s="10"/>
      <c r="X23" s="10"/>
      <c r="Y23" s="10"/>
      <c r="Z23" s="10"/>
    </row>
    <row r="24" spans="1:26">
      <c r="A24" s="1" t="s">
        <v>881</v>
      </c>
      <c r="S24" s="10"/>
      <c r="T24" s="10"/>
      <c r="U24" s="10"/>
      <c r="V24" s="10"/>
      <c r="W24" s="10"/>
      <c r="X24" s="10"/>
      <c r="Y24" s="10"/>
      <c r="Z24" s="10"/>
    </row>
    <row r="25" spans="1:26">
      <c r="A25" s="1" t="s">
        <v>883</v>
      </c>
      <c r="S25" s="10"/>
      <c r="T25" s="10"/>
      <c r="U25" s="10"/>
      <c r="V25" s="10"/>
      <c r="W25" s="10"/>
      <c r="X25" s="10"/>
      <c r="Y25" s="10"/>
      <c r="Z25" s="10"/>
    </row>
    <row r="26" spans="1:26">
      <c r="A26" s="1" t="s">
        <v>882</v>
      </c>
      <c r="S26" s="10"/>
      <c r="T26" s="10"/>
      <c r="U26" s="10"/>
      <c r="V26" s="10"/>
      <c r="W26" s="10"/>
      <c r="X26" s="10"/>
      <c r="Y26" s="10"/>
      <c r="Z26" s="10"/>
    </row>
    <row r="27" spans="1:26">
      <c r="A27" s="1" t="s">
        <v>884</v>
      </c>
      <c r="S27" s="10"/>
      <c r="T27" s="10"/>
      <c r="U27" s="10"/>
      <c r="V27" s="10"/>
      <c r="W27" s="10"/>
      <c r="X27" s="10"/>
      <c r="Y27" s="10"/>
      <c r="Z27" s="10"/>
    </row>
    <row r="28" spans="1:26">
      <c r="A28" s="1" t="s">
        <v>885</v>
      </c>
      <c r="S28" s="10"/>
      <c r="T28" s="10"/>
      <c r="U28" s="10"/>
      <c r="V28" s="10"/>
      <c r="W28" s="10"/>
      <c r="X28" s="10"/>
      <c r="Y28" s="10"/>
      <c r="Z28" s="10"/>
    </row>
    <row r="29" spans="1:26">
      <c r="S29" s="10"/>
      <c r="T29" s="10"/>
      <c r="U29" s="10"/>
      <c r="V29" s="10"/>
      <c r="W29" s="10"/>
      <c r="X29" s="10"/>
      <c r="Y29" s="10"/>
      <c r="Z29" s="10"/>
    </row>
    <row r="30" spans="1:26">
      <c r="A30" s="1268" t="s">
        <v>901</v>
      </c>
      <c r="S30" s="10"/>
      <c r="T30" s="10"/>
      <c r="U30" s="10"/>
      <c r="V30" s="10"/>
      <c r="W30" s="10"/>
      <c r="X30" s="10"/>
      <c r="Y30" s="10"/>
      <c r="Z30" s="10"/>
    </row>
    <row r="31" spans="1:26" ht="48">
      <c r="A31" s="4" t="s">
        <v>264</v>
      </c>
      <c r="S31" s="10"/>
      <c r="T31" s="10"/>
      <c r="U31" s="10"/>
      <c r="V31" s="10"/>
      <c r="W31" s="10"/>
      <c r="X31" s="10"/>
      <c r="Y31" s="10"/>
      <c r="Z31" s="10"/>
    </row>
    <row r="32" spans="1:26">
      <c r="A32" s="1268" t="s">
        <v>902</v>
      </c>
      <c r="S32" s="10"/>
      <c r="T32" s="10"/>
      <c r="U32" s="10"/>
      <c r="V32" s="10"/>
      <c r="W32" s="10"/>
      <c r="X32" s="10"/>
      <c r="Y32" s="10"/>
      <c r="Z32" s="10"/>
    </row>
    <row r="33" spans="1:26" hidden="1">
      <c r="A33" s="972" t="s">
        <v>350</v>
      </c>
      <c r="S33" s="10"/>
      <c r="T33" s="10"/>
      <c r="U33" s="10"/>
      <c r="V33" s="10"/>
      <c r="W33" s="10"/>
      <c r="X33" s="10"/>
      <c r="Y33" s="10"/>
      <c r="Z33" s="10"/>
    </row>
    <row r="34" spans="1:26" hidden="1">
      <c r="A34" s="972" t="s">
        <v>858</v>
      </c>
      <c r="S34" s="10"/>
      <c r="T34" s="10"/>
      <c r="U34" s="10"/>
      <c r="V34" s="10"/>
      <c r="W34" s="10"/>
      <c r="X34" s="10"/>
      <c r="Y34" s="10"/>
      <c r="Z34" s="10"/>
    </row>
    <row r="35" spans="1:26" hidden="1">
      <c r="A35" s="972" t="s">
        <v>859</v>
      </c>
      <c r="S35" s="10"/>
      <c r="T35" s="10"/>
      <c r="U35" s="10"/>
      <c r="V35" s="10"/>
      <c r="W35" s="10"/>
      <c r="X35" s="10"/>
      <c r="Y35" s="10"/>
      <c r="Z35" s="10"/>
    </row>
    <row r="36" spans="1:26" ht="32" hidden="1">
      <c r="A36" s="1267" t="s">
        <v>860</v>
      </c>
      <c r="S36" s="10"/>
      <c r="T36" s="10"/>
      <c r="U36" s="10"/>
      <c r="V36" s="10"/>
      <c r="W36" s="10"/>
      <c r="X36" s="10"/>
      <c r="Y36" s="10"/>
      <c r="Z36" s="10"/>
    </row>
    <row r="37" spans="1:26" hidden="1">
      <c r="A37" s="972" t="s">
        <v>861</v>
      </c>
      <c r="S37" s="10"/>
      <c r="T37" s="10"/>
      <c r="U37" s="10"/>
      <c r="V37" s="10"/>
      <c r="W37" s="10"/>
      <c r="X37" s="10"/>
      <c r="Y37" s="10"/>
      <c r="Z37" s="10"/>
    </row>
    <row r="38" spans="1:26" hidden="1">
      <c r="A38" s="972" t="s">
        <v>862</v>
      </c>
      <c r="S38" s="10"/>
      <c r="T38" s="10"/>
      <c r="U38" s="10"/>
      <c r="V38" s="10"/>
      <c r="W38" s="10"/>
      <c r="X38" s="10"/>
      <c r="Y38" s="10"/>
      <c r="Z38" s="10"/>
    </row>
    <row r="39" spans="1:26" hidden="1">
      <c r="A39" s="972" t="s">
        <v>863</v>
      </c>
      <c r="S39" s="10"/>
      <c r="T39" s="10"/>
      <c r="U39" s="10"/>
      <c r="V39" s="10"/>
      <c r="W39" s="10"/>
      <c r="X39" s="10"/>
      <c r="Y39" s="10"/>
      <c r="Z39" s="10"/>
    </row>
    <row r="40" spans="1:26" ht="32" hidden="1">
      <c r="A40" s="1267" t="s">
        <v>864</v>
      </c>
      <c r="S40" s="10"/>
      <c r="T40" s="10"/>
      <c r="U40" s="10"/>
      <c r="V40" s="10"/>
      <c r="W40" s="10"/>
      <c r="X40" s="10"/>
      <c r="Y40" s="10"/>
      <c r="Z40" s="10"/>
    </row>
    <row r="41" spans="1:26" ht="47.25" hidden="1" customHeight="1">
      <c r="A41" s="1267" t="s">
        <v>344</v>
      </c>
      <c r="S41" s="10"/>
      <c r="T41" s="10"/>
      <c r="U41" s="10"/>
      <c r="V41" s="10"/>
      <c r="W41" s="10"/>
      <c r="X41" s="10"/>
      <c r="Y41" s="10"/>
      <c r="Z41" s="10"/>
    </row>
    <row r="42" spans="1:26" ht="15" hidden="1" customHeight="1">
      <c r="A42" s="1267" t="s">
        <v>865</v>
      </c>
      <c r="S42" s="10"/>
      <c r="T42" s="10"/>
      <c r="U42" s="10"/>
      <c r="V42" s="10"/>
      <c r="W42" s="10"/>
      <c r="X42" s="10"/>
      <c r="Y42" s="10"/>
      <c r="Z42" s="10"/>
    </row>
    <row r="43" spans="1:26" ht="29.25" hidden="1" customHeight="1">
      <c r="A43" s="1267" t="s">
        <v>866</v>
      </c>
      <c r="S43" s="10"/>
      <c r="T43" s="10"/>
      <c r="U43" s="10"/>
      <c r="V43" s="10"/>
      <c r="W43" s="10"/>
      <c r="X43" s="10"/>
      <c r="Y43" s="10"/>
      <c r="Z43" s="10"/>
    </row>
    <row r="44" spans="1:26">
      <c r="S44" s="10"/>
      <c r="T44" s="10"/>
      <c r="U44" s="10"/>
      <c r="V44" s="10"/>
      <c r="W44" s="10"/>
      <c r="X44" s="10"/>
      <c r="Y44" s="10"/>
      <c r="Z44" s="10"/>
    </row>
    <row r="45" spans="1:26">
      <c r="A45" s="1268" t="s">
        <v>903</v>
      </c>
      <c r="S45" s="10"/>
      <c r="T45" s="10"/>
      <c r="U45" s="10"/>
      <c r="V45" s="10"/>
      <c r="W45" s="10"/>
      <c r="X45" s="10"/>
      <c r="Y45" s="10"/>
      <c r="Z45" s="10"/>
    </row>
    <row r="46" spans="1:26" ht="16">
      <c r="A46" s="4" t="s">
        <v>265</v>
      </c>
      <c r="S46" s="10"/>
      <c r="T46" s="10"/>
      <c r="U46" s="10"/>
      <c r="V46" s="10"/>
      <c r="W46" s="10"/>
      <c r="X46" s="10"/>
      <c r="Y46" s="10"/>
      <c r="Z46" s="10"/>
    </row>
    <row r="47" spans="1:26" ht="16">
      <c r="A47" s="4" t="s">
        <v>939</v>
      </c>
      <c r="S47" s="10"/>
      <c r="T47" s="10"/>
      <c r="U47" s="10"/>
      <c r="V47" s="10"/>
      <c r="W47" s="10"/>
      <c r="X47" s="10"/>
      <c r="Y47" s="10"/>
      <c r="Z47" s="10"/>
    </row>
    <row r="48" spans="1:26" ht="30.75" hidden="1" customHeight="1">
      <c r="A48" s="2" t="s">
        <v>867</v>
      </c>
      <c r="S48" s="10"/>
      <c r="T48" s="10"/>
      <c r="U48" s="10"/>
      <c r="V48" s="10"/>
      <c r="W48" s="10"/>
      <c r="X48" s="10"/>
      <c r="Y48" s="10"/>
      <c r="Z48" s="10"/>
    </row>
    <row r="49" spans="1:26" ht="32" hidden="1">
      <c r="A49" s="2" t="s">
        <v>267</v>
      </c>
      <c r="S49" s="10"/>
      <c r="T49" s="10"/>
      <c r="U49" s="10"/>
      <c r="V49" s="10"/>
      <c r="W49" s="10"/>
      <c r="X49" s="10"/>
      <c r="Y49" s="10"/>
      <c r="Z49" s="10"/>
    </row>
    <row r="50" spans="1:26" ht="16">
      <c r="A50" s="2" t="s">
        <v>941</v>
      </c>
      <c r="S50" s="10"/>
      <c r="T50" s="10"/>
      <c r="U50" s="10"/>
      <c r="V50" s="10"/>
      <c r="W50" s="10"/>
      <c r="X50" s="10"/>
      <c r="Y50" s="10"/>
      <c r="Z50" s="10"/>
    </row>
    <row r="51" spans="1:26">
      <c r="S51" s="10"/>
      <c r="T51" s="10"/>
      <c r="U51" s="10"/>
      <c r="V51" s="10"/>
      <c r="W51" s="10"/>
      <c r="X51" s="10"/>
      <c r="Y51" s="10"/>
      <c r="Z51" s="10"/>
    </row>
    <row r="52" spans="1:26">
      <c r="A52" s="1268" t="s">
        <v>887</v>
      </c>
      <c r="S52" s="10"/>
      <c r="T52" s="10"/>
      <c r="U52" s="10"/>
      <c r="V52" s="10"/>
      <c r="W52" s="10"/>
      <c r="X52" s="10"/>
      <c r="Y52" s="10"/>
      <c r="Z52" s="10"/>
    </row>
    <row r="53" spans="1:26" ht="16">
      <c r="A53" s="4" t="s">
        <v>888</v>
      </c>
      <c r="S53" s="10"/>
      <c r="T53" s="10"/>
      <c r="U53" s="10"/>
      <c r="V53" s="10"/>
      <c r="W53" s="10"/>
      <c r="X53" s="10"/>
      <c r="Y53" s="10"/>
      <c r="Z53" s="10"/>
    </row>
    <row r="54" spans="1:26">
      <c r="A54" s="2"/>
      <c r="S54" s="10"/>
      <c r="T54" s="10"/>
      <c r="U54" s="10"/>
      <c r="V54" s="10"/>
      <c r="W54" s="10"/>
      <c r="X54" s="10"/>
      <c r="Y54" s="10"/>
      <c r="Z54" s="10"/>
    </row>
    <row r="55" spans="1:26">
      <c r="A55" s="1268" t="s">
        <v>889</v>
      </c>
      <c r="S55" s="10"/>
      <c r="T55" s="10"/>
      <c r="U55" s="10"/>
      <c r="V55" s="10"/>
      <c r="W55" s="10"/>
      <c r="X55" s="10"/>
      <c r="Y55" s="10"/>
      <c r="Z55" s="10"/>
    </row>
    <row r="56" spans="1:26" ht="16">
      <c r="A56" s="4" t="s">
        <v>890</v>
      </c>
      <c r="S56" s="10"/>
      <c r="T56" s="10"/>
      <c r="U56" s="10"/>
      <c r="V56" s="10"/>
      <c r="W56" s="10"/>
      <c r="X56" s="10"/>
      <c r="Y56" s="10"/>
      <c r="Z56" s="10"/>
    </row>
    <row r="57" spans="1:26" ht="15" customHeight="1">
      <c r="A57" s="4" t="s">
        <v>891</v>
      </c>
      <c r="S57" s="10"/>
      <c r="T57" s="10"/>
      <c r="U57" s="10"/>
      <c r="V57" s="10"/>
      <c r="W57" s="10"/>
      <c r="X57" s="10"/>
      <c r="Y57" s="10"/>
      <c r="Z57" s="10"/>
    </row>
    <row r="58" spans="1:26">
      <c r="S58" s="10"/>
      <c r="T58" s="10"/>
      <c r="U58" s="10"/>
      <c r="V58" s="10"/>
      <c r="W58" s="10"/>
      <c r="X58" s="10"/>
      <c r="Y58" s="10"/>
      <c r="Z58" s="10"/>
    </row>
    <row r="59" spans="1:26">
      <c r="A59" s="1268" t="s">
        <v>893</v>
      </c>
    </row>
    <row r="60" spans="1:26" ht="16">
      <c r="A60" s="4" t="s">
        <v>923</v>
      </c>
    </row>
    <row r="61" spans="1:26">
      <c r="A61" s="4"/>
    </row>
    <row r="62" spans="1:26">
      <c r="A62" s="1268" t="s">
        <v>899</v>
      </c>
    </row>
    <row r="63" spans="1:26" ht="16">
      <c r="A63" s="4" t="s">
        <v>900</v>
      </c>
    </row>
    <row r="64" spans="1:26">
      <c r="A64" s="4"/>
    </row>
    <row r="65" spans="1:1">
      <c r="A65" s="1268" t="s">
        <v>893</v>
      </c>
    </row>
    <row r="67" spans="1:1">
      <c r="A67" s="1268" t="s">
        <v>904</v>
      </c>
    </row>
    <row r="68" spans="1:1" ht="16">
      <c r="A68" s="4" t="s">
        <v>905</v>
      </c>
    </row>
    <row r="70" spans="1:1">
      <c r="A70" s="1268" t="s">
        <v>906</v>
      </c>
    </row>
    <row r="71" spans="1:1" ht="16">
      <c r="A71" s="4" t="s">
        <v>907</v>
      </c>
    </row>
    <row r="73" spans="1:1">
      <c r="A73" s="1268" t="s">
        <v>908</v>
      </c>
    </row>
    <row r="74" spans="1:1" ht="16">
      <c r="A74" s="4" t="s">
        <v>909</v>
      </c>
    </row>
    <row r="75" spans="1:1">
      <c r="A75" s="4"/>
    </row>
    <row r="76" spans="1:1">
      <c r="A76" s="1268" t="s">
        <v>910</v>
      </c>
    </row>
    <row r="77" spans="1:1" ht="16">
      <c r="A77" s="4" t="s">
        <v>911</v>
      </c>
    </row>
    <row r="78" spans="1:1">
      <c r="A78" s="4"/>
    </row>
    <row r="79" spans="1:1">
      <c r="A79" s="1268" t="s">
        <v>912</v>
      </c>
    </row>
    <row r="80" spans="1:1" ht="16">
      <c r="A80" s="4" t="s">
        <v>913</v>
      </c>
    </row>
    <row r="81" spans="1:1">
      <c r="A81" s="4"/>
    </row>
    <row r="82" spans="1:1">
      <c r="A82" s="1268" t="s">
        <v>758</v>
      </c>
    </row>
    <row r="85" spans="1:1">
      <c r="A85" s="3" t="s">
        <v>894</v>
      </c>
    </row>
    <row r="86" spans="1:1" ht="16">
      <c r="A86" s="4" t="s">
        <v>698</v>
      </c>
    </row>
    <row r="87" spans="1:1" ht="16">
      <c r="A87" s="4" t="s">
        <v>914</v>
      </c>
    </row>
  </sheetData>
  <sheetProtection algorithmName="SHA-512" hashValue="O3/Nx8lnU7I5JacPnbjI7nSHDzkpV6WPDSp/I9J4Dv3X5LDZ0EfqL5gUjgHYptgcydNtyjvKBoCecFBa1H4CIw==" saltValue="NYrfsuksZGP/XqncIeLIvQ==" spinCount="100000" sheet="1" objects="1" scenarios="1"/>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rgb="FFFFFF00"/>
  </sheetPr>
  <dimension ref="A1:G26"/>
  <sheetViews>
    <sheetView view="pageBreakPreview" topLeftCell="A4" zoomScaleNormal="100" zoomScaleSheetLayoutView="100" workbookViewId="0">
      <selection activeCell="C8" sqref="C8:G8"/>
    </sheetView>
  </sheetViews>
  <sheetFormatPr baseColWidth="10" defaultColWidth="8.83203125" defaultRowHeight="16"/>
  <cols>
    <col min="1" max="1" width="1.33203125" style="490" customWidth="1"/>
    <col min="2" max="2" width="3.33203125" customWidth="1"/>
    <col min="3" max="3" width="19" customWidth="1"/>
    <col min="4" max="4" width="26.6640625" customWidth="1"/>
    <col min="5" max="5" width="24.33203125" customWidth="1"/>
    <col min="6" max="6" width="19.33203125" customWidth="1"/>
    <col min="7" max="7" width="7.6640625" customWidth="1"/>
  </cols>
  <sheetData>
    <row r="1" spans="1:7">
      <c r="A1" s="65" t="s">
        <v>699</v>
      </c>
      <c r="B1" s="65"/>
      <c r="C1" s="65"/>
    </row>
    <row r="2" spans="1:7">
      <c r="A2" s="494" t="str">
        <f>SchoolName</f>
        <v>TEACH Las Vegas</v>
      </c>
      <c r="B2" s="495"/>
      <c r="C2" s="495"/>
    </row>
    <row r="3" spans="1:7" ht="15">
      <c r="A3" s="491" t="s">
        <v>412</v>
      </c>
    </row>
    <row r="4" spans="1:7" ht="15">
      <c r="A4" s="492" t="s">
        <v>444</v>
      </c>
    </row>
    <row r="5" spans="1:7" ht="15">
      <c r="A5" s="493" t="str">
        <f ca="1">CELL("filename")</f>
        <v>/Users/matthewbrown/Desktop/[2021MB-New-CS-Application-Financial-Plan-TEACH REV 21.1.04MB 2021 02 01.xlsx]Enrol Staff &amp; Exp</v>
      </c>
    </row>
    <row r="7" spans="1:7">
      <c r="C7" s="672" t="s">
        <v>700</v>
      </c>
      <c r="D7" s="672"/>
      <c r="E7" s="672"/>
      <c r="F7" s="275"/>
      <c r="G7" s="275"/>
    </row>
    <row r="8" spans="1:7" ht="35">
      <c r="C8" s="1418" t="s">
        <v>942</v>
      </c>
      <c r="D8" s="1418"/>
      <c r="E8" s="1418"/>
      <c r="F8" s="1418"/>
      <c r="G8" s="1418"/>
    </row>
    <row r="10" spans="1:7">
      <c r="C10" s="1264">
        <v>2021</v>
      </c>
      <c r="D10" s="665" t="s">
        <v>744</v>
      </c>
    </row>
    <row r="11" spans="1:7">
      <c r="C11" s="781">
        <f>+C10+1</f>
        <v>2022</v>
      </c>
    </row>
    <row r="13" spans="1:7">
      <c r="C13" s="672" t="s">
        <v>701</v>
      </c>
      <c r="D13" s="672"/>
      <c r="E13" s="273" t="s">
        <v>589</v>
      </c>
      <c r="F13" s="1420" t="s">
        <v>590</v>
      </c>
      <c r="G13" s="1420"/>
    </row>
    <row r="14" spans="1:7">
      <c r="B14" s="673">
        <v>1</v>
      </c>
      <c r="C14" s="1421" t="s">
        <v>945</v>
      </c>
      <c r="D14" s="1421"/>
      <c r="E14" s="1265"/>
      <c r="F14" s="1422" t="s">
        <v>944</v>
      </c>
      <c r="G14" s="1422"/>
    </row>
    <row r="15" spans="1:7">
      <c r="B15" s="673">
        <v>2</v>
      </c>
      <c r="C15" s="1423" t="s">
        <v>943</v>
      </c>
      <c r="D15" s="1423"/>
      <c r="E15" s="1265"/>
      <c r="F15" s="1424" t="s">
        <v>946</v>
      </c>
      <c r="G15" s="1424"/>
    </row>
    <row r="16" spans="1:7" ht="30.75" customHeight="1">
      <c r="B16" s="673"/>
      <c r="C16" s="1419" t="s">
        <v>770</v>
      </c>
      <c r="D16" s="1419"/>
      <c r="E16" s="1419"/>
      <c r="F16" s="1419"/>
      <c r="G16" s="1419"/>
    </row>
    <row r="17" spans="2:7" ht="18" customHeight="1">
      <c r="B17" s="673">
        <v>1</v>
      </c>
      <c r="C17" s="1425" t="s">
        <v>967</v>
      </c>
      <c r="D17" s="1425"/>
      <c r="E17" s="1425"/>
      <c r="F17" s="1425"/>
      <c r="G17" s="1425"/>
    </row>
    <row r="18" spans="2:7" ht="18" customHeight="1">
      <c r="B18" s="673">
        <v>2</v>
      </c>
      <c r="C18" s="1417"/>
      <c r="D18" s="1417"/>
      <c r="E18" s="1417"/>
      <c r="F18" s="1417"/>
      <c r="G18" s="1417"/>
    </row>
    <row r="19" spans="2:7">
      <c r="C19" s="380" t="s">
        <v>705</v>
      </c>
    </row>
    <row r="20" spans="2:7">
      <c r="C20" s="380"/>
    </row>
    <row r="21" spans="2:7">
      <c r="C21" s="223" t="s">
        <v>934</v>
      </c>
    </row>
    <row r="22" spans="2:7">
      <c r="C22" s="1073" t="s">
        <v>586</v>
      </c>
      <c r="D22" s="665" t="s">
        <v>715</v>
      </c>
    </row>
    <row r="23" spans="2:7">
      <c r="C23" s="444"/>
      <c r="D23" s="217" t="s">
        <v>716</v>
      </c>
    </row>
    <row r="24" spans="2:7">
      <c r="C24" s="1073"/>
      <c r="D24" s="217" t="s">
        <v>702</v>
      </c>
    </row>
    <row r="25" spans="2:7">
      <c r="C25" s="444"/>
    </row>
    <row r="26" spans="2:7">
      <c r="C26" s="1073"/>
      <c r="D26" s="217" t="s">
        <v>703</v>
      </c>
    </row>
  </sheetData>
  <sheetProtection algorithmName="SHA-512" hashValue="CrK5h7HVFtcK0eBIPYzdUvrJGEMKiKxJXsv8vHVcmmjhSYrCcfiHZDRoMUpZO1sp9z3drkts0/Y+5fXR5emrUw==" saltValue="PY3MMs75MKYUtySo4VsepA==" spinCount="100000" sheet="1" objects="1" scenarios="1" selectLockedCells="1"/>
  <mergeCells count="9">
    <mergeCell ref="C18:G18"/>
    <mergeCell ref="C8:G8"/>
    <mergeCell ref="C16:G16"/>
    <mergeCell ref="F13:G13"/>
    <mergeCell ref="C14:D14"/>
    <mergeCell ref="F14:G14"/>
    <mergeCell ref="C15:D15"/>
    <mergeCell ref="F15:G15"/>
    <mergeCell ref="C17:G17"/>
  </mergeCells>
  <conditionalFormatting sqref="D22">
    <cfRule type="cellIs" dxfId="59" priority="6" stopIfTrue="1" operator="equal">
      <formula>0</formula>
    </cfRule>
  </conditionalFormatting>
  <conditionalFormatting sqref="D10">
    <cfRule type="cellIs" dxfId="58" priority="5" stopIfTrue="1" operator="equal">
      <formula>0</formula>
    </cfRule>
  </conditionalFormatting>
  <pageMargins left="0.35" right="0.25" top="0.32" bottom="0.5" header="0.32" footer="0.3"/>
  <pageSetup scale="98" orientation="portrait" r:id="rId1"/>
  <headerFooter>
    <oddFooter>&amp;L&amp;7&amp;D  at &amp;T Mike 702.486.8879&amp;C&amp;7Page &amp;P of &amp;N&amp;R&amp;7&amp;F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99"/>
  </sheetPr>
  <dimension ref="A1:P180"/>
  <sheetViews>
    <sheetView view="pageBreakPreview" topLeftCell="A51" zoomScale="85" zoomScaleNormal="85" zoomScaleSheetLayoutView="85" workbookViewId="0">
      <selection activeCell="I81" sqref="I81"/>
    </sheetView>
  </sheetViews>
  <sheetFormatPr baseColWidth="10" defaultColWidth="7.6640625" defaultRowHeight="14"/>
  <cols>
    <col min="1" max="1" width="1.33203125" style="217" customWidth="1"/>
    <col min="2" max="2" width="32.6640625" style="217" customWidth="1"/>
    <col min="3" max="3" width="16.83203125" style="217" bestFit="1" customWidth="1"/>
    <col min="4" max="4" width="8.83203125" style="217" customWidth="1"/>
    <col min="5" max="5" width="13.33203125" style="217" customWidth="1"/>
    <col min="6" max="8" width="15.33203125" style="217" customWidth="1"/>
    <col min="9" max="9" width="19.1640625" style="217" bestFit="1" customWidth="1"/>
    <col min="10" max="10" width="19.6640625" style="217" bestFit="1" customWidth="1"/>
    <col min="11" max="11" width="15.6640625" style="217" bestFit="1" customWidth="1"/>
    <col min="12" max="12" width="2.6640625" style="217" customWidth="1"/>
    <col min="13" max="13" width="0.83203125" style="217" customWidth="1"/>
    <col min="14" max="14" width="9.33203125" style="217" bestFit="1" customWidth="1"/>
    <col min="15" max="15" width="10.6640625" style="217" bestFit="1" customWidth="1"/>
    <col min="16" max="16" width="11.83203125" style="217" bestFit="1" customWidth="1"/>
    <col min="17" max="16384" width="7.6640625" style="217"/>
  </cols>
  <sheetData>
    <row r="1" spans="1:12" ht="16">
      <c r="A1" s="501" t="s">
        <v>445</v>
      </c>
      <c r="B1" s="215"/>
      <c r="C1" s="216"/>
      <c r="J1" s="151"/>
    </row>
    <row r="2" spans="1:12" ht="16">
      <c r="A2" s="502" t="str">
        <f>SchoolName</f>
        <v>TEACH Las Vegas</v>
      </c>
      <c r="B2" s="218"/>
      <c r="C2" s="219"/>
      <c r="F2" s="223"/>
    </row>
    <row r="3" spans="1:12">
      <c r="A3" s="220" t="s">
        <v>412</v>
      </c>
      <c r="C3" s="221"/>
    </row>
    <row r="4" spans="1:12">
      <c r="A4" s="222" t="s">
        <v>444</v>
      </c>
    </row>
    <row r="5" spans="1:12">
      <c r="A5" s="200" t="str">
        <f ca="1">CELL("filename")</f>
        <v>/Users/matthewbrown/Desktop/[2021MB-New-CS-Application-Financial-Plan-TEACH REV 21.1.04MB 2021 02 01.xlsx]Enrol Staff &amp; Exp</v>
      </c>
    </row>
    <row r="7" spans="1:12">
      <c r="B7" s="223"/>
      <c r="C7" s="201"/>
      <c r="D7" s="201"/>
      <c r="E7" s="201" t="str">
        <f>'Enrol Staff &amp; Exp'!G9</f>
        <v>SY 0/Incubation</v>
      </c>
      <c r="F7" s="201" t="str">
        <f>'Enrol Staff &amp; Exp'!H9</f>
        <v>SY 1</v>
      </c>
      <c r="G7" s="201" t="str">
        <f>'Enrol Staff &amp; Exp'!I9</f>
        <v>SY 2</v>
      </c>
      <c r="H7" s="201" t="str">
        <f>'Enrol Staff &amp; Exp'!J9</f>
        <v>SY 3</v>
      </c>
      <c r="I7" s="201" t="str">
        <f>'Enrol Staff &amp; Exp'!K9</f>
        <v>SY 4</v>
      </c>
      <c r="J7" s="201" t="str">
        <f>'Enrol Staff &amp; Exp'!L9</f>
        <v>SY 5</v>
      </c>
      <c r="K7" s="201" t="str">
        <f>'Enrol Staff &amp; Exp'!M9</f>
        <v>SY 6</v>
      </c>
      <c r="L7" s="201"/>
    </row>
    <row r="8" spans="1:12" ht="18.75" customHeight="1">
      <c r="B8" s="223"/>
      <c r="C8" s="224" t="s">
        <v>554</v>
      </c>
      <c r="D8" s="225"/>
      <c r="E8" s="225">
        <f>'Enrol Staff &amp; Exp'!G10</f>
        <v>2020</v>
      </c>
      <c r="F8" s="225">
        <f>'Enrol Staff &amp; Exp'!H10</f>
        <v>2021</v>
      </c>
      <c r="G8" s="225">
        <f>'Enrol Staff &amp; Exp'!I10</f>
        <v>2022</v>
      </c>
      <c r="H8" s="225">
        <f>'Enrol Staff &amp; Exp'!J10</f>
        <v>2023</v>
      </c>
      <c r="I8" s="225">
        <f>'Enrol Staff &amp; Exp'!K10</f>
        <v>2024</v>
      </c>
      <c r="J8" s="225">
        <f>'Enrol Staff &amp; Exp'!L10</f>
        <v>2025</v>
      </c>
      <c r="K8" s="225">
        <f>'Enrol Staff &amp; Exp'!M10</f>
        <v>2026</v>
      </c>
      <c r="L8" s="225"/>
    </row>
    <row r="9" spans="1:12" ht="18.75" customHeight="1">
      <c r="B9" s="223"/>
      <c r="C9" s="226"/>
      <c r="D9" s="227"/>
      <c r="E9" s="228">
        <f>'Enrol Staff &amp; Exp'!G11</f>
        <v>2021</v>
      </c>
      <c r="F9" s="228">
        <f>'Enrol Staff &amp; Exp'!H11</f>
        <v>2022</v>
      </c>
      <c r="G9" s="228">
        <f>'Enrol Staff &amp; Exp'!I11</f>
        <v>2023</v>
      </c>
      <c r="H9" s="228">
        <f>'Enrol Staff &amp; Exp'!J11</f>
        <v>2024</v>
      </c>
      <c r="I9" s="228">
        <f>'Enrol Staff &amp; Exp'!K11</f>
        <v>2025</v>
      </c>
      <c r="J9" s="228">
        <f>'Enrol Staff &amp; Exp'!L11</f>
        <v>2026</v>
      </c>
      <c r="K9" s="227">
        <f>'Enrol Staff &amp; Exp'!M11</f>
        <v>2027</v>
      </c>
      <c r="L9" s="509"/>
    </row>
    <row r="10" spans="1:12" s="221" customFormat="1">
      <c r="B10" s="219"/>
      <c r="C10" s="1283"/>
      <c r="D10" s="230"/>
      <c r="E10" s="230"/>
      <c r="F10" s="230"/>
      <c r="G10" s="230"/>
      <c r="H10" s="230"/>
      <c r="I10" s="230"/>
      <c r="J10" s="230"/>
      <c r="K10" s="230"/>
      <c r="L10" s="230"/>
    </row>
    <row r="11" spans="1:12">
      <c r="B11" s="505" t="s">
        <v>138</v>
      </c>
      <c r="C11" s="231">
        <f>MAX(F11:K11)</f>
        <v>975</v>
      </c>
      <c r="D11" s="231"/>
      <c r="E11" s="231">
        <f>'Enrol Staff &amp; Exp'!G31</f>
        <v>0</v>
      </c>
      <c r="F11" s="231">
        <f>'Enrol Staff &amp; Exp'!H31</f>
        <v>325</v>
      </c>
      <c r="G11" s="231">
        <f>'Enrol Staff &amp; Exp'!I31</f>
        <v>425</v>
      </c>
      <c r="H11" s="231">
        <f>'Enrol Staff &amp; Exp'!J31</f>
        <v>550</v>
      </c>
      <c r="I11" s="231">
        <f>'Enrol Staff &amp; Exp'!K31</f>
        <v>675</v>
      </c>
      <c r="J11" s="231">
        <f>'Enrol Staff &amp; Exp'!L31</f>
        <v>800</v>
      </c>
      <c r="K11" s="231">
        <f>'Enrol Staff &amp; Exp'!M31</f>
        <v>975</v>
      </c>
      <c r="L11" s="233"/>
    </row>
    <row r="12" spans="1:12">
      <c r="B12" s="536" t="s">
        <v>207</v>
      </c>
      <c r="C12" s="252">
        <f t="shared" ref="C12:C26" si="0">MAX(F12:K12)</f>
        <v>72</v>
      </c>
      <c r="D12" s="231"/>
      <c r="E12" s="841">
        <f>'Enrol Staff &amp; Exp'!G103</f>
        <v>0</v>
      </c>
      <c r="F12" s="841">
        <f>'Enrol Staff &amp; Exp'!H103</f>
        <v>21</v>
      </c>
      <c r="G12" s="841">
        <f>'Enrol Staff &amp; Exp'!I103</f>
        <v>31</v>
      </c>
      <c r="H12" s="841">
        <f>'Enrol Staff &amp; Exp'!J103</f>
        <v>43</v>
      </c>
      <c r="I12" s="841">
        <f>'Enrol Staff &amp; Exp'!K103</f>
        <v>52</v>
      </c>
      <c r="J12" s="841">
        <f>'Enrol Staff &amp; Exp'!L103</f>
        <v>61</v>
      </c>
      <c r="K12" s="841">
        <f>'Enrol Staff &amp; Exp'!M103</f>
        <v>72</v>
      </c>
      <c r="L12" s="235"/>
    </row>
    <row r="13" spans="1:12">
      <c r="B13" s="537" t="s">
        <v>369</v>
      </c>
      <c r="C13" s="506">
        <f t="shared" si="0"/>
        <v>1047</v>
      </c>
      <c r="D13" s="236"/>
      <c r="E13" s="236">
        <f t="shared" ref="E13:K13" si="1">SUM(E11:E12)</f>
        <v>0</v>
      </c>
      <c r="F13" s="236">
        <f t="shared" si="1"/>
        <v>346</v>
      </c>
      <c r="G13" s="236">
        <f t="shared" si="1"/>
        <v>456</v>
      </c>
      <c r="H13" s="236">
        <f t="shared" si="1"/>
        <v>593</v>
      </c>
      <c r="I13" s="236">
        <f t="shared" si="1"/>
        <v>727</v>
      </c>
      <c r="J13" s="236">
        <f t="shared" si="1"/>
        <v>861</v>
      </c>
      <c r="K13" s="236">
        <f t="shared" si="1"/>
        <v>1047</v>
      </c>
      <c r="L13" s="236"/>
    </row>
    <row r="14" spans="1:12">
      <c r="B14" s="538" t="s">
        <v>555</v>
      </c>
      <c r="C14" s="256"/>
      <c r="D14" s="231"/>
      <c r="E14" s="231"/>
      <c r="F14" s="231"/>
      <c r="G14" s="503">
        <f>+G11/F11-1</f>
        <v>0.30769230769230771</v>
      </c>
      <c r="H14" s="503">
        <f>+H11/G11-1</f>
        <v>0.29411764705882359</v>
      </c>
      <c r="I14" s="503">
        <f>+I11/H11-1</f>
        <v>0.22727272727272729</v>
      </c>
      <c r="J14" s="503">
        <f>+J11/I11-1</f>
        <v>0.18518518518518512</v>
      </c>
      <c r="K14" s="503">
        <f>+K11/J11-1</f>
        <v>0.21875</v>
      </c>
      <c r="L14" s="231"/>
    </row>
    <row r="15" spans="1:12">
      <c r="B15" s="499" t="s">
        <v>725</v>
      </c>
      <c r="C15" s="406">
        <f t="shared" si="0"/>
        <v>4</v>
      </c>
      <c r="D15" s="231"/>
      <c r="E15" s="231">
        <f>+'Enrol Staff &amp; Exp'!G140</f>
        <v>0</v>
      </c>
      <c r="F15" s="231">
        <f>+'Enrol Staff &amp; Exp'!H140</f>
        <v>1</v>
      </c>
      <c r="G15" s="231">
        <f>+'Enrol Staff &amp; Exp'!I140</f>
        <v>2</v>
      </c>
      <c r="H15" s="231">
        <f>+'Enrol Staff &amp; Exp'!J140</f>
        <v>2</v>
      </c>
      <c r="I15" s="231">
        <f>+'Enrol Staff &amp; Exp'!K140</f>
        <v>3</v>
      </c>
      <c r="J15" s="231">
        <f>+'Enrol Staff &amp; Exp'!L140</f>
        <v>3</v>
      </c>
      <c r="K15" s="231">
        <f>+'Enrol Staff &amp; Exp'!M140</f>
        <v>4</v>
      </c>
      <c r="L15" s="231"/>
    </row>
    <row r="16" spans="1:12">
      <c r="B16" s="499" t="s">
        <v>724</v>
      </c>
      <c r="C16" s="406">
        <f>MAX(F16:K16)</f>
        <v>3</v>
      </c>
      <c r="D16" s="231"/>
      <c r="E16" s="231">
        <f>+'Enrol Staff &amp; Exp'!G152</f>
        <v>0</v>
      </c>
      <c r="F16" s="231">
        <f>+'Enrol Staff &amp; Exp'!H152</f>
        <v>1</v>
      </c>
      <c r="G16" s="231">
        <f>+'Enrol Staff &amp; Exp'!I152</f>
        <v>1</v>
      </c>
      <c r="H16" s="231">
        <f>+'Enrol Staff &amp; Exp'!J152</f>
        <v>2</v>
      </c>
      <c r="I16" s="231">
        <f>+'Enrol Staff &amp; Exp'!K152</f>
        <v>2</v>
      </c>
      <c r="J16" s="231">
        <f>+'Enrol Staff &amp; Exp'!L152</f>
        <v>3</v>
      </c>
      <c r="K16" s="231">
        <f>+'Enrol Staff &amp; Exp'!M152</f>
        <v>3</v>
      </c>
      <c r="L16" s="231"/>
    </row>
    <row r="17" spans="2:12">
      <c r="B17" s="499" t="s">
        <v>383</v>
      </c>
      <c r="C17" s="256">
        <f t="shared" si="0"/>
        <v>49</v>
      </c>
      <c r="D17" s="231"/>
      <c r="E17" s="231">
        <f>+'Enrol Staff &amp; Exp'!G267</f>
        <v>0</v>
      </c>
      <c r="F17" s="231">
        <f>+'Enrol Staff &amp; Exp'!H267</f>
        <v>14</v>
      </c>
      <c r="G17" s="231">
        <f>+'Enrol Staff &amp; Exp'!I267</f>
        <v>20</v>
      </c>
      <c r="H17" s="231">
        <f>+'Enrol Staff &amp; Exp'!J267</f>
        <v>27</v>
      </c>
      <c r="I17" s="231">
        <f>+'Enrol Staff &amp; Exp'!K267</f>
        <v>34</v>
      </c>
      <c r="J17" s="231">
        <f>+'Enrol Staff &amp; Exp'!L267</f>
        <v>41</v>
      </c>
      <c r="K17" s="231">
        <f>+'Enrol Staff &amp; Exp'!M267</f>
        <v>49</v>
      </c>
      <c r="L17" s="231"/>
    </row>
    <row r="18" spans="2:12">
      <c r="B18" s="539" t="s">
        <v>382</v>
      </c>
      <c r="C18" s="507">
        <f t="shared" si="0"/>
        <v>56</v>
      </c>
      <c r="D18" s="542"/>
      <c r="E18" s="236">
        <f>SUM(E15:E17)</f>
        <v>0</v>
      </c>
      <c r="F18" s="236">
        <f t="shared" ref="F18:K18" si="2">SUM(F15:F17)</f>
        <v>16</v>
      </c>
      <c r="G18" s="236">
        <f t="shared" si="2"/>
        <v>23</v>
      </c>
      <c r="H18" s="236">
        <f t="shared" si="2"/>
        <v>31</v>
      </c>
      <c r="I18" s="236">
        <f t="shared" si="2"/>
        <v>39</v>
      </c>
      <c r="J18" s="236">
        <f t="shared" si="2"/>
        <v>47</v>
      </c>
      <c r="K18" s="236">
        <f t="shared" si="2"/>
        <v>56</v>
      </c>
      <c r="L18" s="238"/>
    </row>
    <row r="19" spans="2:12">
      <c r="B19" s="541" t="s">
        <v>570</v>
      </c>
      <c r="C19" s="506">
        <f t="shared" si="0"/>
        <v>20.3125</v>
      </c>
      <c r="D19" s="236"/>
      <c r="E19" s="238"/>
      <c r="F19" s="238">
        <f t="shared" ref="F19:K19" si="3">+F11/F18</f>
        <v>20.3125</v>
      </c>
      <c r="G19" s="238">
        <f t="shared" si="3"/>
        <v>18.478260869565219</v>
      </c>
      <c r="H19" s="238">
        <f t="shared" si="3"/>
        <v>17.741935483870968</v>
      </c>
      <c r="I19" s="238">
        <f t="shared" si="3"/>
        <v>17.307692307692307</v>
      </c>
      <c r="J19" s="238">
        <f t="shared" si="3"/>
        <v>17.021276595744681</v>
      </c>
      <c r="K19" s="238">
        <f t="shared" si="3"/>
        <v>17.410714285714285</v>
      </c>
      <c r="L19" s="238"/>
    </row>
    <row r="20" spans="2:12">
      <c r="B20" s="424" t="s">
        <v>569</v>
      </c>
      <c r="C20" s="256"/>
      <c r="D20" s="231"/>
      <c r="E20" s="239"/>
      <c r="F20" s="239">
        <f>'Enrol Staff &amp; Exp'!H32</f>
        <v>25</v>
      </c>
      <c r="G20" s="239">
        <f>'Enrol Staff &amp; Exp'!I32</f>
        <v>25</v>
      </c>
      <c r="H20" s="239">
        <f>'Enrol Staff &amp; Exp'!J32</f>
        <v>25</v>
      </c>
      <c r="I20" s="239">
        <f>'Enrol Staff &amp; Exp'!K32</f>
        <v>25</v>
      </c>
      <c r="J20" s="239">
        <f>'Enrol Staff &amp; Exp'!L32</f>
        <v>25</v>
      </c>
      <c r="K20" s="239">
        <f>'Enrol Staff &amp; Exp'!M32</f>
        <v>25</v>
      </c>
      <c r="L20" s="239"/>
    </row>
    <row r="21" spans="2:12">
      <c r="B21" s="499" t="s">
        <v>378</v>
      </c>
      <c r="C21" s="256">
        <f t="shared" si="0"/>
        <v>5</v>
      </c>
      <c r="D21" s="231"/>
      <c r="E21" s="231">
        <f>+'Enrol Staff &amp; Exp'!G120</f>
        <v>0</v>
      </c>
      <c r="F21" s="231">
        <f>+'Enrol Staff &amp; Exp'!H120</f>
        <v>1</v>
      </c>
      <c r="G21" s="231">
        <f>+'Enrol Staff &amp; Exp'!I120</f>
        <v>2</v>
      </c>
      <c r="H21" s="231">
        <f>+'Enrol Staff &amp; Exp'!J120</f>
        <v>2</v>
      </c>
      <c r="I21" s="231">
        <f>+'Enrol Staff &amp; Exp'!K120</f>
        <v>3</v>
      </c>
      <c r="J21" s="231">
        <f>+'Enrol Staff &amp; Exp'!L120</f>
        <v>4</v>
      </c>
      <c r="K21" s="231">
        <f>+'Enrol Staff &amp; Exp'!M120</f>
        <v>5</v>
      </c>
      <c r="L21" s="231"/>
    </row>
    <row r="22" spans="2:12">
      <c r="B22" s="537" t="s">
        <v>379</v>
      </c>
      <c r="C22" s="506">
        <f t="shared" si="0"/>
        <v>325</v>
      </c>
      <c r="D22" s="236"/>
      <c r="E22" s="236">
        <f>IFERROR(E11/E21,0)</f>
        <v>0</v>
      </c>
      <c r="F22" s="236">
        <f t="shared" ref="F22:K22" si="4">+F11/F21</f>
        <v>325</v>
      </c>
      <c r="G22" s="236">
        <f t="shared" si="4"/>
        <v>212.5</v>
      </c>
      <c r="H22" s="236">
        <f t="shared" si="4"/>
        <v>275</v>
      </c>
      <c r="I22" s="236">
        <f t="shared" si="4"/>
        <v>225</v>
      </c>
      <c r="J22" s="236">
        <f t="shared" si="4"/>
        <v>200</v>
      </c>
      <c r="K22" s="236">
        <f t="shared" si="4"/>
        <v>195</v>
      </c>
      <c r="L22" s="238"/>
    </row>
    <row r="23" spans="2:12">
      <c r="B23" s="499" t="s">
        <v>380</v>
      </c>
      <c r="C23" s="256">
        <f t="shared" si="0"/>
        <v>16</v>
      </c>
      <c r="D23" s="231"/>
      <c r="E23" s="231">
        <f>IFERROR(E18/E21,0)</f>
        <v>0</v>
      </c>
      <c r="F23" s="231">
        <f t="shared" ref="F23:K23" si="5">+F18/F21</f>
        <v>16</v>
      </c>
      <c r="G23" s="231">
        <f t="shared" si="5"/>
        <v>11.5</v>
      </c>
      <c r="H23" s="231">
        <f t="shared" si="5"/>
        <v>15.5</v>
      </c>
      <c r="I23" s="231">
        <f t="shared" si="5"/>
        <v>13</v>
      </c>
      <c r="J23" s="231">
        <f t="shared" si="5"/>
        <v>11.75</v>
      </c>
      <c r="K23" s="231">
        <f t="shared" si="5"/>
        <v>11.2</v>
      </c>
      <c r="L23" s="231"/>
    </row>
    <row r="24" spans="2:12">
      <c r="B24" s="499" t="s">
        <v>381</v>
      </c>
      <c r="C24" s="256">
        <f t="shared" si="0"/>
        <v>3</v>
      </c>
      <c r="D24" s="231"/>
      <c r="E24" s="231">
        <f>+'Enrol Staff &amp; Exp'!G128</f>
        <v>0</v>
      </c>
      <c r="F24" s="231">
        <f>+'Enrol Staff &amp; Exp'!H128</f>
        <v>2</v>
      </c>
      <c r="G24" s="231">
        <f>+'Enrol Staff &amp; Exp'!I128</f>
        <v>2</v>
      </c>
      <c r="H24" s="231">
        <f>+'Enrol Staff &amp; Exp'!J128</f>
        <v>3</v>
      </c>
      <c r="I24" s="231">
        <f>+'Enrol Staff &amp; Exp'!K128</f>
        <v>3</v>
      </c>
      <c r="J24" s="231">
        <f>+'Enrol Staff &amp; Exp'!L128</f>
        <v>3</v>
      </c>
      <c r="K24" s="231">
        <f>+'Enrol Staff &amp; Exp'!M128</f>
        <v>3</v>
      </c>
      <c r="L24" s="231"/>
    </row>
    <row r="25" spans="2:12">
      <c r="B25" s="537" t="s">
        <v>384</v>
      </c>
      <c r="C25" s="506">
        <f t="shared" si="0"/>
        <v>325</v>
      </c>
      <c r="D25" s="236"/>
      <c r="E25" s="236"/>
      <c r="F25" s="236">
        <f t="shared" ref="F25:K25" si="6">+F11/F24</f>
        <v>162.5</v>
      </c>
      <c r="G25" s="236">
        <f t="shared" si="6"/>
        <v>212.5</v>
      </c>
      <c r="H25" s="236">
        <f t="shared" si="6"/>
        <v>183.33333333333334</v>
      </c>
      <c r="I25" s="236">
        <f t="shared" si="6"/>
        <v>225</v>
      </c>
      <c r="J25" s="236">
        <f t="shared" si="6"/>
        <v>266.66666666666669</v>
      </c>
      <c r="K25" s="236">
        <f t="shared" si="6"/>
        <v>325</v>
      </c>
      <c r="L25" s="238"/>
    </row>
    <row r="26" spans="2:12">
      <c r="B26" s="499" t="s">
        <v>385</v>
      </c>
      <c r="C26" s="256">
        <f t="shared" si="0"/>
        <v>18.666666666666668</v>
      </c>
      <c r="D26" s="231"/>
      <c r="E26" s="239"/>
      <c r="F26" s="231">
        <f t="shared" ref="F26:K26" si="7">+F18/F24</f>
        <v>8</v>
      </c>
      <c r="G26" s="231">
        <f t="shared" si="7"/>
        <v>11.5</v>
      </c>
      <c r="H26" s="231">
        <f t="shared" si="7"/>
        <v>10.333333333333334</v>
      </c>
      <c r="I26" s="231">
        <f t="shared" si="7"/>
        <v>13</v>
      </c>
      <c r="J26" s="231">
        <f t="shared" si="7"/>
        <v>15.666666666666666</v>
      </c>
      <c r="K26" s="231">
        <f t="shared" si="7"/>
        <v>18.666666666666668</v>
      </c>
      <c r="L26" s="239"/>
    </row>
    <row r="27" spans="2:12">
      <c r="B27" s="499" t="s">
        <v>740</v>
      </c>
      <c r="C27" s="768">
        <f>AVERAGE(F27:K27)</f>
        <v>86063.249848077787</v>
      </c>
      <c r="D27" s="425"/>
      <c r="E27" s="425"/>
      <c r="F27" s="425">
        <f>+'Enrol Staff &amp; Exp'!H278/F21</f>
        <v>90000</v>
      </c>
      <c r="G27" s="425">
        <f>+'Enrol Staff &amp; Exp'!I278/G21</f>
        <v>82400</v>
      </c>
      <c r="H27" s="425">
        <f>+'Enrol Staff &amp; Exp'!J278/H21</f>
        <v>84872</v>
      </c>
      <c r="I27" s="425">
        <f>+'Enrol Staff &amp; Exp'!K278/I21</f>
        <v>83775.736666666679</v>
      </c>
      <c r="J27" s="425">
        <f>+'Enrol Staff &amp; Exp'!L278/J21</f>
        <v>87226.932774999994</v>
      </c>
      <c r="K27" s="425">
        <f>+'Enrol Staff &amp; Exp'!M278/K21</f>
        <v>88104.82964679999</v>
      </c>
      <c r="L27" s="231"/>
    </row>
    <row r="28" spans="2:12">
      <c r="B28" s="499" t="s">
        <v>739</v>
      </c>
      <c r="C28" s="768">
        <f>AVERAGE(F28:K28)</f>
        <v>39148.792639133331</v>
      </c>
      <c r="D28" s="231"/>
      <c r="E28" s="231"/>
      <c r="F28" s="231">
        <f>+'Enrol Staff &amp; Exp'!H283/F24</f>
        <v>37000</v>
      </c>
      <c r="G28" s="231">
        <f>+'Enrol Staff &amp; Exp'!I283/G24</f>
        <v>38110</v>
      </c>
      <c r="H28" s="231">
        <f>+'Enrol Staff &amp; Exp'!J283/H24</f>
        <v>38192.400000000001</v>
      </c>
      <c r="I28" s="231">
        <f>+'Enrol Staff &amp; Exp'!K283/I24</f>
        <v>39338.171999999999</v>
      </c>
      <c r="J28" s="231">
        <f>+'Enrol Staff &amp; Exp'!L283/J24</f>
        <v>40518.317159999999</v>
      </c>
      <c r="K28" s="231">
        <f>+'Enrol Staff &amp; Exp'!M283/K24</f>
        <v>41733.866674799996</v>
      </c>
      <c r="L28" s="231"/>
    </row>
    <row r="29" spans="2:12">
      <c r="B29" s="499" t="s">
        <v>738</v>
      </c>
      <c r="C29" s="953">
        <f>AVERAGE(F29:K29)</f>
        <v>48513.074132250003</v>
      </c>
      <c r="D29" s="231"/>
      <c r="E29" s="231"/>
      <c r="F29" s="231">
        <f>+'Enrol Staff &amp; Exp'!H297/F15</f>
        <v>45000</v>
      </c>
      <c r="G29" s="231">
        <f>+'Enrol Staff &amp; Exp'!I297/G15</f>
        <v>46350</v>
      </c>
      <c r="H29" s="231">
        <f>+'Enrol Staff &amp; Exp'!J297/H15</f>
        <v>47740.5</v>
      </c>
      <c r="I29" s="231">
        <f>+'Enrol Staff &amp; Exp'!K297/I15</f>
        <v>49172.715000000004</v>
      </c>
      <c r="J29" s="231">
        <f>+'Enrol Staff &amp; Exp'!L297/J15</f>
        <v>50647.896449999993</v>
      </c>
      <c r="K29" s="231">
        <f>+'Enrol Staff &amp; Exp'!M297/K15</f>
        <v>52167.333343499995</v>
      </c>
      <c r="L29" s="231"/>
    </row>
    <row r="30" spans="2:12">
      <c r="B30" s="499" t="s">
        <v>737</v>
      </c>
      <c r="C30" s="953">
        <f>AVERAGE(F30:K30)</f>
        <v>48513.074132250003</v>
      </c>
      <c r="D30" s="231"/>
      <c r="E30" s="231"/>
      <c r="F30" s="231">
        <f>+'Enrol Staff &amp; Exp'!H309/F16</f>
        <v>45000</v>
      </c>
      <c r="G30" s="231">
        <f>+'Enrol Staff &amp; Exp'!I309/G16</f>
        <v>46350</v>
      </c>
      <c r="H30" s="231">
        <f>+'Enrol Staff &amp; Exp'!J309/H16</f>
        <v>47740.5</v>
      </c>
      <c r="I30" s="231">
        <f>+'Enrol Staff &amp; Exp'!K309/I16</f>
        <v>49172.715000000004</v>
      </c>
      <c r="J30" s="231">
        <f>+'Enrol Staff &amp; Exp'!L309/J16</f>
        <v>50647.896449999993</v>
      </c>
      <c r="K30" s="231">
        <f>+'Enrol Staff &amp; Exp'!M309/K16</f>
        <v>52167.333343500002</v>
      </c>
      <c r="L30" s="231"/>
    </row>
    <row r="31" spans="2:12">
      <c r="B31" s="499" t="s">
        <v>388</v>
      </c>
      <c r="C31" s="768">
        <f>AVERAGE(F31:K31)</f>
        <v>47909.453513653694</v>
      </c>
      <c r="D31" s="231"/>
      <c r="E31" s="231"/>
      <c r="F31" s="231">
        <f>IFERROR('Enrol Staff &amp; Exp'!H418/F17,0)</f>
        <v>46250</v>
      </c>
      <c r="G31" s="231">
        <f>+'Enrol Staff &amp; Exp'!I418/G17</f>
        <v>46221.25</v>
      </c>
      <c r="H31" s="231">
        <f>+'Enrol Staff &amp; Exp'!J418/H17</f>
        <v>46954.648148148146</v>
      </c>
      <c r="I31" s="231">
        <f>+'Enrol Staff &amp; Exp'!K418/I17</f>
        <v>47967.501397058819</v>
      </c>
      <c r="J31" s="231">
        <f>+'Enrol Staff &amp; Exp'!L418/J17</f>
        <v>49138.067558536546</v>
      </c>
      <c r="K31" s="231">
        <f>+'Enrol Staff &amp; Exp'!M418/K17</f>
        <v>50925.25397817864</v>
      </c>
      <c r="L31" s="231"/>
    </row>
    <row r="32" spans="2:12">
      <c r="B32" s="499" t="s">
        <v>392</v>
      </c>
      <c r="C32" s="768">
        <f>SUM(F32:K32)</f>
        <v>378.95332839905609</v>
      </c>
      <c r="D32" s="231"/>
      <c r="E32" s="231"/>
      <c r="F32" s="231">
        <f t="shared" ref="F32:K32" si="8">+F45/F18</f>
        <v>71.09375</v>
      </c>
      <c r="G32" s="231">
        <f t="shared" si="8"/>
        <v>64.673913043478265</v>
      </c>
      <c r="H32" s="231">
        <f t="shared" si="8"/>
        <v>62.096774193548384</v>
      </c>
      <c r="I32" s="231">
        <f t="shared" si="8"/>
        <v>60.57692307692308</v>
      </c>
      <c r="J32" s="231">
        <f t="shared" si="8"/>
        <v>59.574468085106382</v>
      </c>
      <c r="K32" s="231">
        <f t="shared" si="8"/>
        <v>60.9375</v>
      </c>
      <c r="L32" s="231"/>
    </row>
    <row r="33" spans="2:12">
      <c r="B33" s="499"/>
      <c r="C33" s="237"/>
      <c r="D33" s="231"/>
      <c r="E33" s="231"/>
      <c r="F33" s="231"/>
      <c r="G33" s="231"/>
      <c r="H33" s="231"/>
      <c r="I33" s="231"/>
      <c r="J33" s="231"/>
      <c r="K33" s="231"/>
      <c r="L33" s="231"/>
    </row>
    <row r="34" spans="2:12">
      <c r="B34" s="499" t="s">
        <v>741</v>
      </c>
      <c r="C34" s="240">
        <f>AVERAGE(F34:K34)</f>
        <v>8799.5529525098882</v>
      </c>
      <c r="D34" s="234"/>
      <c r="E34" s="241"/>
      <c r="F34" s="241">
        <f>IFERROR(F59/F11,0)</f>
        <v>8568.7900104611817</v>
      </c>
      <c r="G34" s="241">
        <f>IFERROR(G59/G11,0)</f>
        <v>8707.3443035351975</v>
      </c>
      <c r="H34" s="241">
        <f t="shared" ref="H34:K34" si="9">+H59/H11</f>
        <v>9026.749589860503</v>
      </c>
      <c r="I34" s="241">
        <f t="shared" si="9"/>
        <v>9257.0830438862868</v>
      </c>
      <c r="J34" s="241">
        <f t="shared" si="9"/>
        <v>9468.4039426102809</v>
      </c>
      <c r="K34" s="241">
        <f t="shared" si="9"/>
        <v>7768.9468247058721</v>
      </c>
      <c r="L34" s="241"/>
    </row>
    <row r="35" spans="2:12">
      <c r="B35" s="536" t="s">
        <v>742</v>
      </c>
      <c r="C35" s="550">
        <f>AVERAGE(F35:K35)</f>
        <v>8613.8303124124923</v>
      </c>
      <c r="D35" s="234"/>
      <c r="E35" s="242"/>
      <c r="F35" s="242">
        <f>IFERROR(F75/F11,0)</f>
        <v>8438.234590789707</v>
      </c>
      <c r="G35" s="242">
        <f t="shared" ref="G35:K35" si="10">+G75/G11</f>
        <v>8627.4252558437147</v>
      </c>
      <c r="H35" s="242">
        <f t="shared" si="10"/>
        <v>8736.8253530163547</v>
      </c>
      <c r="I35" s="242">
        <f t="shared" si="10"/>
        <v>9183.1046769147943</v>
      </c>
      <c r="J35" s="242">
        <f t="shared" si="10"/>
        <v>9171.8068720916199</v>
      </c>
      <c r="K35" s="242">
        <f t="shared" si="10"/>
        <v>7525.5851258187658</v>
      </c>
      <c r="L35" s="242"/>
    </row>
    <row r="36" spans="2:12">
      <c r="B36" s="540" t="s">
        <v>375</v>
      </c>
      <c r="C36" s="508">
        <f>SUM(F36:K36)</f>
        <v>1114.3358405843655</v>
      </c>
      <c r="D36" s="543"/>
      <c r="E36" s="243"/>
      <c r="F36" s="639">
        <f t="shared" ref="F36:K36" si="11">+F34-F35</f>
        <v>130.55541967147474</v>
      </c>
      <c r="G36" s="639">
        <f t="shared" si="11"/>
        <v>79.919047691482774</v>
      </c>
      <c r="H36" s="639">
        <f t="shared" si="11"/>
        <v>289.92423684414825</v>
      </c>
      <c r="I36" s="639">
        <f t="shared" si="11"/>
        <v>73.978366971492505</v>
      </c>
      <c r="J36" s="639">
        <f t="shared" si="11"/>
        <v>296.59707051866098</v>
      </c>
      <c r="K36" s="243">
        <f t="shared" si="11"/>
        <v>243.36169888710629</v>
      </c>
      <c r="L36" s="243"/>
    </row>
    <row r="37" spans="2:12">
      <c r="B37" s="536" t="s">
        <v>391</v>
      </c>
      <c r="C37" s="242">
        <f>MAX(F37:K37)</f>
        <v>25026</v>
      </c>
      <c r="D37" s="231"/>
      <c r="E37" s="242"/>
      <c r="F37" s="242">
        <f>Facilities!H73</f>
        <v>25026</v>
      </c>
      <c r="G37" s="242">
        <f>Facilities!I73</f>
        <v>25026</v>
      </c>
      <c r="H37" s="242">
        <f>Facilities!J73</f>
        <v>25026</v>
      </c>
      <c r="I37" s="242">
        <f>Facilities!K73</f>
        <v>25026</v>
      </c>
      <c r="J37" s="242">
        <f>Facilities!L73</f>
        <v>25026</v>
      </c>
      <c r="K37" s="242">
        <f>Facilities!M73</f>
        <v>25026</v>
      </c>
      <c r="L37" s="242"/>
    </row>
    <row r="38" spans="2:12">
      <c r="B38" s="536" t="s">
        <v>370</v>
      </c>
      <c r="C38" s="252">
        <f>MIN(F38:K38)</f>
        <v>25.667692307692306</v>
      </c>
      <c r="D38" s="231"/>
      <c r="E38" s="242"/>
      <c r="F38" s="242">
        <f>IFERROR(F37/F11,0)</f>
        <v>77.003076923076918</v>
      </c>
      <c r="G38" s="242">
        <f t="shared" ref="G38:K38" si="12">+G37/G11</f>
        <v>58.884705882352939</v>
      </c>
      <c r="H38" s="242">
        <f t="shared" si="12"/>
        <v>45.50181818181818</v>
      </c>
      <c r="I38" s="242">
        <f t="shared" si="12"/>
        <v>37.075555555555553</v>
      </c>
      <c r="J38" s="242">
        <f t="shared" si="12"/>
        <v>31.282499999999999</v>
      </c>
      <c r="K38" s="242">
        <f t="shared" si="12"/>
        <v>25.667692307692306</v>
      </c>
      <c r="L38" s="245"/>
    </row>
    <row r="39" spans="2:12">
      <c r="B39" s="536" t="s">
        <v>371</v>
      </c>
      <c r="C39" s="252">
        <f>MIN(F39:K39)</f>
        <v>23.902578796561606</v>
      </c>
      <c r="D39" s="231"/>
      <c r="E39" s="242"/>
      <c r="F39" s="242">
        <f t="shared" ref="F39:K39" si="13">+F37/F13</f>
        <v>72.329479768786129</v>
      </c>
      <c r="G39" s="242">
        <f t="shared" si="13"/>
        <v>54.881578947368418</v>
      </c>
      <c r="H39" s="242">
        <f t="shared" si="13"/>
        <v>42.202360876897131</v>
      </c>
      <c r="I39" s="242">
        <f t="shared" si="13"/>
        <v>34.423658872077027</v>
      </c>
      <c r="J39" s="242">
        <f t="shared" si="13"/>
        <v>29.066202090592334</v>
      </c>
      <c r="K39" s="242">
        <f t="shared" si="13"/>
        <v>23.902578796561606</v>
      </c>
      <c r="L39" s="245"/>
    </row>
    <row r="40" spans="2:12">
      <c r="B40" s="223"/>
      <c r="C40" s="246"/>
      <c r="D40" s="246"/>
      <c r="E40" s="246"/>
      <c r="F40" s="246"/>
      <c r="G40" s="246"/>
      <c r="H40" s="246"/>
      <c r="I40" s="246"/>
      <c r="J40" s="246"/>
      <c r="K40" s="246"/>
      <c r="L40" s="246"/>
    </row>
    <row r="41" spans="2:12" ht="18">
      <c r="B41" s="693" t="s">
        <v>124</v>
      </c>
      <c r="C41" s="248" t="s">
        <v>431</v>
      </c>
      <c r="D41" s="249"/>
      <c r="E41" s="249"/>
      <c r="F41" s="249"/>
      <c r="G41" s="249"/>
      <c r="H41" s="249"/>
      <c r="I41" s="249"/>
      <c r="J41" s="249"/>
      <c r="K41" s="249"/>
      <c r="L41" s="246"/>
    </row>
    <row r="42" spans="2:12">
      <c r="B42" s="217" t="s">
        <v>312</v>
      </c>
      <c r="C42" s="250">
        <f t="shared" ref="C42:C58" si="14">SUM(F42:K42)</f>
        <v>29801371.088509839</v>
      </c>
      <c r="D42" s="251">
        <f t="shared" ref="D42:D59" si="15">+C42/$C$59</f>
        <v>0.85787166051717767</v>
      </c>
      <c r="E42" s="250">
        <f>'Enrol Staff &amp; Exp'!G59</f>
        <v>0</v>
      </c>
      <c r="F42" s="250">
        <f>'Enrol Staff &amp; Exp'!H59</f>
        <v>2353958.7376201358</v>
      </c>
      <c r="G42" s="250">
        <f>'Enrol Staff &amp; Exp'!I59</f>
        <v>3170601.3458252749</v>
      </c>
      <c r="H42" s="250">
        <f>'Enrol Staff &amp; Exp'!J59</f>
        <v>4226225.0880235722</v>
      </c>
      <c r="I42" s="250">
        <f>'Enrol Staff &amp; Exp'!K59</f>
        <v>5342332.7135425247</v>
      </c>
      <c r="J42" s="250">
        <f>'Enrol Staff &amp; Exp'!L59</f>
        <v>6521603.1940133926</v>
      </c>
      <c r="K42" s="250">
        <f>'Enrol Staff &amp; Exp'!M59</f>
        <v>8186650.0094849365</v>
      </c>
      <c r="L42" s="250"/>
    </row>
    <row r="43" spans="2:12">
      <c r="B43" s="217" t="s">
        <v>345</v>
      </c>
      <c r="C43" s="252">
        <f t="shared" si="14"/>
        <v>-372517.13860637299</v>
      </c>
      <c r="D43" s="973">
        <f t="shared" si="15"/>
        <v>-1.0723395756464721E-2</v>
      </c>
      <c r="E43" s="252">
        <f>'Enrol Staff &amp; Exp'!G60</f>
        <v>0</v>
      </c>
      <c r="F43" s="252">
        <f>'Enrol Staff &amp; Exp'!H60</f>
        <v>-29424.484220251699</v>
      </c>
      <c r="G43" s="252">
        <f>'Enrol Staff &amp; Exp'!I60</f>
        <v>-39632.516822815945</v>
      </c>
      <c r="H43" s="252">
        <f>'Enrol Staff &amp; Exp'!J60</f>
        <v>-52827.813600294663</v>
      </c>
      <c r="I43" s="252">
        <f>'Enrol Staff &amp; Exp'!K60</f>
        <v>-66779.158919281559</v>
      </c>
      <c r="J43" s="252">
        <f>'Enrol Staff &amp; Exp'!L60</f>
        <v>-81520.03992516741</v>
      </c>
      <c r="K43" s="252">
        <f>'Enrol Staff &amp; Exp'!M60</f>
        <v>-102333.12511856171</v>
      </c>
      <c r="L43" s="252"/>
    </row>
    <row r="44" spans="2:12">
      <c r="B44" s="217" t="s">
        <v>125</v>
      </c>
      <c r="C44" s="252">
        <f t="shared" si="14"/>
        <v>2415000</v>
      </c>
      <c r="D44" s="251">
        <f t="shared" si="15"/>
        <v>6.9518951124626888E-2</v>
      </c>
      <c r="E44" s="252">
        <f>'Enrol Staff &amp; Exp'!G61</f>
        <v>0</v>
      </c>
      <c r="F44" s="252">
        <f>'Enrol Staff &amp; Exp'!H61</f>
        <v>209300</v>
      </c>
      <c r="G44" s="252">
        <f>'Enrol Staff &amp; Exp'!I61</f>
        <v>273700</v>
      </c>
      <c r="H44" s="252">
        <f>'Enrol Staff &amp; Exp'!J61</f>
        <v>354200</v>
      </c>
      <c r="I44" s="252">
        <f>'Enrol Staff &amp; Exp'!K61</f>
        <v>434700</v>
      </c>
      <c r="J44" s="252">
        <f>'Enrol Staff &amp; Exp'!L61</f>
        <v>515200</v>
      </c>
      <c r="K44" s="252">
        <f>'Enrol Staff &amp; Exp'!M61</f>
        <v>627900</v>
      </c>
      <c r="L44" s="252"/>
    </row>
    <row r="45" spans="2:12">
      <c r="B45" s="217" t="s">
        <v>353</v>
      </c>
      <c r="C45" s="252">
        <f t="shared" si="14"/>
        <v>13125</v>
      </c>
      <c r="D45" s="251">
        <f t="shared" si="15"/>
        <v>3.7782038654688522E-4</v>
      </c>
      <c r="E45" s="252">
        <f>'Enrol Staff &amp; Exp'!G62</f>
        <v>0</v>
      </c>
      <c r="F45" s="252">
        <f>'Enrol Staff &amp; Exp'!H62</f>
        <v>1137.5</v>
      </c>
      <c r="G45" s="252">
        <f>'Enrol Staff &amp; Exp'!I62</f>
        <v>1487.5</v>
      </c>
      <c r="H45" s="252">
        <f>'Enrol Staff &amp; Exp'!J62</f>
        <v>1925</v>
      </c>
      <c r="I45" s="252">
        <f>'Enrol Staff &amp; Exp'!K62</f>
        <v>2362.5</v>
      </c>
      <c r="J45" s="252">
        <f>'Enrol Staff &amp; Exp'!L62</f>
        <v>2800</v>
      </c>
      <c r="K45" s="252">
        <f>'Enrol Staff &amp; Exp'!M62</f>
        <v>3412.5</v>
      </c>
      <c r="L45" s="252"/>
    </row>
    <row r="46" spans="2:12">
      <c r="B46" s="217" t="s">
        <v>352</v>
      </c>
      <c r="C46" s="252">
        <f t="shared" si="14"/>
        <v>0</v>
      </c>
      <c r="D46" s="251">
        <f t="shared" si="15"/>
        <v>0</v>
      </c>
      <c r="E46" s="252">
        <f>'Enrol Staff &amp; Exp'!G63</f>
        <v>0</v>
      </c>
      <c r="F46" s="252">
        <f>'Enrol Staff &amp; Exp'!H63</f>
        <v>0</v>
      </c>
      <c r="G46" s="252">
        <f>'Enrol Staff &amp; Exp'!I63</f>
        <v>0</v>
      </c>
      <c r="H46" s="252">
        <f>'Enrol Staff &amp; Exp'!J63</f>
        <v>0</v>
      </c>
      <c r="I46" s="252">
        <f>'Enrol Staff &amp; Exp'!K63</f>
        <v>0</v>
      </c>
      <c r="J46" s="252">
        <f>'Enrol Staff &amp; Exp'!L63</f>
        <v>0</v>
      </c>
      <c r="K46" s="252">
        <f>'Enrol Staff &amp; Exp'!M63</f>
        <v>0</v>
      </c>
      <c r="L46" s="252"/>
    </row>
    <row r="47" spans="2:12">
      <c r="B47" s="217" t="s">
        <v>237</v>
      </c>
      <c r="C47" s="252">
        <f t="shared" si="14"/>
        <v>0</v>
      </c>
      <c r="D47" s="251">
        <f t="shared" si="15"/>
        <v>0</v>
      </c>
      <c r="E47" s="252">
        <f>'Enrol Staff &amp; Exp'!G64</f>
        <v>0</v>
      </c>
      <c r="F47" s="252">
        <f>'Enrol Staff &amp; Exp'!H64</f>
        <v>0</v>
      </c>
      <c r="G47" s="252">
        <f>'Enrol Staff &amp; Exp'!I64</f>
        <v>0</v>
      </c>
      <c r="H47" s="252">
        <f>'Enrol Staff &amp; Exp'!J64</f>
        <v>0</v>
      </c>
      <c r="I47" s="252">
        <f>'Enrol Staff &amp; Exp'!K64</f>
        <v>0</v>
      </c>
      <c r="J47" s="252">
        <f>'Enrol Staff &amp; Exp'!L64</f>
        <v>0</v>
      </c>
      <c r="K47" s="252">
        <f>'Enrol Staff &amp; Exp'!M64</f>
        <v>0</v>
      </c>
      <c r="L47" s="252"/>
    </row>
    <row r="48" spans="2:12">
      <c r="B48" s="217" t="s">
        <v>6</v>
      </c>
      <c r="C48" s="252">
        <f t="shared" si="14"/>
        <v>0</v>
      </c>
      <c r="D48" s="251">
        <f t="shared" si="15"/>
        <v>0</v>
      </c>
      <c r="E48" s="252">
        <f>'Enrol Staff &amp; Exp'!G65</f>
        <v>0</v>
      </c>
      <c r="F48" s="252">
        <f>'Enrol Staff &amp; Exp'!H65</f>
        <v>0</v>
      </c>
      <c r="G48" s="252">
        <f>'Enrol Staff &amp; Exp'!I65</f>
        <v>0</v>
      </c>
      <c r="H48" s="252">
        <f>'Enrol Staff &amp; Exp'!J65</f>
        <v>0</v>
      </c>
      <c r="I48" s="252">
        <f>'Enrol Staff &amp; Exp'!K65</f>
        <v>0</v>
      </c>
      <c r="J48" s="252">
        <f>'Enrol Staff &amp; Exp'!L65</f>
        <v>0</v>
      </c>
      <c r="K48" s="252">
        <f>'Enrol Staff &amp; Exp'!M65</f>
        <v>0</v>
      </c>
      <c r="L48" s="252"/>
    </row>
    <row r="49" spans="2:12">
      <c r="B49" s="217" t="s">
        <v>227</v>
      </c>
      <c r="C49" s="252">
        <f t="shared" si="14"/>
        <v>715500</v>
      </c>
      <c r="D49" s="251">
        <f t="shared" si="15"/>
        <v>2.0596608500898773E-2</v>
      </c>
      <c r="E49" s="252">
        <f>'Enrol Staff &amp; Exp'!G66</f>
        <v>0</v>
      </c>
      <c r="F49" s="252">
        <f>'Enrol Staff &amp; Exp'!H66</f>
        <v>62010</v>
      </c>
      <c r="G49" s="252">
        <f>'Enrol Staff &amp; Exp'!I66</f>
        <v>81090</v>
      </c>
      <c r="H49" s="252">
        <f>'Enrol Staff &amp; Exp'!J66</f>
        <v>104940</v>
      </c>
      <c r="I49" s="252">
        <f>'Enrol Staff &amp; Exp'!K66</f>
        <v>128790</v>
      </c>
      <c r="J49" s="252">
        <f>'Enrol Staff &amp; Exp'!L66</f>
        <v>152640</v>
      </c>
      <c r="K49" s="252">
        <f>'Enrol Staff &amp; Exp'!M66</f>
        <v>186030</v>
      </c>
      <c r="L49" s="252"/>
    </row>
    <row r="50" spans="2:12">
      <c r="B50" s="217" t="s">
        <v>308</v>
      </c>
      <c r="C50" s="252">
        <f>SUM(F50:K50)</f>
        <v>1706250</v>
      </c>
      <c r="D50" s="251">
        <f t="shared" si="15"/>
        <v>4.911665025109508E-2</v>
      </c>
      <c r="E50" s="252">
        <f>'Enrol Staff &amp; Exp'!G67</f>
        <v>0</v>
      </c>
      <c r="F50" s="252">
        <f>'Enrol Staff &amp; Exp'!H67</f>
        <v>147875</v>
      </c>
      <c r="G50" s="252">
        <f>'Enrol Staff &amp; Exp'!I67</f>
        <v>193375</v>
      </c>
      <c r="H50" s="252">
        <f>'Enrol Staff &amp; Exp'!J67</f>
        <v>250250</v>
      </c>
      <c r="I50" s="252">
        <f>'Enrol Staff &amp; Exp'!K67</f>
        <v>307125</v>
      </c>
      <c r="J50" s="252">
        <f>'Enrol Staff &amp; Exp'!L67</f>
        <v>364000</v>
      </c>
      <c r="K50" s="252">
        <f>'Enrol Staff &amp; Exp'!M67</f>
        <v>443625</v>
      </c>
      <c r="L50" s="252"/>
    </row>
    <row r="51" spans="2:12">
      <c r="B51" s="221" t="s">
        <v>128</v>
      </c>
      <c r="C51" s="252">
        <f t="shared" si="14"/>
        <v>460000</v>
      </c>
      <c r="D51" s="251">
        <f t="shared" si="15"/>
        <v>1.3241704976119406E-2</v>
      </c>
      <c r="E51" s="252">
        <f>'Enrol Staff &amp; Exp'!G1464</f>
        <v>0</v>
      </c>
      <c r="F51" s="252">
        <f>'Enrol Staff &amp; Exp'!H1464</f>
        <v>40000</v>
      </c>
      <c r="G51" s="252">
        <f>'Enrol Staff &amp; Exp'!I1464</f>
        <v>20000</v>
      </c>
      <c r="H51" s="252">
        <f>'Enrol Staff &amp; Exp'!J1464</f>
        <v>80000</v>
      </c>
      <c r="I51" s="252">
        <f>'Enrol Staff &amp; Exp'!K1464</f>
        <v>100000</v>
      </c>
      <c r="J51" s="252">
        <f>'Enrol Staff &amp; Exp'!L1464</f>
        <v>100000</v>
      </c>
      <c r="K51" s="252">
        <f>'Enrol Staff &amp; Exp'!M1464</f>
        <v>120000</v>
      </c>
      <c r="L51" s="252"/>
    </row>
    <row r="52" spans="2:12">
      <c r="B52" s="217" t="s">
        <v>310</v>
      </c>
      <c r="C52" s="252">
        <f t="shared" si="14"/>
        <v>0</v>
      </c>
      <c r="D52" s="251">
        <f t="shared" si="15"/>
        <v>0</v>
      </c>
      <c r="E52" s="252">
        <f>'Enrol Staff &amp; Exp'!G68</f>
        <v>0</v>
      </c>
      <c r="F52" s="252">
        <f>'Enrol Staff &amp; Exp'!H68</f>
        <v>0</v>
      </c>
      <c r="G52" s="252">
        <f>'Enrol Staff &amp; Exp'!I68</f>
        <v>0</v>
      </c>
      <c r="H52" s="252">
        <f>'Enrol Staff &amp; Exp'!J68</f>
        <v>0</v>
      </c>
      <c r="I52" s="252">
        <f>'Enrol Staff &amp; Exp'!K68</f>
        <v>0</v>
      </c>
      <c r="J52" s="252">
        <f>'Enrol Staff &amp; Exp'!L68</f>
        <v>0</v>
      </c>
      <c r="K52" s="252">
        <f>'Enrol Staff &amp; Exp'!M68</f>
        <v>0</v>
      </c>
      <c r="L52" s="252"/>
    </row>
    <row r="53" spans="2:12">
      <c r="B53" s="217" t="s">
        <v>311</v>
      </c>
      <c r="C53" s="252">
        <f t="shared" si="14"/>
        <v>0</v>
      </c>
      <c r="D53" s="251">
        <f t="shared" si="15"/>
        <v>0</v>
      </c>
      <c r="E53" s="252">
        <f>'Enrol Staff &amp; Exp'!G69</f>
        <v>120000</v>
      </c>
      <c r="F53" s="252">
        <f>'Enrol Staff &amp; Exp'!H69</f>
        <v>0</v>
      </c>
      <c r="G53" s="252">
        <f>'Enrol Staff &amp; Exp'!I69</f>
        <v>0</v>
      </c>
      <c r="H53" s="252">
        <f>'Enrol Staff &amp; Exp'!J69</f>
        <v>0</v>
      </c>
      <c r="I53" s="252">
        <f>'Enrol Staff &amp; Exp'!K69</f>
        <v>0</v>
      </c>
      <c r="J53" s="252">
        <f>'Enrol Staff &amp; Exp'!L69</f>
        <v>0</v>
      </c>
      <c r="K53" s="252">
        <f>'Enrol Staff &amp; Exp'!M69</f>
        <v>0</v>
      </c>
      <c r="L53" s="252"/>
    </row>
    <row r="54" spans="2:12">
      <c r="B54" s="217" t="s">
        <v>13</v>
      </c>
      <c r="C54" s="252">
        <f t="shared" si="14"/>
        <v>0</v>
      </c>
      <c r="D54" s="251">
        <f t="shared" si="15"/>
        <v>0</v>
      </c>
      <c r="E54" s="252">
        <f>'Enrol Staff &amp; Exp'!G71</f>
        <v>0</v>
      </c>
      <c r="F54" s="252">
        <f>'Enrol Staff &amp; Exp'!H71</f>
        <v>0</v>
      </c>
      <c r="G54" s="252">
        <f>'Enrol Staff &amp; Exp'!I71</f>
        <v>0</v>
      </c>
      <c r="H54" s="252">
        <f>'Enrol Staff &amp; Exp'!J71</f>
        <v>0</v>
      </c>
      <c r="I54" s="252">
        <f>'Enrol Staff &amp; Exp'!K71</f>
        <v>0</v>
      </c>
      <c r="J54" s="252">
        <f>'Enrol Staff &amp; Exp'!L71</f>
        <v>0</v>
      </c>
      <c r="K54" s="252">
        <f>'Enrol Staff &amp; Exp'!M71</f>
        <v>0</v>
      </c>
      <c r="L54" s="252"/>
    </row>
    <row r="55" spans="2:12">
      <c r="B55" s="217" t="s">
        <v>11</v>
      </c>
      <c r="C55" s="252">
        <f t="shared" si="14"/>
        <v>0</v>
      </c>
      <c r="D55" s="251">
        <f t="shared" si="15"/>
        <v>0</v>
      </c>
      <c r="E55" s="252">
        <f>'Enrol Staff &amp; Exp'!G72</f>
        <v>0</v>
      </c>
      <c r="F55" s="252">
        <f>'Enrol Staff &amp; Exp'!H72</f>
        <v>0</v>
      </c>
      <c r="G55" s="252">
        <f>'Enrol Staff &amp; Exp'!I72</f>
        <v>0</v>
      </c>
      <c r="H55" s="252">
        <f>'Enrol Staff &amp; Exp'!J72</f>
        <v>0</v>
      </c>
      <c r="I55" s="252">
        <f>'Enrol Staff &amp; Exp'!K72</f>
        <v>0</v>
      </c>
      <c r="J55" s="252">
        <f>'Enrol Staff &amp; Exp'!L72</f>
        <v>0</v>
      </c>
      <c r="K55" s="252">
        <f>'Enrol Staff &amp; Exp'!M72</f>
        <v>0</v>
      </c>
      <c r="L55" s="252"/>
    </row>
    <row r="56" spans="2:12">
      <c r="B56" s="217" t="s">
        <v>74</v>
      </c>
      <c r="C56" s="252">
        <f t="shared" si="14"/>
        <v>0</v>
      </c>
      <c r="D56" s="251">
        <f t="shared" si="15"/>
        <v>0</v>
      </c>
      <c r="E56" s="252">
        <f>'Enrol Staff &amp; Exp'!G70</f>
        <v>0</v>
      </c>
      <c r="F56" s="252">
        <f>'Enrol Staff &amp; Exp'!H70</f>
        <v>0</v>
      </c>
      <c r="G56" s="252">
        <f>'Enrol Staff &amp; Exp'!I70</f>
        <v>0</v>
      </c>
      <c r="H56" s="252">
        <f>'Enrol Staff &amp; Exp'!J70</f>
        <v>0</v>
      </c>
      <c r="I56" s="252">
        <f>'Enrol Staff &amp; Exp'!K70</f>
        <v>0</v>
      </c>
      <c r="J56" s="252">
        <f>'Enrol Staff &amp; Exp'!L70</f>
        <v>0</v>
      </c>
      <c r="K56" s="252">
        <f>'Enrol Staff &amp; Exp'!M70</f>
        <v>0</v>
      </c>
      <c r="L56" s="252"/>
    </row>
    <row r="57" spans="2:12">
      <c r="B57" s="217" t="s">
        <v>75</v>
      </c>
      <c r="C57" s="252">
        <f t="shared" si="14"/>
        <v>0</v>
      </c>
      <c r="D57" s="251">
        <f t="shared" si="15"/>
        <v>0</v>
      </c>
      <c r="E57" s="252">
        <f>'Enrol Staff &amp; Exp'!G73</f>
        <v>0</v>
      </c>
      <c r="F57" s="252">
        <f>'Enrol Staff &amp; Exp'!H73</f>
        <v>0</v>
      </c>
      <c r="G57" s="252">
        <f>'Enrol Staff &amp; Exp'!I73</f>
        <v>0</v>
      </c>
      <c r="H57" s="252">
        <f>'Enrol Staff &amp; Exp'!J73</f>
        <v>0</v>
      </c>
      <c r="I57" s="252">
        <f>'Enrol Staff &amp; Exp'!K73</f>
        <v>0</v>
      </c>
      <c r="J57" s="252">
        <f>'Enrol Staff &amp; Exp'!L73</f>
        <v>0</v>
      </c>
      <c r="K57" s="252">
        <f>'Enrol Staff &amp; Exp'!M73</f>
        <v>0</v>
      </c>
      <c r="L57" s="252"/>
    </row>
    <row r="58" spans="2:12">
      <c r="B58" s="217" t="s">
        <v>141</v>
      </c>
      <c r="C58" s="252">
        <f t="shared" si="14"/>
        <v>0</v>
      </c>
      <c r="D58" s="251">
        <f t="shared" si="15"/>
        <v>0</v>
      </c>
      <c r="E58" s="252">
        <f>'Enrol Staff &amp; Exp'!G74</f>
        <v>0</v>
      </c>
      <c r="F58" s="252">
        <f>'Enrol Staff &amp; Exp'!H74</f>
        <v>0</v>
      </c>
      <c r="G58" s="252">
        <f>'Enrol Staff &amp; Exp'!I74</f>
        <v>0</v>
      </c>
      <c r="H58" s="252">
        <f>'Enrol Staff &amp; Exp'!J74</f>
        <v>0</v>
      </c>
      <c r="I58" s="252">
        <f>'Enrol Staff &amp; Exp'!K74</f>
        <v>0</v>
      </c>
      <c r="J58" s="252">
        <f>'Enrol Staff &amp; Exp'!L74</f>
        <v>0</v>
      </c>
      <c r="K58" s="252">
        <f>'Enrol Staff &amp; Exp'!M74</f>
        <v>0</v>
      </c>
      <c r="L58" s="252"/>
    </row>
    <row r="59" spans="2:12">
      <c r="B59" s="500" t="s">
        <v>64</v>
      </c>
      <c r="C59" s="202">
        <f>C42+C43+C50+C44+C45+C46+C47+C48+C49+C51+C52+C53+C54+C55+C56+C57+C58</f>
        <v>34738728.949903466</v>
      </c>
      <c r="D59" s="203">
        <f t="shared" si="15"/>
        <v>1</v>
      </c>
      <c r="E59" s="974">
        <f t="shared" ref="E59:J59" si="16">E42+E43+E50+E44+E45+E46+E47+E48+E49+E51+E52+E53+E54+E55+E56+E57+E58</f>
        <v>120000</v>
      </c>
      <c r="F59" s="974">
        <f t="shared" si="16"/>
        <v>2784856.7533998839</v>
      </c>
      <c r="G59" s="974">
        <f t="shared" si="16"/>
        <v>3700621.3290024591</v>
      </c>
      <c r="H59" s="974">
        <f t="shared" si="16"/>
        <v>4964712.274423277</v>
      </c>
      <c r="I59" s="974">
        <f t="shared" si="16"/>
        <v>6248531.0546232434</v>
      </c>
      <c r="J59" s="974">
        <f t="shared" si="16"/>
        <v>7574723.1540882252</v>
      </c>
      <c r="K59" s="974">
        <f>+J59</f>
        <v>7574723.1540882252</v>
      </c>
      <c r="L59" s="202"/>
    </row>
    <row r="60" spans="2:12">
      <c r="C60" s="253"/>
      <c r="D60" s="253"/>
      <c r="E60" s="253"/>
      <c r="F60" s="253"/>
      <c r="G60" s="253"/>
      <c r="H60" s="253"/>
      <c r="I60" s="253"/>
      <c r="J60" s="253"/>
      <c r="K60" s="253"/>
      <c r="L60" s="253"/>
    </row>
    <row r="61" spans="2:12">
      <c r="B61" s="689" t="s">
        <v>126</v>
      </c>
      <c r="C61" s="690" t="s">
        <v>431</v>
      </c>
      <c r="D61" s="691"/>
      <c r="E61" s="692" t="str">
        <f>E7</f>
        <v>SY 0/Incubation</v>
      </c>
      <c r="F61" s="692" t="str">
        <f t="shared" ref="F61:K61" si="17">F7</f>
        <v>SY 1</v>
      </c>
      <c r="G61" s="692" t="str">
        <f t="shared" si="17"/>
        <v>SY 2</v>
      </c>
      <c r="H61" s="692" t="str">
        <f t="shared" si="17"/>
        <v>SY 3</v>
      </c>
      <c r="I61" s="692" t="str">
        <f t="shared" si="17"/>
        <v>SY 4</v>
      </c>
      <c r="J61" s="692" t="str">
        <f t="shared" si="17"/>
        <v>SY 5</v>
      </c>
      <c r="K61" s="692" t="str">
        <f t="shared" si="17"/>
        <v>SY 6</v>
      </c>
      <c r="L61" s="253"/>
    </row>
    <row r="62" spans="2:12">
      <c r="B62" s="217" t="s">
        <v>93</v>
      </c>
      <c r="C62" s="255">
        <f t="shared" ref="C62:C67" si="18">SUM(E62:K62)</f>
        <v>20789035.013612434</v>
      </c>
      <c r="D62" s="251">
        <f t="shared" ref="D62:D77" si="19">+C62/$C$59</f>
        <v>0.59843971388798334</v>
      </c>
      <c r="E62" s="550">
        <f>'Enrol Staff &amp; Exp'!G1588</f>
        <v>0</v>
      </c>
      <c r="F62" s="550">
        <f>'Enrol Staff &amp; Exp'!H1588</f>
        <v>1435684</v>
      </c>
      <c r="G62" s="550">
        <f>'Enrol Staff &amp; Exp'!I1588</f>
        <v>2186500.7675000001</v>
      </c>
      <c r="H62" s="550">
        <f>'Enrol Staff &amp; Exp'!J1588</f>
        <v>3028945.6500499998</v>
      </c>
      <c r="I62" s="550">
        <f>'Enrol Staff &amp; Exp'!K1588</f>
        <v>3806397.6367239999</v>
      </c>
      <c r="J62" s="550">
        <f>'Enrol Staff &amp; Exp'!L1588</f>
        <v>4632966.7333667297</v>
      </c>
      <c r="K62" s="550">
        <f>'Enrol Staff &amp; Exp'!M1588</f>
        <v>5698540.2259717025</v>
      </c>
      <c r="L62" s="255"/>
    </row>
    <row r="63" spans="2:12">
      <c r="B63" s="217" t="s">
        <v>577</v>
      </c>
      <c r="C63" s="242">
        <f t="shared" si="18"/>
        <v>2862363.3771490655</v>
      </c>
      <c r="D63" s="586">
        <f t="shared" si="19"/>
        <v>8.2396894292732017E-2</v>
      </c>
      <c r="E63" s="242">
        <f>'EMO-CMO'!E30</f>
        <v>0</v>
      </c>
      <c r="F63" s="242">
        <f>'EMO-CMO'!F30</f>
        <v>137242.83766999419</v>
      </c>
      <c r="G63" s="242">
        <f>'EMO-CMO'!G30</f>
        <v>184031.06645012298</v>
      </c>
      <c r="H63" s="242">
        <f>'EMO-CMO'!H30</f>
        <v>244235.61372116386</v>
      </c>
      <c r="I63" s="242">
        <f>'EMO-CMO'!I30</f>
        <v>614853.10546232434</v>
      </c>
      <c r="J63" s="242">
        <f>'EMO-CMO'!J30</f>
        <v>747472.31540882261</v>
      </c>
      <c r="K63" s="242">
        <f>'EMO-CMO'!K30</f>
        <v>934528.43843663752</v>
      </c>
      <c r="L63" s="255"/>
    </row>
    <row r="64" spans="2:12">
      <c r="B64" s="217" t="s">
        <v>72</v>
      </c>
      <c r="C64" s="242">
        <f t="shared" si="18"/>
        <v>4752695.7574951733</v>
      </c>
      <c r="D64" s="587">
        <f>+C64/$C$59</f>
        <v>0.13681259796088135</v>
      </c>
      <c r="E64" s="242">
        <f>'Enrol Staff &amp; Exp'!G1437</f>
        <v>0</v>
      </c>
      <c r="F64" s="242">
        <f>'Enrol Staff &amp; Exp'!H1437</f>
        <v>473649.33766999422</v>
      </c>
      <c r="G64" s="242">
        <f>'Enrol Staff &amp; Exp'!I1437</f>
        <v>559112.56645012298</v>
      </c>
      <c r="H64" s="242">
        <f>'Enrol Staff &amp; Exp'!J1437</f>
        <v>702279.61372116383</v>
      </c>
      <c r="I64" s="242">
        <f>'Enrol Staff &amp; Exp'!K1437</f>
        <v>842196.55273116217</v>
      </c>
      <c r="J64" s="242">
        <f>'Enrol Staff &amp; Exp'!L1437</f>
        <v>985546.06270441134</v>
      </c>
      <c r="K64" s="242">
        <f>'Enrol Staff &amp; Exp'!M1437</f>
        <v>1189911.6242183188</v>
      </c>
      <c r="L64" s="252"/>
    </row>
    <row r="65" spans="2:16">
      <c r="B65" s="217" t="s">
        <v>536</v>
      </c>
      <c r="C65" s="406">
        <f t="shared" si="18"/>
        <v>628850</v>
      </c>
      <c r="D65" s="586">
        <f>+C65/$C$59</f>
        <v>1.8102274291810192E-2</v>
      </c>
      <c r="E65" s="406">
        <f>'FFE&amp;T'!G55</f>
        <v>0</v>
      </c>
      <c r="F65" s="406">
        <f>'FFE&amp;T'!H55</f>
        <v>61121.666666666664</v>
      </c>
      <c r="G65" s="406">
        <f>'FFE&amp;T'!I55</f>
        <v>76088.333333333328</v>
      </c>
      <c r="H65" s="406">
        <f>'FFE&amp;T'!J55</f>
        <v>94656.666666666672</v>
      </c>
      <c r="I65" s="406">
        <f>'FFE&amp;T'!K55</f>
        <v>112385</v>
      </c>
      <c r="J65" s="406">
        <f>'FFE&amp;T'!L55</f>
        <v>130113.33333333333</v>
      </c>
      <c r="K65" s="406">
        <f>'FFE&amp;T'!M55</f>
        <v>154485</v>
      </c>
      <c r="L65" s="256"/>
    </row>
    <row r="66" spans="2:16">
      <c r="B66" s="217" t="s">
        <v>92</v>
      </c>
      <c r="C66" s="406">
        <f t="shared" si="18"/>
        <v>3907075.4</v>
      </c>
      <c r="D66" s="586">
        <f>+C66/$C$59</f>
        <v>0.112470303839682</v>
      </c>
      <c r="E66" s="406">
        <f>Facilities!G68</f>
        <v>0</v>
      </c>
      <c r="F66" s="406">
        <f>Facilities!H68</f>
        <v>560478.4</v>
      </c>
      <c r="G66" s="406">
        <f>Facilities!I68</f>
        <v>606493</v>
      </c>
      <c r="H66" s="406">
        <f>Facilities!J68</f>
        <v>620521</v>
      </c>
      <c r="I66" s="406">
        <f>Facilities!K68</f>
        <v>687957</v>
      </c>
      <c r="J66" s="406">
        <f>Facilities!L68</f>
        <v>706344</v>
      </c>
      <c r="K66" s="406">
        <f>Facilities!M68</f>
        <v>725282</v>
      </c>
      <c r="L66" s="256"/>
    </row>
    <row r="67" spans="2:16">
      <c r="B67" s="217" t="s">
        <v>528</v>
      </c>
      <c r="C67" s="242">
        <f t="shared" si="18"/>
        <v>38810.45930580001</v>
      </c>
      <c r="D67" s="586">
        <f t="shared" si="19"/>
        <v>1.1172101132936776E-3</v>
      </c>
      <c r="E67" s="242">
        <f>Marketing!H44</f>
        <v>0</v>
      </c>
      <c r="F67" s="242">
        <f>Marketing!I44</f>
        <v>6000</v>
      </c>
      <c r="G67" s="242">
        <f>Marketing!J44</f>
        <v>6180</v>
      </c>
      <c r="H67" s="242">
        <f>Marketing!K44</f>
        <v>6365.4000000000005</v>
      </c>
      <c r="I67" s="242">
        <f>Marketing!L44</f>
        <v>6556.362000000001</v>
      </c>
      <c r="J67" s="242">
        <f>Marketing!M44</f>
        <v>6753.0528600000016</v>
      </c>
      <c r="K67" s="242">
        <f>Marketing!N44</f>
        <v>6955.6444458000014</v>
      </c>
      <c r="L67" s="255"/>
    </row>
    <row r="68" spans="2:16">
      <c r="B68" s="217" t="s">
        <v>128</v>
      </c>
      <c r="C68" s="406">
        <f>SUM(E68:K68)</f>
        <v>440000</v>
      </c>
      <c r="D68" s="586">
        <f t="shared" si="19"/>
        <v>1.2665978672809866E-2</v>
      </c>
      <c r="E68" s="406">
        <f>'Enrol Staff &amp; Exp'!G1464</f>
        <v>0</v>
      </c>
      <c r="F68" s="406">
        <f>'Enrol Staff &amp; Exp'!H1464</f>
        <v>40000</v>
      </c>
      <c r="G68" s="406">
        <f>'Enrol Staff &amp; Exp'!I1464</f>
        <v>20000</v>
      </c>
      <c r="H68" s="406">
        <f>'Enrol Staff &amp; Exp'!J1464</f>
        <v>80000</v>
      </c>
      <c r="I68" s="406">
        <f>'Enrol Staff &amp; Exp'!K1464</f>
        <v>100000</v>
      </c>
      <c r="J68" s="406">
        <f>'Enrol Staff &amp; Exp'!L1464</f>
        <v>100000</v>
      </c>
      <c r="K68" s="406">
        <f>+J68</f>
        <v>100000</v>
      </c>
      <c r="L68" s="256"/>
    </row>
    <row r="69" spans="2:16">
      <c r="B69" s="217" t="s">
        <v>73</v>
      </c>
      <c r="C69" s="406">
        <f>SUM(E69:K69)</f>
        <v>0</v>
      </c>
      <c r="D69" s="586">
        <f t="shared" si="19"/>
        <v>0</v>
      </c>
      <c r="E69" s="406">
        <f>'Enrol Staff &amp; Exp'!G1581</f>
        <v>0</v>
      </c>
      <c r="F69" s="406">
        <f>'Enrol Staff &amp; Exp'!H1581</f>
        <v>0</v>
      </c>
      <c r="G69" s="406">
        <f>'Enrol Staff &amp; Exp'!I1581</f>
        <v>0</v>
      </c>
      <c r="H69" s="406">
        <f>'Enrol Staff &amp; Exp'!J1581</f>
        <v>0</v>
      </c>
      <c r="I69" s="406">
        <f>'Enrol Staff &amp; Exp'!K1581</f>
        <v>0</v>
      </c>
      <c r="J69" s="406">
        <f>'Enrol Staff &amp; Exp'!L1581</f>
        <v>0</v>
      </c>
      <c r="K69" s="406">
        <f>+J69</f>
        <v>0</v>
      </c>
      <c r="L69" s="256"/>
    </row>
    <row r="70" spans="2:16">
      <c r="B70" s="217" t="s">
        <v>530</v>
      </c>
      <c r="C70" s="406">
        <f>SUM(E70:K70)</f>
        <v>169500</v>
      </c>
      <c r="D70" s="586">
        <f t="shared" si="19"/>
        <v>4.8792804205483467E-3</v>
      </c>
      <c r="E70" s="406">
        <f>Ins!K59</f>
        <v>0</v>
      </c>
      <c r="F70" s="406">
        <f>Ins!L59</f>
        <v>28250</v>
      </c>
      <c r="G70" s="406">
        <f>Ins!M59</f>
        <v>28250</v>
      </c>
      <c r="H70" s="406">
        <f>Ins!N59</f>
        <v>28250</v>
      </c>
      <c r="I70" s="406">
        <f>Ins!O59</f>
        <v>28250</v>
      </c>
      <c r="J70" s="406">
        <f>Ins!P59</f>
        <v>28250</v>
      </c>
      <c r="K70" s="406">
        <f>Ins!Q59</f>
        <v>28250</v>
      </c>
      <c r="L70" s="256"/>
    </row>
    <row r="71" spans="2:16" hidden="1">
      <c r="B71" s="217" t="s">
        <v>484</v>
      </c>
      <c r="C71" s="851"/>
      <c r="D71" s="971"/>
      <c r="E71" s="851"/>
      <c r="F71" s="851"/>
      <c r="G71" s="851"/>
      <c r="H71" s="851"/>
      <c r="I71" s="851"/>
      <c r="J71" s="851"/>
      <c r="K71" s="851"/>
      <c r="L71" s="256"/>
    </row>
    <row r="72" spans="2:16" hidden="1">
      <c r="B72" s="217" t="s">
        <v>483</v>
      </c>
      <c r="C72" s="851"/>
      <c r="D72" s="971"/>
      <c r="E72" s="851"/>
      <c r="F72" s="851"/>
      <c r="G72" s="851"/>
      <c r="H72" s="851"/>
      <c r="I72" s="851"/>
      <c r="J72" s="851"/>
      <c r="K72" s="851"/>
      <c r="L72" s="256"/>
    </row>
    <row r="73" spans="2:16">
      <c r="B73" s="217" t="s">
        <v>759</v>
      </c>
      <c r="C73" s="406">
        <f>SUM(E73:K73)</f>
        <v>97167</v>
      </c>
      <c r="D73" s="586">
        <f>+C73/$C$59</f>
        <v>2.7970798856839008E-3</v>
      </c>
      <c r="E73" s="406">
        <f>+Incubation!E43</f>
        <v>97167</v>
      </c>
      <c r="F73" s="406"/>
      <c r="G73" s="406"/>
      <c r="H73" s="406"/>
      <c r="I73" s="406"/>
      <c r="J73" s="406"/>
      <c r="K73" s="406"/>
      <c r="L73" s="256"/>
    </row>
    <row r="74" spans="2:16">
      <c r="B74" s="217" t="s">
        <v>758</v>
      </c>
      <c r="C74" s="256"/>
      <c r="D74" s="257"/>
      <c r="E74" s="256"/>
      <c r="F74" s="256"/>
      <c r="G74" s="256"/>
      <c r="H74" s="256"/>
      <c r="I74" s="256"/>
      <c r="J74" s="256"/>
      <c r="K74" s="256"/>
      <c r="L74" s="256"/>
      <c r="M74" s="256"/>
    </row>
    <row r="75" spans="2:16">
      <c r="B75" s="223" t="s">
        <v>63</v>
      </c>
      <c r="C75" s="205">
        <f>SUM(C62:C74)</f>
        <v>33685497.007562473</v>
      </c>
      <c r="D75" s="203">
        <f t="shared" si="19"/>
        <v>0.96968133336542472</v>
      </c>
      <c r="E75" s="205">
        <f t="shared" ref="E75:J75" si="20">SUM(E62:E74)</f>
        <v>97167</v>
      </c>
      <c r="F75" s="205">
        <f t="shared" si="20"/>
        <v>2742426.2420066549</v>
      </c>
      <c r="G75" s="205">
        <f t="shared" si="20"/>
        <v>3666655.7337335791</v>
      </c>
      <c r="H75" s="205">
        <f t="shared" si="20"/>
        <v>4805253.9441589946</v>
      </c>
      <c r="I75" s="205">
        <f t="shared" si="20"/>
        <v>6198595.6569174863</v>
      </c>
      <c r="J75" s="205">
        <f t="shared" si="20"/>
        <v>7337445.4976732964</v>
      </c>
      <c r="K75" s="205">
        <f>+J75</f>
        <v>7337445.4976732964</v>
      </c>
      <c r="L75" s="205"/>
    </row>
    <row r="76" spans="2:16" ht="15" thickBot="1">
      <c r="B76" s="223"/>
      <c r="C76" s="206"/>
      <c r="D76" s="207"/>
      <c r="E76" s="206"/>
      <c r="F76" s="206"/>
      <c r="G76" s="206"/>
      <c r="H76" s="206"/>
      <c r="I76" s="206"/>
      <c r="J76" s="206"/>
      <c r="K76" s="206"/>
      <c r="L76" s="206"/>
    </row>
    <row r="77" spans="2:16" ht="15" thickBot="1">
      <c r="B77" s="258" t="s">
        <v>65</v>
      </c>
      <c r="C77" s="498">
        <f>C59-C75</f>
        <v>1053231.9423409924</v>
      </c>
      <c r="D77" s="209">
        <f t="shared" si="19"/>
        <v>3.0318666634575275E-2</v>
      </c>
      <c r="E77" s="498">
        <f t="shared" ref="E77:J77" si="21">E59-E75</f>
        <v>22833</v>
      </c>
      <c r="F77" s="498">
        <f t="shared" si="21"/>
        <v>42430.511393229011</v>
      </c>
      <c r="G77" s="498">
        <f t="shared" si="21"/>
        <v>33965.595268880017</v>
      </c>
      <c r="H77" s="498">
        <f t="shared" si="21"/>
        <v>159458.33026428241</v>
      </c>
      <c r="I77" s="498">
        <f t="shared" si="21"/>
        <v>49935.397705757059</v>
      </c>
      <c r="J77" s="498">
        <f t="shared" si="21"/>
        <v>237277.65641492885</v>
      </c>
      <c r="K77" s="498">
        <f>+J77</f>
        <v>237277.65641492885</v>
      </c>
      <c r="L77" s="210"/>
      <c r="N77" s="259"/>
      <c r="P77" s="260"/>
    </row>
    <row r="78" spans="2:16" ht="15" thickBot="1">
      <c r="B78" s="261" t="s">
        <v>208</v>
      </c>
      <c r="C78" s="211"/>
      <c r="D78" s="211"/>
      <c r="E78" s="513"/>
      <c r="F78" s="513">
        <f>F77/F11</f>
        <v>130.55541967147389</v>
      </c>
      <c r="G78" s="513">
        <f>G77/G11</f>
        <v>79.91904769148239</v>
      </c>
      <c r="H78" s="513">
        <f>H77/H11</f>
        <v>289.92423684414985</v>
      </c>
      <c r="I78" s="513">
        <f>I77/I11</f>
        <v>73.978366971491937</v>
      </c>
      <c r="J78" s="513">
        <f>J77/J11</f>
        <v>296.59707051866104</v>
      </c>
      <c r="K78" s="513">
        <f>+J78</f>
        <v>296.59707051866104</v>
      </c>
      <c r="L78" s="212"/>
    </row>
    <row r="79" spans="2:16" ht="15" thickBot="1">
      <c r="B79" s="497" t="s">
        <v>553</v>
      </c>
      <c r="C79" s="208"/>
      <c r="D79" s="209"/>
      <c r="E79" s="498">
        <f t="shared" ref="E79:K79" si="22">+E77+D79</f>
        <v>22833</v>
      </c>
      <c r="F79" s="498">
        <f t="shared" si="22"/>
        <v>65263.511393229011</v>
      </c>
      <c r="G79" s="498">
        <f t="shared" si="22"/>
        <v>99229.106662109029</v>
      </c>
      <c r="H79" s="498">
        <f t="shared" si="22"/>
        <v>258687.43692639144</v>
      </c>
      <c r="I79" s="498">
        <f t="shared" si="22"/>
        <v>308622.8346321485</v>
      </c>
      <c r="J79" s="498">
        <f t="shared" si="22"/>
        <v>545900.49104707735</v>
      </c>
      <c r="K79" s="498">
        <f t="shared" si="22"/>
        <v>783178.14746200619</v>
      </c>
      <c r="L79" s="212"/>
      <c r="O79" s="549"/>
    </row>
    <row r="80" spans="2:16">
      <c r="B80" s="261"/>
      <c r="C80" s="211"/>
      <c r="D80" s="211"/>
      <c r="E80" s="212"/>
      <c r="F80" s="212"/>
      <c r="G80" s="212"/>
      <c r="H80" s="212"/>
      <c r="I80" s="212"/>
      <c r="J80" s="212"/>
      <c r="K80" s="212"/>
      <c r="L80" s="212"/>
    </row>
    <row r="81" spans="2:14">
      <c r="B81" s="261" t="s">
        <v>625</v>
      </c>
      <c r="C81" s="211"/>
      <c r="D81" s="211"/>
      <c r="E81" s="513">
        <f t="shared" ref="E81:K81" si="23">+E77-(SUM(E57:E58))-E50-E54</f>
        <v>22833</v>
      </c>
      <c r="F81" s="513">
        <f t="shared" si="23"/>
        <v>-105444.48860677099</v>
      </c>
      <c r="G81" s="513">
        <f t="shared" si="23"/>
        <v>-159409.40473111998</v>
      </c>
      <c r="H81" s="513">
        <f t="shared" si="23"/>
        <v>-90791.669735717587</v>
      </c>
      <c r="I81" s="513">
        <f t="shared" si="23"/>
        <v>-257189.60229424294</v>
      </c>
      <c r="J81" s="513">
        <f t="shared" si="23"/>
        <v>-126722.34358507115</v>
      </c>
      <c r="K81" s="513">
        <f t="shared" si="23"/>
        <v>-206347.34358507115</v>
      </c>
      <c r="L81" s="212"/>
    </row>
    <row r="82" spans="2:14">
      <c r="B82" s="261" t="s">
        <v>626</v>
      </c>
      <c r="C82" s="211"/>
      <c r="D82" s="211"/>
      <c r="E82" s="212"/>
      <c r="F82" s="513">
        <f t="shared" ref="F82:K82" si="24">+F81+E82</f>
        <v>-105444.48860677099</v>
      </c>
      <c r="G82" s="513">
        <f t="shared" si="24"/>
        <v>-264853.89333789097</v>
      </c>
      <c r="H82" s="513">
        <f t="shared" si="24"/>
        <v>-355645.56307360856</v>
      </c>
      <c r="I82" s="513">
        <f t="shared" si="24"/>
        <v>-612835.1653678515</v>
      </c>
      <c r="J82" s="513">
        <f t="shared" si="24"/>
        <v>-739557.50895292265</v>
      </c>
      <c r="K82" s="513">
        <f t="shared" si="24"/>
        <v>-945904.85253799381</v>
      </c>
      <c r="L82" s="212"/>
    </row>
    <row r="83" spans="2:14">
      <c r="B83" s="261"/>
      <c r="C83" s="211"/>
      <c r="D83" s="211"/>
      <c r="E83" s="212"/>
      <c r="F83" s="212"/>
      <c r="G83" s="212"/>
      <c r="H83" s="212"/>
      <c r="I83" s="212"/>
      <c r="J83" s="212"/>
      <c r="K83" s="212"/>
      <c r="L83" s="212"/>
    </row>
    <row r="84" spans="2:14">
      <c r="B84" s="261" t="s">
        <v>760</v>
      </c>
      <c r="C84" s="211"/>
      <c r="D84" s="211"/>
      <c r="E84" s="513">
        <f>+Incubation!E50</f>
        <v>170000</v>
      </c>
      <c r="F84" s="212"/>
      <c r="G84" s="212"/>
      <c r="H84" s="212"/>
      <c r="I84" s="212"/>
      <c r="J84" s="212"/>
      <c r="K84" s="212"/>
      <c r="L84" s="212"/>
    </row>
    <row r="85" spans="2:14">
      <c r="B85" s="261" t="s">
        <v>938</v>
      </c>
      <c r="C85" s="211"/>
      <c r="D85" s="211"/>
      <c r="E85" s="840">
        <f>+E84+E77</f>
        <v>192833</v>
      </c>
      <c r="F85" s="513">
        <f t="shared" ref="F85:K85" si="25">+E85+F77</f>
        <v>235263.51139322901</v>
      </c>
      <c r="G85" s="513">
        <f t="shared" si="25"/>
        <v>269229.10666210903</v>
      </c>
      <c r="H85" s="513">
        <f t="shared" si="25"/>
        <v>428687.43692639144</v>
      </c>
      <c r="I85" s="513">
        <f t="shared" si="25"/>
        <v>478622.8346321485</v>
      </c>
      <c r="J85" s="513">
        <f t="shared" si="25"/>
        <v>715900.49104707735</v>
      </c>
      <c r="K85" s="513">
        <f t="shared" si="25"/>
        <v>953178.14746200619</v>
      </c>
      <c r="L85" s="212"/>
    </row>
    <row r="86" spans="2:14">
      <c r="B86" s="261"/>
      <c r="C86" s="211"/>
      <c r="D86" s="211"/>
      <c r="E86" s="212"/>
      <c r="F86" s="212"/>
      <c r="G86" s="212"/>
      <c r="H86" s="212"/>
      <c r="I86" s="212"/>
      <c r="J86" s="212"/>
      <c r="K86" s="212"/>
      <c r="L86" s="212"/>
    </row>
    <row r="87" spans="2:14">
      <c r="B87" s="261"/>
      <c r="C87" s="211"/>
      <c r="D87" s="211"/>
      <c r="E87" s="212"/>
      <c r="F87" s="212"/>
      <c r="G87" s="212"/>
      <c r="H87" s="212"/>
      <c r="I87" s="212"/>
      <c r="J87" s="212"/>
      <c r="K87" s="212"/>
      <c r="L87" s="212"/>
    </row>
    <row r="88" spans="2:14">
      <c r="B88" s="517" t="s">
        <v>389</v>
      </c>
      <c r="C88" s="517"/>
      <c r="D88" s="517"/>
      <c r="E88" s="548"/>
      <c r="F88" s="548">
        <f t="shared" ref="F88:K88" si="26">+F77/F34</f>
        <v>4.9517506370710276</v>
      </c>
      <c r="G88" s="548">
        <f t="shared" si="26"/>
        <v>3.9007984621774892</v>
      </c>
      <c r="H88" s="548">
        <f t="shared" si="26"/>
        <v>17.665088488041977</v>
      </c>
      <c r="I88" s="548">
        <f t="shared" si="26"/>
        <v>5.3942907791819161</v>
      </c>
      <c r="J88" s="548">
        <f t="shared" si="26"/>
        <v>25.059942293665532</v>
      </c>
      <c r="K88" s="548">
        <f t="shared" si="26"/>
        <v>30.541804670404865</v>
      </c>
      <c r="L88" s="589"/>
      <c r="M88" s="221"/>
      <c r="N88" s="221"/>
    </row>
    <row r="89" spans="2:14">
      <c r="B89" s="217" t="s">
        <v>390</v>
      </c>
      <c r="E89" s="590"/>
      <c r="F89" s="590">
        <f t="shared" ref="F89:K89" si="27">+F88/F11</f>
        <v>1.5236155806372392E-2</v>
      </c>
      <c r="G89" s="590">
        <f t="shared" si="27"/>
        <v>9.1783493227705626E-3</v>
      </c>
      <c r="H89" s="590">
        <f t="shared" si="27"/>
        <v>3.2118342705530871E-2</v>
      </c>
      <c r="I89" s="590">
        <f t="shared" si="27"/>
        <v>7.9915418950843205E-3</v>
      </c>
      <c r="J89" s="590">
        <f t="shared" si="27"/>
        <v>3.1324927867081916E-2</v>
      </c>
      <c r="K89" s="590">
        <f t="shared" si="27"/>
        <v>3.1324927867081916E-2</v>
      </c>
      <c r="L89" s="590"/>
      <c r="M89" s="221"/>
      <c r="N89" s="221"/>
    </row>
    <row r="90" spans="2:14">
      <c r="B90" s="517" t="s">
        <v>571</v>
      </c>
      <c r="C90" s="842"/>
      <c r="D90" s="842"/>
      <c r="E90" s="843"/>
      <c r="F90" s="843">
        <f>F77</f>
        <v>42430.511393229011</v>
      </c>
      <c r="G90" s="843">
        <f>+F90+G77</f>
        <v>76396.106662109029</v>
      </c>
      <c r="H90" s="843">
        <f>G90+H77</f>
        <v>235854.43692639144</v>
      </c>
      <c r="I90" s="843">
        <f>H90+I77</f>
        <v>285789.8346321485</v>
      </c>
      <c r="J90" s="843">
        <f>I90+J77</f>
        <v>523067.49104707735</v>
      </c>
      <c r="K90" s="843">
        <f>J90+K77</f>
        <v>760345.14746200619</v>
      </c>
      <c r="L90" s="591"/>
      <c r="M90" s="221"/>
      <c r="N90" s="221"/>
    </row>
    <row r="91" spans="2:14">
      <c r="B91" s="221"/>
      <c r="C91" s="221"/>
      <c r="D91" s="221"/>
    </row>
    <row r="92" spans="2:14" ht="18">
      <c r="B92" s="263" t="s">
        <v>377</v>
      </c>
      <c r="C92" s="264"/>
      <c r="D92" s="264"/>
      <c r="E92" s="264"/>
      <c r="F92" s="264"/>
      <c r="G92" s="264"/>
      <c r="H92" s="264"/>
      <c r="I92" s="264"/>
      <c r="J92" s="264"/>
      <c r="K92" s="264"/>
      <c r="L92" s="264"/>
    </row>
    <row r="93" spans="2:14">
      <c r="B93" s="511" t="s">
        <v>124</v>
      </c>
      <c r="C93" s="512"/>
      <c r="D93" s="512"/>
      <c r="E93" s="512"/>
      <c r="F93" s="512"/>
      <c r="G93" s="512"/>
      <c r="H93" s="512"/>
      <c r="I93" s="512"/>
      <c r="J93" s="512"/>
      <c r="K93" s="512"/>
      <c r="L93" s="512"/>
    </row>
    <row r="94" spans="2:14">
      <c r="B94" s="217" t="s">
        <v>312</v>
      </c>
      <c r="C94" s="251">
        <f>C42/C$59</f>
        <v>0.85787166051717767</v>
      </c>
      <c r="D94" s="251">
        <f t="shared" ref="D94:D110" si="28">+C94/$C$59</f>
        <v>2.4694963991178541E-8</v>
      </c>
      <c r="E94" s="251"/>
      <c r="F94" s="251">
        <f t="shared" ref="F94:K95" si="29">F42/F$59</f>
        <v>0.84527103045652618</v>
      </c>
      <c r="G94" s="251">
        <f t="shared" si="29"/>
        <v>0.85677540713952038</v>
      </c>
      <c r="H94" s="251">
        <f t="shared" si="29"/>
        <v>0.85125277245084852</v>
      </c>
      <c r="I94" s="251">
        <f t="shared" si="29"/>
        <v>0.85497417982579615</v>
      </c>
      <c r="J94" s="251">
        <f t="shared" si="29"/>
        <v>0.86096918149326118</v>
      </c>
      <c r="K94" s="251">
        <f t="shared" si="29"/>
        <v>1.0807853756432593</v>
      </c>
      <c r="L94" s="251"/>
    </row>
    <row r="95" spans="2:14">
      <c r="B95" s="217" t="s">
        <v>345</v>
      </c>
      <c r="C95" s="251">
        <f>C43/C$59</f>
        <v>-1.0723395756464721E-2</v>
      </c>
      <c r="D95" s="251">
        <f t="shared" si="28"/>
        <v>-3.086870498897318E-10</v>
      </c>
      <c r="E95" s="251"/>
      <c r="F95" s="251">
        <f t="shared" si="29"/>
        <v>-1.0565887880706578E-2</v>
      </c>
      <c r="G95" s="251">
        <f t="shared" si="29"/>
        <v>-1.0709692589244008E-2</v>
      </c>
      <c r="H95" s="251">
        <f t="shared" si="29"/>
        <v>-1.0640659655635609E-2</v>
      </c>
      <c r="I95" s="251">
        <f t="shared" si="29"/>
        <v>-1.0687177247822453E-2</v>
      </c>
      <c r="J95" s="251">
        <f t="shared" si="29"/>
        <v>-1.0762114768665764E-2</v>
      </c>
      <c r="K95" s="251">
        <f t="shared" si="29"/>
        <v>-1.3509817195540742E-2</v>
      </c>
      <c r="L95" s="251"/>
    </row>
    <row r="96" spans="2:14">
      <c r="B96" s="217" t="s">
        <v>308</v>
      </c>
      <c r="C96" s="251">
        <f>C50/C$59</f>
        <v>4.911665025109508E-2</v>
      </c>
      <c r="D96" s="251">
        <f t="shared" si="28"/>
        <v>1.4138873740005265E-9</v>
      </c>
      <c r="E96" s="251"/>
      <c r="F96" s="251">
        <f t="shared" ref="F96:K96" si="30">F50/F$59</f>
        <v>5.3099679119749069E-2</v>
      </c>
      <c r="G96" s="251">
        <f t="shared" si="30"/>
        <v>5.22547385447098E-2</v>
      </c>
      <c r="H96" s="251">
        <f t="shared" si="30"/>
        <v>5.040574078969564E-2</v>
      </c>
      <c r="I96" s="251">
        <f t="shared" si="30"/>
        <v>4.9151552151246877E-2</v>
      </c>
      <c r="J96" s="251">
        <f t="shared" si="30"/>
        <v>4.8054561545730172E-2</v>
      </c>
      <c r="K96" s="251">
        <f t="shared" si="30"/>
        <v>5.8566496883858649E-2</v>
      </c>
      <c r="L96" s="251"/>
    </row>
    <row r="97" spans="2:12">
      <c r="B97" s="217" t="s">
        <v>125</v>
      </c>
      <c r="C97" s="251">
        <f t="shared" ref="C97:C102" si="31">C44/C$59</f>
        <v>6.9518951124626888E-2</v>
      </c>
      <c r="D97" s="251">
        <f t="shared" si="28"/>
        <v>2.0011944370468992E-9</v>
      </c>
      <c r="E97" s="251"/>
      <c r="F97" s="251">
        <f t="shared" ref="F97:K102" si="32">F44/F$59</f>
        <v>7.5156468907952537E-2</v>
      </c>
      <c r="G97" s="251">
        <f t="shared" si="32"/>
        <v>7.3960553017127714E-2</v>
      </c>
      <c r="H97" s="251">
        <f t="shared" si="32"/>
        <v>7.1343510040799987E-2</v>
      </c>
      <c r="I97" s="251">
        <f t="shared" si="32"/>
        <v>6.9568350737149426E-2</v>
      </c>
      <c r="J97" s="251">
        <f t="shared" si="32"/>
        <v>6.801568711087963E-2</v>
      </c>
      <c r="K97" s="251">
        <f t="shared" si="32"/>
        <v>8.2894118666384548E-2</v>
      </c>
      <c r="L97" s="251"/>
    </row>
    <row r="98" spans="2:12">
      <c r="B98" s="217" t="s">
        <v>353</v>
      </c>
      <c r="C98" s="251">
        <f t="shared" si="31"/>
        <v>3.7782038654688522E-4</v>
      </c>
      <c r="D98" s="251">
        <f t="shared" si="28"/>
        <v>1.0876056723080973E-11</v>
      </c>
      <c r="E98" s="251"/>
      <c r="F98" s="251">
        <f t="shared" si="32"/>
        <v>4.0845907015191592E-4</v>
      </c>
      <c r="G98" s="251">
        <f t="shared" si="32"/>
        <v>4.0195952726699847E-4</v>
      </c>
      <c r="H98" s="251">
        <f t="shared" si="32"/>
        <v>3.8773646761304341E-4</v>
      </c>
      <c r="I98" s="251">
        <f t="shared" si="32"/>
        <v>3.7808886270189907E-4</v>
      </c>
      <c r="J98" s="251">
        <f t="shared" si="32"/>
        <v>3.6965047342869367E-4</v>
      </c>
      <c r="K98" s="251">
        <f t="shared" si="32"/>
        <v>4.5051151449122036E-4</v>
      </c>
      <c r="L98" s="251"/>
    </row>
    <row r="99" spans="2:12">
      <c r="B99" s="217" t="s">
        <v>352</v>
      </c>
      <c r="C99" s="251">
        <f t="shared" si="31"/>
        <v>0</v>
      </c>
      <c r="D99" s="251">
        <f t="shared" si="28"/>
        <v>0</v>
      </c>
      <c r="E99" s="251"/>
      <c r="F99" s="251">
        <f t="shared" si="32"/>
        <v>0</v>
      </c>
      <c r="G99" s="251">
        <f t="shared" si="32"/>
        <v>0</v>
      </c>
      <c r="H99" s="251">
        <f t="shared" si="32"/>
        <v>0</v>
      </c>
      <c r="I99" s="251">
        <f t="shared" si="32"/>
        <v>0</v>
      </c>
      <c r="J99" s="251">
        <f t="shared" si="32"/>
        <v>0</v>
      </c>
      <c r="K99" s="251">
        <f t="shared" si="32"/>
        <v>0</v>
      </c>
      <c r="L99" s="251"/>
    </row>
    <row r="100" spans="2:12">
      <c r="B100" s="217" t="s">
        <v>237</v>
      </c>
      <c r="C100" s="251">
        <f t="shared" si="31"/>
        <v>0</v>
      </c>
      <c r="D100" s="251">
        <f t="shared" si="28"/>
        <v>0</v>
      </c>
      <c r="E100" s="251"/>
      <c r="F100" s="251">
        <f t="shared" si="32"/>
        <v>0</v>
      </c>
      <c r="G100" s="251">
        <f t="shared" si="32"/>
        <v>0</v>
      </c>
      <c r="H100" s="251">
        <f t="shared" si="32"/>
        <v>0</v>
      </c>
      <c r="I100" s="251">
        <f t="shared" si="32"/>
        <v>0</v>
      </c>
      <c r="J100" s="251">
        <f t="shared" si="32"/>
        <v>0</v>
      </c>
      <c r="K100" s="251">
        <f t="shared" si="32"/>
        <v>0</v>
      </c>
      <c r="L100" s="251"/>
    </row>
    <row r="101" spans="2:12">
      <c r="B101" s="217" t="s">
        <v>6</v>
      </c>
      <c r="C101" s="251">
        <f t="shared" si="31"/>
        <v>0</v>
      </c>
      <c r="D101" s="251">
        <f t="shared" si="28"/>
        <v>0</v>
      </c>
      <c r="E101" s="251"/>
      <c r="F101" s="251">
        <f t="shared" si="32"/>
        <v>0</v>
      </c>
      <c r="G101" s="251">
        <f t="shared" si="32"/>
        <v>0</v>
      </c>
      <c r="H101" s="251">
        <f t="shared" si="32"/>
        <v>0</v>
      </c>
      <c r="I101" s="251">
        <f t="shared" si="32"/>
        <v>0</v>
      </c>
      <c r="J101" s="251">
        <f t="shared" si="32"/>
        <v>0</v>
      </c>
      <c r="K101" s="251">
        <f t="shared" si="32"/>
        <v>0</v>
      </c>
      <c r="L101" s="251"/>
    </row>
    <row r="102" spans="2:12">
      <c r="B102" s="217" t="s">
        <v>227</v>
      </c>
      <c r="C102" s="251">
        <f t="shared" si="31"/>
        <v>2.0596608500898773E-2</v>
      </c>
      <c r="D102" s="251">
        <f t="shared" si="28"/>
        <v>5.9290046364681419E-10</v>
      </c>
      <c r="E102" s="251"/>
      <c r="F102" s="251">
        <f t="shared" si="32"/>
        <v>2.2266854452853018E-2</v>
      </c>
      <c r="G102" s="251">
        <f t="shared" si="32"/>
        <v>2.1912536515012373E-2</v>
      </c>
      <c r="H102" s="251">
        <f t="shared" si="32"/>
        <v>2.1137176577305336E-2</v>
      </c>
      <c r="I102" s="251">
        <f t="shared" si="32"/>
        <v>2.0611244286720669E-2</v>
      </c>
      <c r="J102" s="251">
        <f t="shared" si="32"/>
        <v>2.0151231522912785E-2</v>
      </c>
      <c r="K102" s="251">
        <f t="shared" si="32"/>
        <v>2.4559313418549958E-2</v>
      </c>
      <c r="L102" s="251"/>
    </row>
    <row r="103" spans="2:12">
      <c r="B103" s="217" t="s">
        <v>128</v>
      </c>
      <c r="C103" s="251">
        <f t="shared" ref="C103:C111" si="33">C51/C$59</f>
        <v>1.3241704976119406E-2</v>
      </c>
      <c r="D103" s="251">
        <f t="shared" si="28"/>
        <v>3.8117989277083791E-10</v>
      </c>
      <c r="E103" s="251"/>
      <c r="F103" s="251">
        <f t="shared" ref="F103:K111" si="34">F51/F$59</f>
        <v>1.4363395873473966E-2</v>
      </c>
      <c r="G103" s="251">
        <f t="shared" si="34"/>
        <v>5.4044978456067021E-3</v>
      </c>
      <c r="H103" s="251">
        <f t="shared" si="34"/>
        <v>1.6113723329373233E-2</v>
      </c>
      <c r="I103" s="251">
        <f t="shared" si="34"/>
        <v>1.6003761384207369E-2</v>
      </c>
      <c r="J103" s="251">
        <f t="shared" si="34"/>
        <v>1.3201802622453344E-2</v>
      </c>
      <c r="K103" s="251">
        <f t="shared" si="34"/>
        <v>1.5842163146944012E-2</v>
      </c>
      <c r="L103" s="251"/>
    </row>
    <row r="104" spans="2:12">
      <c r="B104" s="217" t="s">
        <v>310</v>
      </c>
      <c r="C104" s="251">
        <f t="shared" si="33"/>
        <v>0</v>
      </c>
      <c r="D104" s="251">
        <f t="shared" si="28"/>
        <v>0</v>
      </c>
      <c r="E104" s="251"/>
      <c r="F104" s="251">
        <f t="shared" si="34"/>
        <v>0</v>
      </c>
      <c r="G104" s="251">
        <f t="shared" si="34"/>
        <v>0</v>
      </c>
      <c r="H104" s="251">
        <f t="shared" si="34"/>
        <v>0</v>
      </c>
      <c r="I104" s="251">
        <f t="shared" si="34"/>
        <v>0</v>
      </c>
      <c r="J104" s="251">
        <f t="shared" si="34"/>
        <v>0</v>
      </c>
      <c r="K104" s="251">
        <f t="shared" si="34"/>
        <v>0</v>
      </c>
      <c r="L104" s="251"/>
    </row>
    <row r="105" spans="2:12">
      <c r="B105" s="217" t="s">
        <v>311</v>
      </c>
      <c r="C105" s="251">
        <f t="shared" si="33"/>
        <v>0</v>
      </c>
      <c r="D105" s="251">
        <f t="shared" si="28"/>
        <v>0</v>
      </c>
      <c r="E105" s="251"/>
      <c r="F105" s="251">
        <f t="shared" si="34"/>
        <v>0</v>
      </c>
      <c r="G105" s="251">
        <f t="shared" si="34"/>
        <v>0</v>
      </c>
      <c r="H105" s="251">
        <f t="shared" si="34"/>
        <v>0</v>
      </c>
      <c r="I105" s="251">
        <f t="shared" si="34"/>
        <v>0</v>
      </c>
      <c r="J105" s="251">
        <f t="shared" si="34"/>
        <v>0</v>
      </c>
      <c r="K105" s="251">
        <f t="shared" si="34"/>
        <v>0</v>
      </c>
      <c r="L105" s="251"/>
    </row>
    <row r="106" spans="2:12">
      <c r="B106" s="217" t="s">
        <v>13</v>
      </c>
      <c r="C106" s="251">
        <f t="shared" si="33"/>
        <v>0</v>
      </c>
      <c r="D106" s="251">
        <f t="shared" si="28"/>
        <v>0</v>
      </c>
      <c r="E106" s="251"/>
      <c r="F106" s="251">
        <f t="shared" si="34"/>
        <v>0</v>
      </c>
      <c r="G106" s="251">
        <f t="shared" si="34"/>
        <v>0</v>
      </c>
      <c r="H106" s="251">
        <f t="shared" si="34"/>
        <v>0</v>
      </c>
      <c r="I106" s="251">
        <f t="shared" si="34"/>
        <v>0</v>
      </c>
      <c r="J106" s="251">
        <f t="shared" si="34"/>
        <v>0</v>
      </c>
      <c r="K106" s="251">
        <f t="shared" si="34"/>
        <v>0</v>
      </c>
      <c r="L106" s="251"/>
    </row>
    <row r="107" spans="2:12">
      <c r="B107" s="217" t="s">
        <v>11</v>
      </c>
      <c r="C107" s="251">
        <f t="shared" si="33"/>
        <v>0</v>
      </c>
      <c r="D107" s="251">
        <f t="shared" si="28"/>
        <v>0</v>
      </c>
      <c r="E107" s="251"/>
      <c r="F107" s="251">
        <f t="shared" si="34"/>
        <v>0</v>
      </c>
      <c r="G107" s="251">
        <f t="shared" si="34"/>
        <v>0</v>
      </c>
      <c r="H107" s="251">
        <f t="shared" si="34"/>
        <v>0</v>
      </c>
      <c r="I107" s="251">
        <f t="shared" si="34"/>
        <v>0</v>
      </c>
      <c r="J107" s="251">
        <f t="shared" si="34"/>
        <v>0</v>
      </c>
      <c r="K107" s="251">
        <f t="shared" si="34"/>
        <v>0</v>
      </c>
      <c r="L107" s="251"/>
    </row>
    <row r="108" spans="2:12">
      <c r="B108" s="217" t="s">
        <v>74</v>
      </c>
      <c r="C108" s="251">
        <f t="shared" si="33"/>
        <v>0</v>
      </c>
      <c r="D108" s="251">
        <f t="shared" si="28"/>
        <v>0</v>
      </c>
      <c r="E108" s="251"/>
      <c r="F108" s="251">
        <f t="shared" si="34"/>
        <v>0</v>
      </c>
      <c r="G108" s="251">
        <f t="shared" si="34"/>
        <v>0</v>
      </c>
      <c r="H108" s="251">
        <f t="shared" si="34"/>
        <v>0</v>
      </c>
      <c r="I108" s="251">
        <f t="shared" si="34"/>
        <v>0</v>
      </c>
      <c r="J108" s="251">
        <f t="shared" si="34"/>
        <v>0</v>
      </c>
      <c r="K108" s="251">
        <f t="shared" si="34"/>
        <v>0</v>
      </c>
      <c r="L108" s="251"/>
    </row>
    <row r="109" spans="2:12">
      <c r="B109" s="217" t="s">
        <v>75</v>
      </c>
      <c r="C109" s="251">
        <f t="shared" si="33"/>
        <v>0</v>
      </c>
      <c r="D109" s="251">
        <f t="shared" si="28"/>
        <v>0</v>
      </c>
      <c r="E109" s="251"/>
      <c r="F109" s="251">
        <f t="shared" si="34"/>
        <v>0</v>
      </c>
      <c r="G109" s="251">
        <f t="shared" si="34"/>
        <v>0</v>
      </c>
      <c r="H109" s="251">
        <f t="shared" si="34"/>
        <v>0</v>
      </c>
      <c r="I109" s="251">
        <f t="shared" si="34"/>
        <v>0</v>
      </c>
      <c r="J109" s="251">
        <f t="shared" si="34"/>
        <v>0</v>
      </c>
      <c r="K109" s="251">
        <f t="shared" si="34"/>
        <v>0</v>
      </c>
      <c r="L109" s="251"/>
    </row>
    <row r="110" spans="2:12">
      <c r="B110" s="217" t="s">
        <v>141</v>
      </c>
      <c r="C110" s="251">
        <f t="shared" si="33"/>
        <v>0</v>
      </c>
      <c r="D110" s="251">
        <f t="shared" si="28"/>
        <v>0</v>
      </c>
      <c r="E110" s="251"/>
      <c r="F110" s="251">
        <f t="shared" si="34"/>
        <v>0</v>
      </c>
      <c r="G110" s="251">
        <f t="shared" si="34"/>
        <v>0</v>
      </c>
      <c r="H110" s="251">
        <f t="shared" si="34"/>
        <v>0</v>
      </c>
      <c r="I110" s="251">
        <f t="shared" si="34"/>
        <v>0</v>
      </c>
      <c r="J110" s="251">
        <f t="shared" si="34"/>
        <v>0</v>
      </c>
      <c r="K110" s="251">
        <f t="shared" si="34"/>
        <v>0</v>
      </c>
      <c r="L110" s="251"/>
    </row>
    <row r="111" spans="2:12">
      <c r="B111" s="510" t="s">
        <v>64</v>
      </c>
      <c r="C111" s="203">
        <f t="shared" si="33"/>
        <v>1</v>
      </c>
      <c r="D111" s="203">
        <f>+C111/$C$59</f>
        <v>2.878631516547697E-8</v>
      </c>
      <c r="E111" s="203"/>
      <c r="F111" s="203">
        <f t="shared" si="34"/>
        <v>1</v>
      </c>
      <c r="G111" s="203">
        <f t="shared" si="34"/>
        <v>1</v>
      </c>
      <c r="H111" s="203">
        <f t="shared" si="34"/>
        <v>1</v>
      </c>
      <c r="I111" s="203">
        <f t="shared" si="34"/>
        <v>1</v>
      </c>
      <c r="J111" s="203">
        <f t="shared" si="34"/>
        <v>1</v>
      </c>
      <c r="K111" s="203">
        <f t="shared" si="34"/>
        <v>1</v>
      </c>
      <c r="L111" s="203"/>
    </row>
    <row r="112" spans="2:12">
      <c r="C112" s="253"/>
      <c r="D112" s="253"/>
      <c r="E112" s="253"/>
      <c r="F112" s="253"/>
      <c r="G112" s="253"/>
      <c r="H112" s="253"/>
      <c r="I112" s="253"/>
      <c r="J112" s="253"/>
      <c r="K112" s="253"/>
      <c r="L112" s="253"/>
    </row>
    <row r="113" spans="2:12">
      <c r="B113" s="204" t="s">
        <v>126</v>
      </c>
      <c r="C113" s="254"/>
      <c r="D113" s="254"/>
      <c r="E113" s="254"/>
      <c r="F113" s="254"/>
      <c r="G113" s="254"/>
      <c r="H113" s="254"/>
      <c r="I113" s="254"/>
      <c r="J113" s="254"/>
      <c r="K113" s="254"/>
      <c r="L113" s="253"/>
    </row>
    <row r="114" spans="2:12">
      <c r="B114" s="217" t="s">
        <v>93</v>
      </c>
      <c r="C114" s="251">
        <f>C62/C$59</f>
        <v>0.59843971388798334</v>
      </c>
      <c r="D114" s="251"/>
      <c r="E114" s="251"/>
      <c r="F114" s="251">
        <f t="shared" ref="F114:K115" si="35">F62/F$59</f>
        <v>0.51553244103031493</v>
      </c>
      <c r="G114" s="251">
        <f t="shared" si="35"/>
        <v>0.59084693436855751</v>
      </c>
      <c r="H114" s="251">
        <f t="shared" si="35"/>
        <v>0.61009490230767816</v>
      </c>
      <c r="I114" s="251">
        <f t="shared" si="35"/>
        <v>0.60916679511541738</v>
      </c>
      <c r="J114" s="251">
        <f t="shared" si="35"/>
        <v>0.61163512370299999</v>
      </c>
      <c r="K114" s="251">
        <f t="shared" si="35"/>
        <v>0.75231003299389099</v>
      </c>
      <c r="L114" s="251"/>
    </row>
    <row r="115" spans="2:12">
      <c r="B115" s="217" t="s">
        <v>481</v>
      </c>
      <c r="C115" s="251">
        <f>C63/C$59</f>
        <v>8.2396894292732017E-2</v>
      </c>
      <c r="D115" s="257"/>
      <c r="E115" s="251"/>
      <c r="F115" s="251">
        <f t="shared" si="35"/>
        <v>4.9281830206326302E-2</v>
      </c>
      <c r="G115" s="251">
        <f t="shared" si="35"/>
        <v>4.972977510771967E-2</v>
      </c>
      <c r="H115" s="251">
        <f t="shared" si="35"/>
        <v>4.9194313833531338E-2</v>
      </c>
      <c r="I115" s="251">
        <f t="shared" si="35"/>
        <v>9.8399623861579258E-2</v>
      </c>
      <c r="J115" s="251">
        <f t="shared" si="35"/>
        <v>9.8679819737754679E-2</v>
      </c>
      <c r="K115" s="251">
        <f t="shared" si="35"/>
        <v>0.1233745998931003</v>
      </c>
      <c r="L115" s="257"/>
    </row>
    <row r="116" spans="2:12">
      <c r="B116" s="217" t="s">
        <v>528</v>
      </c>
      <c r="C116" s="251">
        <f>C67/C$59</f>
        <v>1.1172101132936776E-3</v>
      </c>
      <c r="D116" s="257"/>
      <c r="E116" s="251"/>
      <c r="F116" s="251">
        <f t="shared" ref="F116:K116" si="36">F67/F$59</f>
        <v>2.1545093810210951E-3</v>
      </c>
      <c r="G116" s="251">
        <f t="shared" si="36"/>
        <v>1.6699898342924708E-3</v>
      </c>
      <c r="H116" s="251">
        <f t="shared" si="36"/>
        <v>1.2821286810099047E-3</v>
      </c>
      <c r="I116" s="251">
        <f t="shared" si="36"/>
        <v>1.0492645299648459E-3</v>
      </c>
      <c r="J116" s="251">
        <f t="shared" si="36"/>
        <v>8.9152470956714081E-4</v>
      </c>
      <c r="K116" s="251">
        <f t="shared" si="36"/>
        <v>9.1827045085415501E-4</v>
      </c>
      <c r="L116" s="257"/>
    </row>
    <row r="117" spans="2:12">
      <c r="B117" s="217" t="s">
        <v>72</v>
      </c>
      <c r="C117" s="251">
        <f>C64/C$59</f>
        <v>0.13681259796088135</v>
      </c>
      <c r="D117" s="257"/>
      <c r="E117" s="251"/>
      <c r="F117" s="251">
        <f t="shared" ref="F117:K117" si="37">F64/F$59</f>
        <v>0.17008032355407182</v>
      </c>
      <c r="G117" s="251">
        <f t="shared" si="37"/>
        <v>0.15108613304156618</v>
      </c>
      <c r="H117" s="251">
        <f t="shared" si="37"/>
        <v>0.14145424244202423</v>
      </c>
      <c r="I117" s="251">
        <f t="shared" si="37"/>
        <v>0.13478312668511538</v>
      </c>
      <c r="J117" s="251">
        <f t="shared" si="37"/>
        <v>0.13010984595159666</v>
      </c>
      <c r="K117" s="251">
        <f t="shared" si="37"/>
        <v>0.15708978401093121</v>
      </c>
      <c r="L117" s="257"/>
    </row>
    <row r="118" spans="2:12">
      <c r="B118" s="217" t="s">
        <v>128</v>
      </c>
      <c r="C118" s="251">
        <f>C68/C$59</f>
        <v>1.2665978672809866E-2</v>
      </c>
      <c r="D118" s="257"/>
      <c r="E118" s="251"/>
      <c r="F118" s="251">
        <f t="shared" ref="F118:K119" si="38">F68/F$59</f>
        <v>1.4363395873473966E-2</v>
      </c>
      <c r="G118" s="251">
        <f t="shared" si="38"/>
        <v>5.4044978456067021E-3</v>
      </c>
      <c r="H118" s="251">
        <f t="shared" si="38"/>
        <v>1.6113723329373233E-2</v>
      </c>
      <c r="I118" s="251">
        <f t="shared" si="38"/>
        <v>1.6003761384207369E-2</v>
      </c>
      <c r="J118" s="251">
        <f t="shared" si="38"/>
        <v>1.3201802622453344E-2</v>
      </c>
      <c r="K118" s="251">
        <f t="shared" si="38"/>
        <v>1.3201802622453344E-2</v>
      </c>
      <c r="L118" s="257"/>
    </row>
    <row r="119" spans="2:12">
      <c r="B119" s="217" t="s">
        <v>73</v>
      </c>
      <c r="C119" s="251">
        <f>C69/C$59</f>
        <v>0</v>
      </c>
      <c r="D119" s="257"/>
      <c r="E119" s="251"/>
      <c r="F119" s="251">
        <f t="shared" si="38"/>
        <v>0</v>
      </c>
      <c r="G119" s="251">
        <f t="shared" si="38"/>
        <v>0</v>
      </c>
      <c r="H119" s="251">
        <f t="shared" si="38"/>
        <v>0</v>
      </c>
      <c r="I119" s="251">
        <f t="shared" si="38"/>
        <v>0</v>
      </c>
      <c r="J119" s="251">
        <f t="shared" si="38"/>
        <v>0</v>
      </c>
      <c r="K119" s="251">
        <f t="shared" si="38"/>
        <v>0</v>
      </c>
      <c r="L119" s="257"/>
    </row>
    <row r="120" spans="2:12">
      <c r="B120" s="217" t="s">
        <v>92</v>
      </c>
      <c r="C120" s="251">
        <f>C66/C$59</f>
        <v>0.112470303839682</v>
      </c>
      <c r="D120" s="257"/>
      <c r="E120" s="251"/>
      <c r="F120" s="251">
        <f t="shared" ref="F120:K120" si="39">F66/F$59</f>
        <v>0.20125932844328229</v>
      </c>
      <c r="G120" s="251">
        <f t="shared" si="39"/>
        <v>0.16388950559377727</v>
      </c>
      <c r="H120" s="251">
        <f t="shared" si="39"/>
        <v>0.12498629642582509</v>
      </c>
      <c r="I120" s="251">
        <f t="shared" si="39"/>
        <v>0.11009899670595148</v>
      </c>
      <c r="J120" s="251">
        <f t="shared" si="39"/>
        <v>9.3250140715541857E-2</v>
      </c>
      <c r="K120" s="251">
        <f t="shared" si="39"/>
        <v>9.575029809618206E-2</v>
      </c>
      <c r="L120" s="257"/>
    </row>
    <row r="121" spans="2:12">
      <c r="B121" s="217" t="s">
        <v>536</v>
      </c>
      <c r="C121" s="251">
        <f>C65/C$59</f>
        <v>1.8102274291810192E-2</v>
      </c>
      <c r="D121" s="257"/>
      <c r="E121" s="251"/>
      <c r="F121" s="251">
        <f t="shared" ref="F121:K121" si="40">F65/F$59</f>
        <v>2.194786736949628E-2</v>
      </c>
      <c r="G121" s="251">
        <f t="shared" si="40"/>
        <v>2.0560961678790228E-2</v>
      </c>
      <c r="H121" s="251">
        <f t="shared" si="40"/>
        <v>1.9065891724342154E-2</v>
      </c>
      <c r="I121" s="251">
        <f t="shared" si="40"/>
        <v>1.7985827231641448E-2</v>
      </c>
      <c r="J121" s="251">
        <f t="shared" si="40"/>
        <v>1.7177305452161461E-2</v>
      </c>
      <c r="K121" s="251">
        <f t="shared" si="40"/>
        <v>2.039480478129705E-2</v>
      </c>
      <c r="L121" s="257"/>
    </row>
    <row r="122" spans="2:12">
      <c r="B122" s="217" t="s">
        <v>530</v>
      </c>
      <c r="C122" s="251">
        <f>C70/C$59</f>
        <v>4.8792804205483467E-3</v>
      </c>
      <c r="D122" s="257"/>
      <c r="E122" s="251"/>
      <c r="F122" s="251">
        <f t="shared" ref="F122:K124" si="41">F70/F$59</f>
        <v>1.0144148335640989E-2</v>
      </c>
      <c r="G122" s="251">
        <f t="shared" si="41"/>
        <v>7.6338532069194663E-3</v>
      </c>
      <c r="H122" s="251">
        <f t="shared" si="41"/>
        <v>5.6901585506849229E-3</v>
      </c>
      <c r="I122" s="251">
        <f t="shared" si="41"/>
        <v>4.5210625910385811E-3</v>
      </c>
      <c r="J122" s="251">
        <f t="shared" si="41"/>
        <v>3.7295092408430697E-3</v>
      </c>
      <c r="K122" s="251">
        <f t="shared" si="41"/>
        <v>3.7295092408430697E-3</v>
      </c>
      <c r="L122" s="257"/>
    </row>
    <row r="123" spans="2:12">
      <c r="B123" s="217" t="s">
        <v>484</v>
      </c>
      <c r="C123" s="251">
        <f>C71/C$59</f>
        <v>0</v>
      </c>
      <c r="D123" s="257"/>
      <c r="E123" s="251"/>
      <c r="F123" s="251">
        <f t="shared" si="41"/>
        <v>0</v>
      </c>
      <c r="G123" s="251">
        <f t="shared" si="41"/>
        <v>0</v>
      </c>
      <c r="H123" s="251">
        <f t="shared" si="41"/>
        <v>0</v>
      </c>
      <c r="I123" s="251">
        <f t="shared" si="41"/>
        <v>0</v>
      </c>
      <c r="J123" s="251">
        <f t="shared" si="41"/>
        <v>0</v>
      </c>
      <c r="K123" s="251">
        <f t="shared" si="41"/>
        <v>0</v>
      </c>
      <c r="L123" s="257"/>
    </row>
    <row r="124" spans="2:12">
      <c r="B124" s="217" t="s">
        <v>483</v>
      </c>
      <c r="C124" s="251">
        <f>C72/C$59</f>
        <v>0</v>
      </c>
      <c r="D124" s="257"/>
      <c r="E124" s="251"/>
      <c r="F124" s="251">
        <f t="shared" si="41"/>
        <v>0</v>
      </c>
      <c r="G124" s="251">
        <f t="shared" si="41"/>
        <v>0</v>
      </c>
      <c r="H124" s="251">
        <f t="shared" si="41"/>
        <v>0</v>
      </c>
      <c r="I124" s="251">
        <f t="shared" si="41"/>
        <v>0</v>
      </c>
      <c r="J124" s="251">
        <f t="shared" si="41"/>
        <v>0</v>
      </c>
      <c r="K124" s="251">
        <f t="shared" si="41"/>
        <v>0</v>
      </c>
      <c r="L124" s="257"/>
    </row>
    <row r="125" spans="2:12" ht="15" thickBot="1">
      <c r="B125" s="217" t="s">
        <v>536</v>
      </c>
      <c r="C125" s="251">
        <f>C74/C$59</f>
        <v>0</v>
      </c>
      <c r="D125" s="251"/>
      <c r="E125" s="251"/>
      <c r="F125" s="251">
        <f t="shared" ref="F125:K125" si="42">F74/F$59</f>
        <v>0</v>
      </c>
      <c r="G125" s="251">
        <f t="shared" si="42"/>
        <v>0</v>
      </c>
      <c r="H125" s="251">
        <f t="shared" si="42"/>
        <v>0</v>
      </c>
      <c r="I125" s="251">
        <f t="shared" si="42"/>
        <v>0</v>
      </c>
      <c r="J125" s="251">
        <f t="shared" si="42"/>
        <v>0</v>
      </c>
      <c r="K125" s="251">
        <f t="shared" si="42"/>
        <v>0</v>
      </c>
      <c r="L125" s="203"/>
    </row>
    <row r="126" spans="2:12" ht="15" thickBot="1">
      <c r="B126" s="258" t="s">
        <v>65</v>
      </c>
      <c r="C126" s="213">
        <f>C77/C$59</f>
        <v>3.0318666634575275E-2</v>
      </c>
      <c r="D126" s="213"/>
      <c r="E126" s="213"/>
      <c r="F126" s="213">
        <f t="shared" ref="F126:K126" si="43">F77/F$59</f>
        <v>1.5236155806372394E-2</v>
      </c>
      <c r="G126" s="213">
        <f t="shared" si="43"/>
        <v>9.1783493227705626E-3</v>
      </c>
      <c r="H126" s="213">
        <f t="shared" si="43"/>
        <v>3.2118342705530864E-2</v>
      </c>
      <c r="I126" s="213">
        <f t="shared" si="43"/>
        <v>7.9915418950843205E-3</v>
      </c>
      <c r="J126" s="213">
        <f t="shared" si="43"/>
        <v>3.1324927867081916E-2</v>
      </c>
      <c r="K126" s="213">
        <f t="shared" si="43"/>
        <v>3.1324927867081916E-2</v>
      </c>
      <c r="L126" s="213"/>
    </row>
    <row r="127" spans="2:12">
      <c r="B127" s="261" t="s">
        <v>208</v>
      </c>
      <c r="C127" s="211"/>
      <c r="D127" s="211"/>
      <c r="E127" s="211"/>
      <c r="F127" s="211">
        <f t="shared" ref="F127:K127" si="44">+F78</f>
        <v>130.55541967147389</v>
      </c>
      <c r="G127" s="211">
        <f t="shared" si="44"/>
        <v>79.91904769148239</v>
      </c>
      <c r="H127" s="211">
        <f t="shared" si="44"/>
        <v>289.92423684414985</v>
      </c>
      <c r="I127" s="211">
        <f t="shared" si="44"/>
        <v>73.978366971491937</v>
      </c>
      <c r="J127" s="211">
        <f t="shared" si="44"/>
        <v>296.59707051866104</v>
      </c>
      <c r="K127" s="211">
        <f t="shared" si="44"/>
        <v>296.59707051866104</v>
      </c>
      <c r="L127" s="211"/>
    </row>
    <row r="129" spans="1:12">
      <c r="B129" s="217" t="s">
        <v>4</v>
      </c>
      <c r="C129" s="262">
        <f>+C90</f>
        <v>0</v>
      </c>
      <c r="D129" s="262"/>
      <c r="E129" s="262">
        <f t="shared" ref="E129:K129" si="45">+E90</f>
        <v>0</v>
      </c>
      <c r="F129" s="262">
        <f t="shared" si="45"/>
        <v>42430.511393229011</v>
      </c>
      <c r="G129" s="262">
        <f t="shared" si="45"/>
        <v>76396.106662109029</v>
      </c>
      <c r="H129" s="262">
        <f t="shared" si="45"/>
        <v>235854.43692639144</v>
      </c>
      <c r="I129" s="262">
        <f t="shared" si="45"/>
        <v>285789.8346321485</v>
      </c>
      <c r="J129" s="262">
        <f t="shared" si="45"/>
        <v>523067.49104707735</v>
      </c>
      <c r="K129" s="262">
        <f t="shared" si="45"/>
        <v>760345.14746200619</v>
      </c>
      <c r="L129" s="262"/>
    </row>
    <row r="131" spans="1:12" ht="18">
      <c r="A131" s="266"/>
      <c r="B131" s="267" t="s">
        <v>376</v>
      </c>
      <c r="C131" s="268"/>
      <c r="D131" s="268"/>
      <c r="E131" s="268"/>
      <c r="F131" s="268"/>
      <c r="G131" s="268"/>
      <c r="H131" s="268"/>
      <c r="I131" s="268"/>
      <c r="J131" s="268"/>
      <c r="K131" s="268"/>
      <c r="L131" s="268"/>
    </row>
    <row r="132" spans="1:12">
      <c r="B132" s="247" t="s">
        <v>124</v>
      </c>
      <c r="C132" s="249"/>
      <c r="D132" s="249"/>
      <c r="E132" s="249"/>
      <c r="F132" s="249"/>
      <c r="G132" s="249"/>
      <c r="H132" s="249"/>
      <c r="I132" s="249"/>
      <c r="J132" s="249"/>
      <c r="K132" s="249"/>
      <c r="L132" s="249"/>
    </row>
    <row r="133" spans="1:12">
      <c r="B133" s="217" t="s">
        <v>312</v>
      </c>
      <c r="C133" s="250">
        <f>SUM(F133:K133)</f>
        <v>46850.369125096724</v>
      </c>
      <c r="D133" s="251"/>
      <c r="E133" s="240"/>
      <c r="F133" s="240">
        <f t="shared" ref="F133:K134" si="46">F42/F$11</f>
        <v>7242.9499619081098</v>
      </c>
      <c r="G133" s="240">
        <f t="shared" si="46"/>
        <v>7460.238460765353</v>
      </c>
      <c r="H133" s="240">
        <f t="shared" si="46"/>
        <v>7684.0456145883136</v>
      </c>
      <c r="I133" s="240">
        <f t="shared" si="46"/>
        <v>7914.5669830259621</v>
      </c>
      <c r="J133" s="240">
        <f t="shared" si="46"/>
        <v>8152.0039925167403</v>
      </c>
      <c r="K133" s="240">
        <f t="shared" si="46"/>
        <v>8396.5641122922425</v>
      </c>
      <c r="L133" s="240"/>
    </row>
    <row r="134" spans="1:12">
      <c r="B134" s="217" t="s">
        <v>345</v>
      </c>
      <c r="C134" s="252">
        <f t="shared" ref="C134:C149" si="47">SUM(F134:K134)</f>
        <v>-585.62961406370903</v>
      </c>
      <c r="D134" s="251"/>
      <c r="E134" s="252"/>
      <c r="F134" s="252">
        <f t="shared" si="46"/>
        <v>-90.536874523851381</v>
      </c>
      <c r="G134" s="252">
        <f t="shared" si="46"/>
        <v>-93.252980759566924</v>
      </c>
      <c r="H134" s="252">
        <f t="shared" si="46"/>
        <v>-96.050570182353937</v>
      </c>
      <c r="I134" s="252">
        <f t="shared" si="46"/>
        <v>-98.93208728782453</v>
      </c>
      <c r="J134" s="252">
        <f t="shared" si="46"/>
        <v>-101.90004990645926</v>
      </c>
      <c r="K134" s="252">
        <f t="shared" si="46"/>
        <v>-104.95705140365304</v>
      </c>
      <c r="L134" s="252"/>
    </row>
    <row r="135" spans="1:12">
      <c r="B135" s="217" t="s">
        <v>308</v>
      </c>
      <c r="C135" s="252">
        <f t="shared" si="47"/>
        <v>2730</v>
      </c>
      <c r="D135" s="251"/>
      <c r="E135" s="252"/>
      <c r="F135" s="252">
        <f t="shared" ref="F135:K135" si="48">F50/F$11</f>
        <v>455</v>
      </c>
      <c r="G135" s="252">
        <f t="shared" si="48"/>
        <v>455</v>
      </c>
      <c r="H135" s="252">
        <f t="shared" si="48"/>
        <v>455</v>
      </c>
      <c r="I135" s="252">
        <f t="shared" si="48"/>
        <v>455</v>
      </c>
      <c r="J135" s="252">
        <f t="shared" si="48"/>
        <v>455</v>
      </c>
      <c r="K135" s="252">
        <f t="shared" si="48"/>
        <v>455</v>
      </c>
      <c r="L135" s="252"/>
    </row>
    <row r="136" spans="1:12">
      <c r="B136" s="217" t="s">
        <v>125</v>
      </c>
      <c r="C136" s="252">
        <f t="shared" si="47"/>
        <v>3864</v>
      </c>
      <c r="D136" s="251"/>
      <c r="E136" s="252"/>
      <c r="F136" s="252">
        <f t="shared" ref="F136:K141" si="49">F44/F$11</f>
        <v>644</v>
      </c>
      <c r="G136" s="252">
        <f t="shared" si="49"/>
        <v>644</v>
      </c>
      <c r="H136" s="252">
        <f t="shared" si="49"/>
        <v>644</v>
      </c>
      <c r="I136" s="252">
        <f t="shared" si="49"/>
        <v>644</v>
      </c>
      <c r="J136" s="252">
        <f t="shared" si="49"/>
        <v>644</v>
      </c>
      <c r="K136" s="252">
        <f t="shared" si="49"/>
        <v>644</v>
      </c>
      <c r="L136" s="252"/>
    </row>
    <row r="137" spans="1:12">
      <c r="B137" s="217" t="s">
        <v>353</v>
      </c>
      <c r="C137" s="252">
        <f t="shared" si="47"/>
        <v>21</v>
      </c>
      <c r="D137" s="251"/>
      <c r="E137" s="252"/>
      <c r="F137" s="252">
        <f t="shared" si="49"/>
        <v>3.5</v>
      </c>
      <c r="G137" s="252">
        <f t="shared" si="49"/>
        <v>3.5</v>
      </c>
      <c r="H137" s="252">
        <f t="shared" si="49"/>
        <v>3.5</v>
      </c>
      <c r="I137" s="252">
        <f t="shared" si="49"/>
        <v>3.5</v>
      </c>
      <c r="J137" s="252">
        <f t="shared" si="49"/>
        <v>3.5</v>
      </c>
      <c r="K137" s="252">
        <f t="shared" si="49"/>
        <v>3.5</v>
      </c>
      <c r="L137" s="252"/>
    </row>
    <row r="138" spans="1:12">
      <c r="B138" s="217" t="s">
        <v>352</v>
      </c>
      <c r="C138" s="252">
        <f t="shared" si="47"/>
        <v>0</v>
      </c>
      <c r="D138" s="251"/>
      <c r="E138" s="252"/>
      <c r="F138" s="252">
        <f t="shared" si="49"/>
        <v>0</v>
      </c>
      <c r="G138" s="252">
        <f t="shared" si="49"/>
        <v>0</v>
      </c>
      <c r="H138" s="252">
        <f t="shared" si="49"/>
        <v>0</v>
      </c>
      <c r="I138" s="252">
        <f t="shared" si="49"/>
        <v>0</v>
      </c>
      <c r="J138" s="252">
        <f t="shared" si="49"/>
        <v>0</v>
      </c>
      <c r="K138" s="252">
        <f t="shared" si="49"/>
        <v>0</v>
      </c>
      <c r="L138" s="252"/>
    </row>
    <row r="139" spans="1:12">
      <c r="B139" s="217" t="s">
        <v>237</v>
      </c>
      <c r="C139" s="252">
        <f t="shared" si="47"/>
        <v>0</v>
      </c>
      <c r="D139" s="251"/>
      <c r="E139" s="252"/>
      <c r="F139" s="252">
        <f t="shared" si="49"/>
        <v>0</v>
      </c>
      <c r="G139" s="252">
        <f t="shared" si="49"/>
        <v>0</v>
      </c>
      <c r="H139" s="252">
        <f t="shared" si="49"/>
        <v>0</v>
      </c>
      <c r="I139" s="252">
        <f t="shared" si="49"/>
        <v>0</v>
      </c>
      <c r="J139" s="252">
        <f t="shared" si="49"/>
        <v>0</v>
      </c>
      <c r="K139" s="252">
        <f t="shared" si="49"/>
        <v>0</v>
      </c>
      <c r="L139" s="252"/>
    </row>
    <row r="140" spans="1:12">
      <c r="B140" s="217" t="s">
        <v>6</v>
      </c>
      <c r="C140" s="252">
        <f t="shared" si="47"/>
        <v>0</v>
      </c>
      <c r="D140" s="251"/>
      <c r="E140" s="252"/>
      <c r="F140" s="252">
        <f t="shared" si="49"/>
        <v>0</v>
      </c>
      <c r="G140" s="252">
        <f t="shared" si="49"/>
        <v>0</v>
      </c>
      <c r="H140" s="252">
        <f t="shared" si="49"/>
        <v>0</v>
      </c>
      <c r="I140" s="252">
        <f t="shared" si="49"/>
        <v>0</v>
      </c>
      <c r="J140" s="252">
        <f t="shared" si="49"/>
        <v>0</v>
      </c>
      <c r="K140" s="252">
        <f t="shared" si="49"/>
        <v>0</v>
      </c>
      <c r="L140" s="252"/>
    </row>
    <row r="141" spans="1:12">
      <c r="B141" s="217" t="s">
        <v>227</v>
      </c>
      <c r="C141" s="252">
        <f t="shared" si="47"/>
        <v>1144.8</v>
      </c>
      <c r="D141" s="251"/>
      <c r="E141" s="252"/>
      <c r="F141" s="252">
        <f t="shared" si="49"/>
        <v>190.8</v>
      </c>
      <c r="G141" s="252">
        <f t="shared" si="49"/>
        <v>190.8</v>
      </c>
      <c r="H141" s="252">
        <f t="shared" si="49"/>
        <v>190.8</v>
      </c>
      <c r="I141" s="252">
        <f t="shared" si="49"/>
        <v>190.8</v>
      </c>
      <c r="J141" s="252">
        <f t="shared" si="49"/>
        <v>190.8</v>
      </c>
      <c r="K141" s="252">
        <f t="shared" si="49"/>
        <v>190.8</v>
      </c>
      <c r="L141" s="252"/>
    </row>
    <row r="142" spans="1:12">
      <c r="B142" s="217" t="s">
        <v>128</v>
      </c>
      <c r="C142" s="252">
        <f t="shared" si="47"/>
        <v>711.81536328595155</v>
      </c>
      <c r="D142" s="251"/>
      <c r="E142" s="252"/>
      <c r="F142" s="252">
        <f t="shared" ref="F142:K149" si="50">F51/F$11</f>
        <v>123.07692307692308</v>
      </c>
      <c r="G142" s="252">
        <f t="shared" si="50"/>
        <v>47.058823529411768</v>
      </c>
      <c r="H142" s="252">
        <f t="shared" si="50"/>
        <v>145.45454545454547</v>
      </c>
      <c r="I142" s="252">
        <f t="shared" si="50"/>
        <v>148.14814814814815</v>
      </c>
      <c r="J142" s="252">
        <f t="shared" si="50"/>
        <v>125</v>
      </c>
      <c r="K142" s="252">
        <f t="shared" si="50"/>
        <v>123.07692307692308</v>
      </c>
      <c r="L142" s="252"/>
    </row>
    <row r="143" spans="1:12">
      <c r="B143" s="217" t="s">
        <v>310</v>
      </c>
      <c r="C143" s="252">
        <f t="shared" si="47"/>
        <v>0</v>
      </c>
      <c r="D143" s="251"/>
      <c r="E143" s="252"/>
      <c r="F143" s="252">
        <f t="shared" si="50"/>
        <v>0</v>
      </c>
      <c r="G143" s="252">
        <f t="shared" si="50"/>
        <v>0</v>
      </c>
      <c r="H143" s="252">
        <f t="shared" si="50"/>
        <v>0</v>
      </c>
      <c r="I143" s="252">
        <f t="shared" si="50"/>
        <v>0</v>
      </c>
      <c r="J143" s="252">
        <f t="shared" si="50"/>
        <v>0</v>
      </c>
      <c r="K143" s="252">
        <f t="shared" si="50"/>
        <v>0</v>
      </c>
      <c r="L143" s="252"/>
    </row>
    <row r="144" spans="1:12">
      <c r="B144" s="217" t="s">
        <v>311</v>
      </c>
      <c r="C144" s="252">
        <f t="shared" si="47"/>
        <v>0</v>
      </c>
      <c r="D144" s="251"/>
      <c r="E144" s="252"/>
      <c r="F144" s="252">
        <f t="shared" si="50"/>
        <v>0</v>
      </c>
      <c r="G144" s="252">
        <f t="shared" si="50"/>
        <v>0</v>
      </c>
      <c r="H144" s="252">
        <f t="shared" si="50"/>
        <v>0</v>
      </c>
      <c r="I144" s="252">
        <f t="shared" si="50"/>
        <v>0</v>
      </c>
      <c r="J144" s="252">
        <f t="shared" si="50"/>
        <v>0</v>
      </c>
      <c r="K144" s="252">
        <f t="shared" si="50"/>
        <v>0</v>
      </c>
      <c r="L144" s="252"/>
    </row>
    <row r="145" spans="2:12">
      <c r="B145" s="217" t="s">
        <v>13</v>
      </c>
      <c r="C145" s="252">
        <f t="shared" si="47"/>
        <v>0</v>
      </c>
      <c r="D145" s="251"/>
      <c r="E145" s="242"/>
      <c r="F145" s="242">
        <f t="shared" si="50"/>
        <v>0</v>
      </c>
      <c r="G145" s="242">
        <f t="shared" si="50"/>
        <v>0</v>
      </c>
      <c r="H145" s="242">
        <f t="shared" si="50"/>
        <v>0</v>
      </c>
      <c r="I145" s="242">
        <f t="shared" si="50"/>
        <v>0</v>
      </c>
      <c r="J145" s="242">
        <f t="shared" si="50"/>
        <v>0</v>
      </c>
      <c r="K145" s="242">
        <f t="shared" si="50"/>
        <v>0</v>
      </c>
      <c r="L145" s="242"/>
    </row>
    <row r="146" spans="2:12">
      <c r="B146" s="217" t="s">
        <v>11</v>
      </c>
      <c r="C146" s="252">
        <f t="shared" si="47"/>
        <v>0</v>
      </c>
      <c r="D146" s="251"/>
      <c r="E146" s="252"/>
      <c r="F146" s="252">
        <f t="shared" si="50"/>
        <v>0</v>
      </c>
      <c r="G146" s="252">
        <f t="shared" si="50"/>
        <v>0</v>
      </c>
      <c r="H146" s="252">
        <f t="shared" si="50"/>
        <v>0</v>
      </c>
      <c r="I146" s="252">
        <f t="shared" si="50"/>
        <v>0</v>
      </c>
      <c r="J146" s="252">
        <f t="shared" si="50"/>
        <v>0</v>
      </c>
      <c r="K146" s="252">
        <f t="shared" si="50"/>
        <v>0</v>
      </c>
      <c r="L146" s="252"/>
    </row>
    <row r="147" spans="2:12">
      <c r="B147" s="217" t="s">
        <v>74</v>
      </c>
      <c r="C147" s="252">
        <f t="shared" si="47"/>
        <v>0</v>
      </c>
      <c r="D147" s="251"/>
      <c r="E147" s="252"/>
      <c r="F147" s="252">
        <f t="shared" si="50"/>
        <v>0</v>
      </c>
      <c r="G147" s="252">
        <f t="shared" si="50"/>
        <v>0</v>
      </c>
      <c r="H147" s="252">
        <f t="shared" si="50"/>
        <v>0</v>
      </c>
      <c r="I147" s="252">
        <f t="shared" si="50"/>
        <v>0</v>
      </c>
      <c r="J147" s="252">
        <f t="shared" si="50"/>
        <v>0</v>
      </c>
      <c r="K147" s="252">
        <f t="shared" si="50"/>
        <v>0</v>
      </c>
      <c r="L147" s="252"/>
    </row>
    <row r="148" spans="2:12">
      <c r="B148" s="217" t="s">
        <v>75</v>
      </c>
      <c r="C148" s="252">
        <f t="shared" si="47"/>
        <v>0</v>
      </c>
      <c r="D148" s="251"/>
      <c r="E148" s="252"/>
      <c r="F148" s="252">
        <f t="shared" si="50"/>
        <v>0</v>
      </c>
      <c r="G148" s="252">
        <f t="shared" si="50"/>
        <v>0</v>
      </c>
      <c r="H148" s="252">
        <f t="shared" si="50"/>
        <v>0</v>
      </c>
      <c r="I148" s="252">
        <f t="shared" si="50"/>
        <v>0</v>
      </c>
      <c r="J148" s="252">
        <f t="shared" si="50"/>
        <v>0</v>
      </c>
      <c r="K148" s="252">
        <f t="shared" si="50"/>
        <v>0</v>
      </c>
      <c r="L148" s="252"/>
    </row>
    <row r="149" spans="2:12">
      <c r="B149" s="217" t="s">
        <v>141</v>
      </c>
      <c r="C149" s="252">
        <f t="shared" si="47"/>
        <v>0</v>
      </c>
      <c r="D149" s="251"/>
      <c r="E149" s="252"/>
      <c r="F149" s="252">
        <f t="shared" si="50"/>
        <v>0</v>
      </c>
      <c r="G149" s="252">
        <f t="shared" si="50"/>
        <v>0</v>
      </c>
      <c r="H149" s="252">
        <f t="shared" si="50"/>
        <v>0</v>
      </c>
      <c r="I149" s="252">
        <f t="shared" si="50"/>
        <v>0</v>
      </c>
      <c r="J149" s="252">
        <f t="shared" si="50"/>
        <v>0</v>
      </c>
      <c r="K149" s="252">
        <f t="shared" si="50"/>
        <v>0</v>
      </c>
      <c r="L149" s="252"/>
    </row>
    <row r="150" spans="2:12">
      <c r="B150" s="223" t="s">
        <v>64</v>
      </c>
      <c r="C150" s="202">
        <f>C133+C134+C135+C136+C137+C138+C139+C140+C141+C142+C143+C144+C145+C146+C147+C148+C149</f>
        <v>54736.354874318975</v>
      </c>
      <c r="D150" s="203"/>
      <c r="E150" s="202"/>
      <c r="F150" s="202">
        <f>F133+F134+F135+F136+F137+F138+F139+F140+F141+F142+F143+F144+F145+F146+F147+F148+F149</f>
        <v>8568.7900104611817</v>
      </c>
      <c r="G150" s="202">
        <f>G133+G134+G135+G136+G137+G138+G139+G140+G141+G142+G143+G144+G145+G146+G147+G148+G149</f>
        <v>8707.3443035351993</v>
      </c>
      <c r="H150" s="202">
        <f>H133+H134+H135+H136+H137+H138+H139+H140+H141+H142+H143+H144+H145+H146+H147+H148+H149</f>
        <v>9026.7495898605048</v>
      </c>
      <c r="I150" s="202">
        <f>I133+I134+I135+I136+I137+I138+I139+I140+I141+I142+I143+I144+I145+I146+I147+I148+I149</f>
        <v>9257.0830438862849</v>
      </c>
      <c r="J150" s="202">
        <f>J133+J134+J135+J136+J137+J138+J139+J140+J141+J142+J143+J144+J145+J146+J147+J148+J149</f>
        <v>9468.403942610279</v>
      </c>
      <c r="K150" s="202">
        <f>+J150</f>
        <v>9468.403942610279</v>
      </c>
      <c r="L150" s="202"/>
    </row>
    <row r="151" spans="2:12">
      <c r="C151" s="253"/>
      <c r="D151" s="253"/>
    </row>
    <row r="152" spans="2:12">
      <c r="B152" s="204" t="s">
        <v>126</v>
      </c>
      <c r="C152" s="254"/>
      <c r="D152" s="254"/>
      <c r="E152" s="254"/>
      <c r="F152" s="254"/>
      <c r="G152" s="254"/>
      <c r="H152" s="254"/>
      <c r="I152" s="254"/>
      <c r="J152" s="254"/>
      <c r="K152" s="254"/>
      <c r="L152" s="254"/>
    </row>
    <row r="153" spans="2:12">
      <c r="B153" s="217" t="s">
        <v>93</v>
      </c>
      <c r="C153" s="255">
        <f t="shared" ref="C153:C164" si="51">SUM(F153:K153)</f>
        <v>32344.343496878493</v>
      </c>
      <c r="D153" s="251"/>
      <c r="E153" s="252"/>
      <c r="F153" s="252">
        <f t="shared" ref="F153:K154" si="52">F62/F$11</f>
        <v>4417.4892307692307</v>
      </c>
      <c r="G153" s="252">
        <f t="shared" si="52"/>
        <v>5144.707688235294</v>
      </c>
      <c r="H153" s="252">
        <f t="shared" si="52"/>
        <v>5507.1739091818181</v>
      </c>
      <c r="I153" s="252">
        <f t="shared" si="52"/>
        <v>5639.1076099614811</v>
      </c>
      <c r="J153" s="252">
        <f t="shared" si="52"/>
        <v>5791.2084167084122</v>
      </c>
      <c r="K153" s="252">
        <f t="shared" si="52"/>
        <v>5844.6566420222589</v>
      </c>
      <c r="L153" s="252"/>
    </row>
    <row r="154" spans="2:12">
      <c r="B154" s="217" t="s">
        <v>481</v>
      </c>
      <c r="C154" s="252">
        <f t="shared" si="51"/>
        <v>4103.0892705135011</v>
      </c>
      <c r="D154" s="257"/>
      <c r="E154" s="252"/>
      <c r="F154" s="252">
        <f t="shared" si="52"/>
        <v>422.28565436921286</v>
      </c>
      <c r="G154" s="252">
        <f t="shared" si="52"/>
        <v>433.01427400028933</v>
      </c>
      <c r="H154" s="252">
        <f t="shared" si="52"/>
        <v>444.06475222029792</v>
      </c>
      <c r="I154" s="252">
        <f t="shared" si="52"/>
        <v>910.89348957381378</v>
      </c>
      <c r="J154" s="252">
        <f t="shared" si="52"/>
        <v>934.34039426102822</v>
      </c>
      <c r="K154" s="252">
        <f t="shared" si="52"/>
        <v>958.49070608885904</v>
      </c>
      <c r="L154" s="252"/>
    </row>
    <row r="155" spans="2:12">
      <c r="B155" s="217" t="s">
        <v>528</v>
      </c>
      <c r="C155" s="252">
        <f t="shared" si="51"/>
        <v>69.864608744854749</v>
      </c>
      <c r="D155" s="257"/>
      <c r="E155" s="252"/>
      <c r="F155" s="252">
        <f t="shared" ref="F155:K155" si="53">F67/F$11</f>
        <v>18.46153846153846</v>
      </c>
      <c r="G155" s="252">
        <f t="shared" si="53"/>
        <v>14.541176470588235</v>
      </c>
      <c r="H155" s="252">
        <f t="shared" si="53"/>
        <v>11.573454545454547</v>
      </c>
      <c r="I155" s="252">
        <f t="shared" si="53"/>
        <v>9.7131288888888907</v>
      </c>
      <c r="J155" s="252">
        <f t="shared" si="53"/>
        <v>8.4413160750000014</v>
      </c>
      <c r="K155" s="252">
        <f t="shared" si="53"/>
        <v>7.1339943033846165</v>
      </c>
      <c r="L155" s="252"/>
    </row>
    <row r="156" spans="2:12">
      <c r="B156" s="217" t="s">
        <v>72</v>
      </c>
      <c r="C156" s="252">
        <f t="shared" si="51"/>
        <v>7749.8669359810765</v>
      </c>
      <c r="D156" s="257"/>
      <c r="E156" s="252"/>
      <c r="F156" s="252">
        <f t="shared" ref="F156:K156" si="54">F64/F$11</f>
        <v>1457.3825774461361</v>
      </c>
      <c r="G156" s="252">
        <f t="shared" si="54"/>
        <v>1315.5589798826422</v>
      </c>
      <c r="H156" s="252">
        <f t="shared" si="54"/>
        <v>1276.8720249475707</v>
      </c>
      <c r="I156" s="252">
        <f t="shared" si="54"/>
        <v>1247.6985966387588</v>
      </c>
      <c r="J156" s="252">
        <f t="shared" si="54"/>
        <v>1231.9325783805141</v>
      </c>
      <c r="K156" s="252">
        <f t="shared" si="54"/>
        <v>1220.4221786854553</v>
      </c>
      <c r="L156" s="252"/>
    </row>
    <row r="157" spans="2:12">
      <c r="B157" s="217" t="s">
        <v>128</v>
      </c>
      <c r="C157" s="252">
        <f t="shared" si="51"/>
        <v>691.30254277313099</v>
      </c>
      <c r="D157" s="257"/>
      <c r="E157" s="252"/>
      <c r="F157" s="252">
        <f t="shared" ref="F157:K158" si="55">F68/F$11</f>
        <v>123.07692307692308</v>
      </c>
      <c r="G157" s="252">
        <f t="shared" si="55"/>
        <v>47.058823529411768</v>
      </c>
      <c r="H157" s="252">
        <f t="shared" si="55"/>
        <v>145.45454545454547</v>
      </c>
      <c r="I157" s="252">
        <f t="shared" si="55"/>
        <v>148.14814814814815</v>
      </c>
      <c r="J157" s="252">
        <f t="shared" si="55"/>
        <v>125</v>
      </c>
      <c r="K157" s="252">
        <f t="shared" si="55"/>
        <v>102.56410256410257</v>
      </c>
      <c r="L157" s="252"/>
    </row>
    <row r="158" spans="2:12">
      <c r="B158" s="217" t="s">
        <v>73</v>
      </c>
      <c r="C158" s="252">
        <f t="shared" si="51"/>
        <v>0</v>
      </c>
      <c r="D158" s="257"/>
      <c r="E158" s="252"/>
      <c r="F158" s="252">
        <f t="shared" si="55"/>
        <v>0</v>
      </c>
      <c r="G158" s="252">
        <f t="shared" si="55"/>
        <v>0</v>
      </c>
      <c r="H158" s="252">
        <f t="shared" si="55"/>
        <v>0</v>
      </c>
      <c r="I158" s="252">
        <f t="shared" si="55"/>
        <v>0</v>
      </c>
      <c r="J158" s="252">
        <f t="shared" si="55"/>
        <v>0</v>
      </c>
      <c r="K158" s="252">
        <f t="shared" si="55"/>
        <v>0</v>
      </c>
      <c r="L158" s="252"/>
    </row>
    <row r="159" spans="2:12">
      <c r="B159" s="217" t="s">
        <v>92</v>
      </c>
      <c r="C159" s="252">
        <f t="shared" si="51"/>
        <v>6925.8158059326297</v>
      </c>
      <c r="D159" s="257"/>
      <c r="E159" s="252"/>
      <c r="F159" s="252">
        <f t="shared" ref="F159:K159" si="56">F66/F$11</f>
        <v>1724.5489230769231</v>
      </c>
      <c r="G159" s="252">
        <f t="shared" si="56"/>
        <v>1427.0423529411764</v>
      </c>
      <c r="H159" s="252">
        <f t="shared" si="56"/>
        <v>1128.22</v>
      </c>
      <c r="I159" s="252">
        <f t="shared" si="56"/>
        <v>1019.1955555555555</v>
      </c>
      <c r="J159" s="252">
        <f t="shared" si="56"/>
        <v>882.93</v>
      </c>
      <c r="K159" s="252">
        <f t="shared" si="56"/>
        <v>743.87897435897435</v>
      </c>
      <c r="L159" s="252"/>
    </row>
    <row r="160" spans="2:12">
      <c r="B160" s="217" t="s">
        <v>536</v>
      </c>
      <c r="C160" s="252">
        <f t="shared" si="51"/>
        <v>1026.7851863278333</v>
      </c>
      <c r="D160" s="257"/>
      <c r="E160" s="252"/>
      <c r="F160" s="252">
        <f t="shared" ref="F160:K160" si="57">F65/F$11</f>
        <v>188.06666666666666</v>
      </c>
      <c r="G160" s="252">
        <f t="shared" si="57"/>
        <v>179.03137254901961</v>
      </c>
      <c r="H160" s="252">
        <f t="shared" si="57"/>
        <v>172.10303030303032</v>
      </c>
      <c r="I160" s="252">
        <f t="shared" si="57"/>
        <v>166.49629629629629</v>
      </c>
      <c r="J160" s="252">
        <f t="shared" si="57"/>
        <v>162.64166666666665</v>
      </c>
      <c r="K160" s="252">
        <f t="shared" si="57"/>
        <v>158.44615384615383</v>
      </c>
      <c r="L160" s="252"/>
    </row>
    <row r="161" spans="2:12">
      <c r="B161" s="217" t="s">
        <v>530</v>
      </c>
      <c r="C161" s="252">
        <f t="shared" si="51"/>
        <v>310.89601234821822</v>
      </c>
      <c r="D161" s="257"/>
      <c r="E161" s="252"/>
      <c r="F161" s="252">
        <f t="shared" ref="F161:K163" si="58">F70/F$11</f>
        <v>86.92307692307692</v>
      </c>
      <c r="G161" s="252">
        <f t="shared" si="58"/>
        <v>66.470588235294116</v>
      </c>
      <c r="H161" s="252">
        <f t="shared" si="58"/>
        <v>51.363636363636367</v>
      </c>
      <c r="I161" s="252">
        <f t="shared" si="58"/>
        <v>41.851851851851855</v>
      </c>
      <c r="J161" s="252">
        <f t="shared" si="58"/>
        <v>35.3125</v>
      </c>
      <c r="K161" s="252">
        <f t="shared" si="58"/>
        <v>28.974358974358974</v>
      </c>
      <c r="L161" s="252"/>
    </row>
    <row r="162" spans="2:12">
      <c r="B162" s="217" t="s">
        <v>484</v>
      </c>
      <c r="C162" s="252">
        <f t="shared" si="51"/>
        <v>0</v>
      </c>
      <c r="D162" s="257"/>
      <c r="E162" s="252"/>
      <c r="F162" s="252">
        <f t="shared" si="58"/>
        <v>0</v>
      </c>
      <c r="G162" s="252">
        <f t="shared" si="58"/>
        <v>0</v>
      </c>
      <c r="H162" s="252">
        <f t="shared" si="58"/>
        <v>0</v>
      </c>
      <c r="I162" s="252">
        <f t="shared" si="58"/>
        <v>0</v>
      </c>
      <c r="J162" s="252">
        <f t="shared" si="58"/>
        <v>0</v>
      </c>
      <c r="K162" s="252">
        <f t="shared" si="58"/>
        <v>0</v>
      </c>
      <c r="L162" s="252"/>
    </row>
    <row r="163" spans="2:12">
      <c r="B163" s="217" t="s">
        <v>483</v>
      </c>
      <c r="C163" s="252">
        <f t="shared" si="51"/>
        <v>0</v>
      </c>
      <c r="D163" s="257"/>
      <c r="E163" s="252"/>
      <c r="F163" s="252">
        <f t="shared" si="58"/>
        <v>0</v>
      </c>
      <c r="G163" s="252">
        <f t="shared" si="58"/>
        <v>0</v>
      </c>
      <c r="H163" s="252">
        <f t="shared" si="58"/>
        <v>0</v>
      </c>
      <c r="I163" s="252">
        <f t="shared" si="58"/>
        <v>0</v>
      </c>
      <c r="J163" s="252">
        <f t="shared" si="58"/>
        <v>0</v>
      </c>
      <c r="K163" s="252">
        <f t="shared" si="58"/>
        <v>0</v>
      </c>
      <c r="L163" s="252"/>
    </row>
    <row r="164" spans="2:12">
      <c r="B164" s="217" t="s">
        <v>536</v>
      </c>
      <c r="C164" s="252">
        <f t="shared" si="51"/>
        <v>0</v>
      </c>
      <c r="D164" s="257"/>
      <c r="E164" s="252"/>
      <c r="F164" s="252">
        <f t="shared" ref="F164:K164" si="59">F74/F$11</f>
        <v>0</v>
      </c>
      <c r="G164" s="252">
        <f t="shared" si="59"/>
        <v>0</v>
      </c>
      <c r="H164" s="252">
        <f t="shared" si="59"/>
        <v>0</v>
      </c>
      <c r="I164" s="252">
        <f t="shared" si="59"/>
        <v>0</v>
      </c>
      <c r="J164" s="252">
        <f t="shared" si="59"/>
        <v>0</v>
      </c>
      <c r="K164" s="252">
        <f t="shared" si="59"/>
        <v>0</v>
      </c>
      <c r="L164" s="256"/>
    </row>
    <row r="165" spans="2:12">
      <c r="B165" s="223" t="s">
        <v>63</v>
      </c>
      <c r="C165" s="205">
        <f>SUM(C153:C164)</f>
        <v>53221.963859499738</v>
      </c>
      <c r="D165" s="203"/>
      <c r="E165" s="205"/>
      <c r="F165" s="205">
        <f t="shared" ref="F165:K165" si="60">SUM(F153:F164)</f>
        <v>8438.234590789707</v>
      </c>
      <c r="G165" s="205">
        <f t="shared" si="60"/>
        <v>8627.4252558437147</v>
      </c>
      <c r="H165" s="205">
        <f t="shared" si="60"/>
        <v>8736.8253530163529</v>
      </c>
      <c r="I165" s="205">
        <f t="shared" si="60"/>
        <v>9183.1046769147943</v>
      </c>
      <c r="J165" s="205">
        <f t="shared" si="60"/>
        <v>9171.8068720916217</v>
      </c>
      <c r="K165" s="205">
        <f t="shared" si="60"/>
        <v>9064.567110843549</v>
      </c>
      <c r="L165" s="205"/>
    </row>
    <row r="166" spans="2:12" ht="15" thickBot="1">
      <c r="B166" s="223"/>
      <c r="C166" s="206"/>
      <c r="D166" s="207"/>
      <c r="E166" s="206"/>
      <c r="F166" s="206"/>
      <c r="G166" s="206"/>
      <c r="H166" s="206"/>
      <c r="I166" s="206"/>
      <c r="J166" s="206"/>
      <c r="K166" s="206">
        <f>+J166</f>
        <v>0</v>
      </c>
      <c r="L166" s="206"/>
    </row>
    <row r="167" spans="2:12" ht="15" thickBot="1">
      <c r="B167" s="258" t="s">
        <v>441</v>
      </c>
      <c r="C167" s="214">
        <f>C150-C165</f>
        <v>1514.3910148192372</v>
      </c>
      <c r="D167" s="214"/>
      <c r="E167" s="214"/>
      <c r="F167" s="214">
        <f>F150-F165</f>
        <v>130.55541967147474</v>
      </c>
      <c r="G167" s="214">
        <f>G150-G165</f>
        <v>79.919047691484593</v>
      </c>
      <c r="H167" s="214">
        <f>H150-H165</f>
        <v>289.92423684415189</v>
      </c>
      <c r="I167" s="214">
        <f>I150-I165</f>
        <v>73.978366971490686</v>
      </c>
      <c r="J167" s="214">
        <f>J150-J165</f>
        <v>296.59707051865735</v>
      </c>
      <c r="K167" s="214">
        <f>+J167</f>
        <v>296.59707051865735</v>
      </c>
      <c r="L167" s="214"/>
    </row>
    <row r="168" spans="2:12" hidden="1">
      <c r="B168" s="261" t="s">
        <v>208</v>
      </c>
      <c r="C168" s="211"/>
      <c r="D168" s="211"/>
      <c r="E168" s="211"/>
      <c r="F168" s="211" t="e">
        <f>F167/#REF!</f>
        <v>#REF!</v>
      </c>
      <c r="G168" s="211" t="e">
        <f>G167/#REF!</f>
        <v>#REF!</v>
      </c>
      <c r="H168" s="211" t="e">
        <f>H167/#REF!</f>
        <v>#REF!</v>
      </c>
      <c r="I168" s="211" t="e">
        <f>I167/#REF!</f>
        <v>#REF!</v>
      </c>
      <c r="J168" s="211" t="e">
        <f>J167/#REF!</f>
        <v>#REF!</v>
      </c>
      <c r="K168" s="211" t="e">
        <f>+J168</f>
        <v>#REF!</v>
      </c>
      <c r="L168" s="211"/>
    </row>
    <row r="169" spans="2:12" hidden="1"/>
    <row r="170" spans="2:12" hidden="1">
      <c r="B170" s="217" t="s">
        <v>4</v>
      </c>
      <c r="C170" s="262">
        <f>C167</f>
        <v>1514.3910148192372</v>
      </c>
      <c r="D170" s="262"/>
      <c r="E170" s="262"/>
      <c r="F170" s="262" t="e">
        <f>#REF!+F167</f>
        <v>#REF!</v>
      </c>
      <c r="G170" s="262" t="e">
        <f>#REF!+G167</f>
        <v>#REF!</v>
      </c>
      <c r="H170" s="262" t="e">
        <f>G170+H167</f>
        <v>#REF!</v>
      </c>
      <c r="I170" s="262" t="e">
        <f>H170+I167</f>
        <v>#REF!</v>
      </c>
      <c r="J170" s="262" t="e">
        <f>I170+J167</f>
        <v>#REF!</v>
      </c>
      <c r="K170" s="262" t="e">
        <f>J170+K167</f>
        <v>#REF!</v>
      </c>
      <c r="L170" s="262"/>
    </row>
    <row r="171" spans="2:12" hidden="1">
      <c r="C171" s="262"/>
      <c r="D171" s="262"/>
      <c r="E171" s="262"/>
      <c r="F171" s="262"/>
      <c r="G171" s="262"/>
      <c r="H171" s="262"/>
      <c r="I171" s="262"/>
      <c r="J171" s="262"/>
      <c r="K171" s="262"/>
      <c r="L171" s="262"/>
    </row>
    <row r="172" spans="2:12">
      <c r="B172" s="269" t="s">
        <v>386</v>
      </c>
      <c r="C172" s="270"/>
      <c r="D172" s="270"/>
      <c r="E172" s="271"/>
      <c r="F172" s="271">
        <f t="shared" ref="F172:K172" si="61">+F167/F150</f>
        <v>1.5236155806372491E-2</v>
      </c>
      <c r="G172" s="271">
        <f t="shared" si="61"/>
        <v>9.1783493227708124E-3</v>
      </c>
      <c r="H172" s="271">
        <f t="shared" si="61"/>
        <v>3.2118342705531086E-2</v>
      </c>
      <c r="I172" s="271">
        <f t="shared" si="61"/>
        <v>7.9915418950841852E-3</v>
      </c>
      <c r="J172" s="271">
        <f t="shared" si="61"/>
        <v>3.1324927867081527E-2</v>
      </c>
      <c r="K172" s="271">
        <f t="shared" si="61"/>
        <v>3.1324927867081527E-2</v>
      </c>
      <c r="L172" s="271"/>
    </row>
    <row r="173" spans="2:12">
      <c r="B173" s="272"/>
      <c r="C173" s="270"/>
      <c r="D173" s="270"/>
      <c r="E173" s="265"/>
      <c r="F173" s="271"/>
      <c r="G173" s="271"/>
      <c r="H173" s="271"/>
      <c r="I173" s="271"/>
      <c r="J173" s="271"/>
      <c r="K173" s="271"/>
      <c r="L173" s="271"/>
    </row>
    <row r="174" spans="2:12">
      <c r="E174" s="265"/>
    </row>
    <row r="175" spans="2:12">
      <c r="E175" s="265"/>
    </row>
    <row r="176" spans="2:12">
      <c r="E176" s="265"/>
    </row>
    <row r="177" spans="5:5">
      <c r="E177" s="265"/>
    </row>
    <row r="178" spans="5:5">
      <c r="E178" s="265"/>
    </row>
    <row r="179" spans="5:5">
      <c r="E179" s="265"/>
    </row>
    <row r="180" spans="5:5">
      <c r="E180" s="265"/>
    </row>
  </sheetData>
  <sheetProtection algorithmName="SHA-512" hashValue="EWD0Av6r9tqskkXDVmPnwykyF3/h/Qjq/JAL/JcPWsNnKSV+G8exLzY4Og0EqdkJpfQ5jL9fqZc0eYEPZ7pbKQ==" saltValue="7MpGW+ZJYctpV1pxaFMbbw==" spinCount="100000" sheet="1" objects="1" scenarios="1"/>
  <phoneticPr fontId="7" type="noConversion"/>
  <pageMargins left="0.25" right="0.25" top="0.5" bottom="0.44999999999999996" header="0.25" footer="0.25"/>
  <pageSetup scale="72" fitToHeight="2" orientation="landscape" r:id="rId1"/>
  <headerFooter>
    <oddHeader xml:space="preserve">&amp;L &amp;C &amp;R </oddHeader>
    <oddFooter>&amp;L&amp;7&amp;D  at &amp;T Mike 702.486.8879&amp;C&amp;7&amp;F  &amp;A&amp;R&amp;7Page &amp;P of &amp;N</oddFooter>
  </headerFooter>
  <rowBreaks count="2" manualBreakCount="2">
    <brk id="90" max="11" man="1"/>
    <brk id="129"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FFFF00"/>
  </sheetPr>
  <dimension ref="A1:R88"/>
  <sheetViews>
    <sheetView showGridLines="0" view="pageBreakPreview" topLeftCell="A53" zoomScaleNormal="100" zoomScaleSheetLayoutView="100" workbookViewId="0">
      <selection activeCell="B36" sqref="B36:D36"/>
    </sheetView>
  </sheetViews>
  <sheetFormatPr baseColWidth="10" defaultColWidth="8.83203125" defaultRowHeight="14"/>
  <cols>
    <col min="1" max="1" width="6.6640625" style="217" bestFit="1" customWidth="1"/>
    <col min="2" max="2" width="21" style="217" customWidth="1"/>
    <col min="3" max="3" width="12.33203125" style="217" customWidth="1"/>
    <col min="4" max="4" width="11.33203125" style="217" customWidth="1"/>
    <col min="5" max="6" width="11" style="217" customWidth="1"/>
    <col min="7" max="7" width="15" style="217" customWidth="1"/>
    <col min="8" max="9" width="11" style="221" customWidth="1"/>
    <col min="10" max="10" width="12.6640625" style="221" customWidth="1"/>
    <col min="11" max="13" width="11" style="221" customWidth="1"/>
    <col min="14" max="14" width="2" style="217" customWidth="1"/>
    <col min="15" max="15" width="6.83203125" style="217" hidden="1" customWidth="1"/>
    <col min="16" max="16" width="10.33203125" style="217" hidden="1" customWidth="1"/>
    <col min="17" max="17" width="6.1640625" style="217" hidden="1" customWidth="1"/>
    <col min="18" max="18" width="10" style="217" hidden="1" customWidth="1"/>
    <col min="19" max="16384" width="8.83203125" style="217"/>
  </cols>
  <sheetData>
    <row r="1" spans="1:18" ht="18">
      <c r="A1" s="514" t="s">
        <v>673</v>
      </c>
      <c r="B1" s="215"/>
      <c r="C1" s="215"/>
      <c r="E1" s="640" t="s">
        <v>443</v>
      </c>
      <c r="F1" s="640"/>
      <c r="G1" s="640"/>
      <c r="H1" s="275"/>
      <c r="I1" s="275"/>
      <c r="O1" s="585"/>
      <c r="P1" s="585"/>
      <c r="Q1" s="585"/>
      <c r="R1" s="282"/>
    </row>
    <row r="2" spans="1:18" ht="16">
      <c r="A2" s="502" t="str">
        <f>SchoolName</f>
        <v>TEACH Las Vegas</v>
      </c>
      <c r="B2" s="218"/>
      <c r="C2" s="218"/>
      <c r="E2" s="217" t="s">
        <v>707</v>
      </c>
      <c r="F2" s="697" t="str">
        <f>+Facilities!H2</f>
        <v>4648, 4656 and 4660 North Rancho Drive, Las Vegas, NV</v>
      </c>
      <c r="G2" s="676"/>
      <c r="H2" s="676"/>
      <c r="I2" s="676"/>
      <c r="J2" s="676"/>
      <c r="K2" s="852"/>
      <c r="L2" s="852"/>
      <c r="M2" s="852"/>
      <c r="O2" s="600"/>
      <c r="P2" s="600"/>
      <c r="Q2" s="601"/>
      <c r="R2" s="602"/>
    </row>
    <row r="3" spans="1:18">
      <c r="A3" s="220" t="s">
        <v>412</v>
      </c>
      <c r="E3" s="217" t="s">
        <v>704</v>
      </c>
      <c r="F3" s="698">
        <f>+Facilities!H3</f>
        <v>0</v>
      </c>
      <c r="G3" s="677"/>
      <c r="H3" s="677"/>
      <c r="I3" s="677"/>
      <c r="J3" s="677"/>
      <c r="K3" s="852"/>
      <c r="L3" s="852"/>
      <c r="M3" s="852"/>
      <c r="O3" s="603"/>
      <c r="P3" s="603"/>
      <c r="Q3" s="601"/>
      <c r="R3" s="602"/>
    </row>
    <row r="4" spans="1:18">
      <c r="A4" s="222" t="s">
        <v>444</v>
      </c>
      <c r="F4" s="380" t="s">
        <v>706</v>
      </c>
      <c r="H4" s="217"/>
      <c r="O4" s="282"/>
      <c r="P4" s="282"/>
      <c r="Q4" s="282"/>
      <c r="R4" s="282"/>
    </row>
    <row r="5" spans="1:18">
      <c r="A5" s="200" t="str">
        <f ca="1">CELL("filename")</f>
        <v>/Users/matthewbrown/Desktop/[2021MB-New-CS-Application-Financial-Plan-TEACH REV 21.1.04MB 2021 02 01.xlsx]Enrol Staff &amp; Exp</v>
      </c>
      <c r="O5" s="282"/>
      <c r="P5" s="282"/>
      <c r="Q5" s="282"/>
      <c r="R5" s="282"/>
    </row>
    <row r="6" spans="1:18">
      <c r="A6" s="276"/>
      <c r="B6" s="373"/>
      <c r="C6" s="373"/>
      <c r="D6" s="373"/>
      <c r="E6" s="201"/>
      <c r="H6" s="217"/>
      <c r="I6" s="217"/>
      <c r="J6" s="217"/>
      <c r="K6" s="217"/>
      <c r="L6" s="217"/>
      <c r="M6" s="217"/>
    </row>
    <row r="7" spans="1:18">
      <c r="A7" s="276"/>
      <c r="D7" s="682"/>
      <c r="E7" s="1233" t="s">
        <v>424</v>
      </c>
      <c r="F7" s="682"/>
      <c r="G7" s="682"/>
      <c r="H7" s="682"/>
      <c r="I7" s="682"/>
      <c r="J7" s="682"/>
      <c r="K7" s="197"/>
      <c r="L7" s="197"/>
      <c r="M7" s="197"/>
    </row>
    <row r="8" spans="1:18">
      <c r="A8" s="276"/>
      <c r="D8" s="139" t="s">
        <v>425</v>
      </c>
      <c r="E8" s="139" t="s">
        <v>401</v>
      </c>
      <c r="F8" s="139" t="s">
        <v>402</v>
      </c>
      <c r="G8" s="139" t="s">
        <v>403</v>
      </c>
      <c r="H8" s="139" t="s">
        <v>404</v>
      </c>
      <c r="I8" s="139" t="s">
        <v>405</v>
      </c>
      <c r="J8" s="139" t="s">
        <v>406</v>
      </c>
      <c r="K8" s="917"/>
      <c r="L8" s="917"/>
      <c r="M8" s="917"/>
    </row>
    <row r="9" spans="1:18" ht="16">
      <c r="A9" s="280"/>
      <c r="D9" s="1234">
        <f>'Enrol Staff &amp; Exp'!G10</f>
        <v>2020</v>
      </c>
      <c r="E9" s="1234">
        <f>'Enrol Staff &amp; Exp'!H10</f>
        <v>2021</v>
      </c>
      <c r="F9" s="1235">
        <f>+E10</f>
        <v>2022</v>
      </c>
      <c r="G9" s="1235">
        <f>+F10</f>
        <v>2023</v>
      </c>
      <c r="H9" s="1235">
        <f>+G10</f>
        <v>2024</v>
      </c>
      <c r="I9" s="1235">
        <f>+H10</f>
        <v>2025</v>
      </c>
      <c r="J9" s="1236">
        <f>+I10</f>
        <v>2026</v>
      </c>
      <c r="K9" s="1237"/>
      <c r="L9" s="1237"/>
      <c r="M9" s="1237"/>
    </row>
    <row r="10" spans="1:18" s="221" customFormat="1" ht="16">
      <c r="A10" s="280"/>
      <c r="D10" s="1099">
        <f>+D9+1</f>
        <v>2021</v>
      </c>
      <c r="E10" s="1099">
        <f t="shared" ref="E10:J10" si="0">+E9+1</f>
        <v>2022</v>
      </c>
      <c r="F10" s="1100">
        <f t="shared" si="0"/>
        <v>2023</v>
      </c>
      <c r="G10" s="1100">
        <f t="shared" si="0"/>
        <v>2024</v>
      </c>
      <c r="H10" s="1100">
        <f t="shared" si="0"/>
        <v>2025</v>
      </c>
      <c r="I10" s="1100">
        <f t="shared" si="0"/>
        <v>2026</v>
      </c>
      <c r="J10" s="1101">
        <f t="shared" si="0"/>
        <v>2027</v>
      </c>
      <c r="K10" s="1238"/>
      <c r="L10" s="1238"/>
      <c r="M10" s="1238"/>
      <c r="N10" s="217"/>
    </row>
    <row r="11" spans="1:18" s="221" customFormat="1" ht="16">
      <c r="A11" s="280"/>
      <c r="B11" s="219" t="s">
        <v>408</v>
      </c>
      <c r="C11" s="219"/>
      <c r="D11" s="134"/>
      <c r="E11" s="1031"/>
      <c r="F11" s="1031"/>
      <c r="G11" s="1031"/>
      <c r="H11" s="1031"/>
      <c r="I11" s="1031"/>
      <c r="J11" s="1031"/>
      <c r="K11" s="1237"/>
      <c r="L11" s="1237"/>
      <c r="M11" s="1237"/>
      <c r="N11" s="217"/>
    </row>
    <row r="12" spans="1:18">
      <c r="A12" s="280"/>
      <c r="B12" s="285" t="s">
        <v>197</v>
      </c>
      <c r="C12" s="285"/>
      <c r="D12" s="1225">
        <f t="shared" ref="D12:J12" si="1">COUNTIF(D15:D27,"&gt;0")</f>
        <v>0</v>
      </c>
      <c r="E12" s="1225">
        <f t="shared" si="1"/>
        <v>8</v>
      </c>
      <c r="F12" s="1178">
        <f t="shared" si="1"/>
        <v>9</v>
      </c>
      <c r="G12" s="1178">
        <f t="shared" si="1"/>
        <v>10</v>
      </c>
      <c r="H12" s="1178">
        <f t="shared" si="1"/>
        <v>11</v>
      </c>
      <c r="I12" s="1178">
        <f t="shared" si="1"/>
        <v>12</v>
      </c>
      <c r="J12" s="1179">
        <f t="shared" si="1"/>
        <v>13</v>
      </c>
      <c r="K12" s="1239"/>
      <c r="L12" s="1239"/>
      <c r="M12" s="1239"/>
      <c r="O12" s="221"/>
    </row>
    <row r="13" spans="1:18">
      <c r="A13" s="280"/>
      <c r="B13" s="287" t="s">
        <v>283</v>
      </c>
      <c r="C13" s="287"/>
      <c r="D13" s="1226">
        <f>+'Enrol Staff &amp; Exp'!G16</f>
        <v>0</v>
      </c>
      <c r="E13" s="1242">
        <f>+'Enrol Staff &amp; Exp'!H16</f>
        <v>13</v>
      </c>
      <c r="F13" s="1243">
        <f>+'Enrol Staff &amp; Exp'!I16</f>
        <v>17</v>
      </c>
      <c r="G13" s="1243">
        <f>+'Enrol Staff &amp; Exp'!J16</f>
        <v>22</v>
      </c>
      <c r="H13" s="1243">
        <f>+'Enrol Staff &amp; Exp'!K16</f>
        <v>27</v>
      </c>
      <c r="I13" s="1243">
        <f>+'Enrol Staff &amp; Exp'!L16</f>
        <v>32</v>
      </c>
      <c r="J13" s="1244">
        <f>+'Enrol Staff &amp; Exp'!M16</f>
        <v>39</v>
      </c>
      <c r="K13" s="1239"/>
      <c r="L13" s="1239"/>
      <c r="M13" s="1239"/>
      <c r="O13" s="221"/>
    </row>
    <row r="14" spans="1:18">
      <c r="A14" s="280"/>
      <c r="B14" s="285"/>
      <c r="C14" s="285"/>
      <c r="D14" s="1045"/>
      <c r="E14" s="1045"/>
      <c r="F14" s="1045"/>
      <c r="G14" s="1045"/>
      <c r="H14" s="1045"/>
      <c r="I14" s="1045"/>
      <c r="J14" s="1045"/>
      <c r="K14" s="1050"/>
      <c r="L14" s="1050"/>
      <c r="M14" s="1050"/>
      <c r="O14" s="221"/>
    </row>
    <row r="15" spans="1:18">
      <c r="A15" s="280"/>
      <c r="B15" s="292" t="s">
        <v>161</v>
      </c>
      <c r="C15" s="604"/>
      <c r="D15" s="1227">
        <f>'Enrol Staff &amp; Exp'!G18</f>
        <v>0</v>
      </c>
      <c r="E15" s="1227">
        <f>'Enrol Staff &amp; Exp'!H18</f>
        <v>75</v>
      </c>
      <c r="F15" s="1228">
        <f>'Enrol Staff &amp; Exp'!I18</f>
        <v>75</v>
      </c>
      <c r="G15" s="1228">
        <f>'Enrol Staff &amp; Exp'!J18</f>
        <v>75</v>
      </c>
      <c r="H15" s="1228">
        <f>'Enrol Staff &amp; Exp'!K18</f>
        <v>75</v>
      </c>
      <c r="I15" s="1228">
        <f>'Enrol Staff &amp; Exp'!L18</f>
        <v>75</v>
      </c>
      <c r="J15" s="1228">
        <f>'Enrol Staff &amp; Exp'!M18</f>
        <v>75</v>
      </c>
      <c r="K15" s="1051"/>
      <c r="L15" s="1051"/>
      <c r="M15" s="1051"/>
      <c r="O15" s="221"/>
    </row>
    <row r="16" spans="1:18">
      <c r="A16" s="280"/>
      <c r="B16" s="293" t="s">
        <v>173</v>
      </c>
      <c r="C16" s="285"/>
      <c r="D16" s="1229">
        <f>'Enrol Staff &amp; Exp'!G19</f>
        <v>0</v>
      </c>
      <c r="E16" s="1229">
        <f>'Enrol Staff &amp; Exp'!H19</f>
        <v>50</v>
      </c>
      <c r="F16" s="1230">
        <f>'Enrol Staff &amp; Exp'!I19</f>
        <v>75</v>
      </c>
      <c r="G16" s="1230">
        <f>'Enrol Staff &amp; Exp'!J19</f>
        <v>75</v>
      </c>
      <c r="H16" s="1230">
        <f>'Enrol Staff &amp; Exp'!K19</f>
        <v>75</v>
      </c>
      <c r="I16" s="1230">
        <f>'Enrol Staff &amp; Exp'!L19</f>
        <v>75</v>
      </c>
      <c r="J16" s="1230">
        <f>'Enrol Staff &amp; Exp'!M19</f>
        <v>75</v>
      </c>
      <c r="K16" s="1051"/>
      <c r="L16" s="1051"/>
      <c r="M16" s="1051"/>
      <c r="O16" s="221"/>
    </row>
    <row r="17" spans="1:18">
      <c r="A17" s="280"/>
      <c r="B17" s="293" t="s">
        <v>174</v>
      </c>
      <c r="C17" s="285"/>
      <c r="D17" s="1229">
        <f>'Enrol Staff &amp; Exp'!G20</f>
        <v>0</v>
      </c>
      <c r="E17" s="1229">
        <f>'Enrol Staff &amp; Exp'!H20</f>
        <v>25</v>
      </c>
      <c r="F17" s="1230">
        <f>'Enrol Staff &amp; Exp'!I20</f>
        <v>50</v>
      </c>
      <c r="G17" s="1230">
        <f>'Enrol Staff &amp; Exp'!J20</f>
        <v>75</v>
      </c>
      <c r="H17" s="1230">
        <f>'Enrol Staff &amp; Exp'!K20</f>
        <v>75</v>
      </c>
      <c r="I17" s="1230">
        <f>'Enrol Staff &amp; Exp'!L20</f>
        <v>75</v>
      </c>
      <c r="J17" s="1230">
        <f>'Enrol Staff &amp; Exp'!M20</f>
        <v>75</v>
      </c>
      <c r="K17" s="1051"/>
      <c r="L17" s="1051"/>
      <c r="M17" s="1051"/>
      <c r="O17" s="221"/>
    </row>
    <row r="18" spans="1:18">
      <c r="A18" s="280"/>
      <c r="B18" s="293" t="s">
        <v>175</v>
      </c>
      <c r="C18" s="285"/>
      <c r="D18" s="1229">
        <f>'Enrol Staff &amp; Exp'!G21</f>
        <v>0</v>
      </c>
      <c r="E18" s="1229">
        <f>'Enrol Staff &amp; Exp'!H21</f>
        <v>25</v>
      </c>
      <c r="F18" s="1230">
        <f>'Enrol Staff &amp; Exp'!I21</f>
        <v>25</v>
      </c>
      <c r="G18" s="1230">
        <f>'Enrol Staff &amp; Exp'!J21</f>
        <v>50</v>
      </c>
      <c r="H18" s="1230">
        <f>'Enrol Staff &amp; Exp'!K21</f>
        <v>75</v>
      </c>
      <c r="I18" s="1230">
        <f>'Enrol Staff &amp; Exp'!L21</f>
        <v>75</v>
      </c>
      <c r="J18" s="1230">
        <f>'Enrol Staff &amp; Exp'!M21</f>
        <v>75</v>
      </c>
      <c r="K18" s="1051"/>
      <c r="L18" s="1051"/>
      <c r="M18" s="1051"/>
      <c r="O18" s="221"/>
    </row>
    <row r="19" spans="1:18">
      <c r="A19" s="280"/>
      <c r="B19" s="293" t="s">
        <v>176</v>
      </c>
      <c r="C19" s="285"/>
      <c r="D19" s="1229">
        <f>'Enrol Staff &amp; Exp'!G22</f>
        <v>0</v>
      </c>
      <c r="E19" s="1229">
        <f>'Enrol Staff &amp; Exp'!H22</f>
        <v>25</v>
      </c>
      <c r="F19" s="1230">
        <f>'Enrol Staff &amp; Exp'!I22</f>
        <v>25</v>
      </c>
      <c r="G19" s="1230">
        <f>'Enrol Staff &amp; Exp'!J22</f>
        <v>25</v>
      </c>
      <c r="H19" s="1230">
        <f>'Enrol Staff &amp; Exp'!K22</f>
        <v>50</v>
      </c>
      <c r="I19" s="1230">
        <f>'Enrol Staff &amp; Exp'!L22</f>
        <v>75</v>
      </c>
      <c r="J19" s="1230">
        <f>'Enrol Staff &amp; Exp'!M22</f>
        <v>75</v>
      </c>
      <c r="K19" s="1051"/>
      <c r="L19" s="1051"/>
      <c r="M19" s="1051"/>
      <c r="O19" s="221"/>
    </row>
    <row r="20" spans="1:18">
      <c r="A20" s="280"/>
      <c r="B20" s="293" t="s">
        <v>177</v>
      </c>
      <c r="C20" s="285"/>
      <c r="D20" s="1229">
        <f>'Enrol Staff &amp; Exp'!G23</f>
        <v>0</v>
      </c>
      <c r="E20" s="1229">
        <f>'Enrol Staff &amp; Exp'!H23</f>
        <v>25</v>
      </c>
      <c r="F20" s="1230">
        <f>'Enrol Staff &amp; Exp'!I23</f>
        <v>25</v>
      </c>
      <c r="G20" s="1230">
        <f>'Enrol Staff &amp; Exp'!J23</f>
        <v>25</v>
      </c>
      <c r="H20" s="1230">
        <f>'Enrol Staff &amp; Exp'!K23</f>
        <v>25</v>
      </c>
      <c r="I20" s="1230">
        <f>'Enrol Staff &amp; Exp'!L23</f>
        <v>50</v>
      </c>
      <c r="J20" s="1230">
        <f>'Enrol Staff &amp; Exp'!M23</f>
        <v>75</v>
      </c>
      <c r="K20" s="1051"/>
      <c r="L20" s="1051"/>
      <c r="M20" s="1051"/>
      <c r="O20" s="221"/>
    </row>
    <row r="21" spans="1:18">
      <c r="A21" s="280"/>
      <c r="B21" s="293" t="s">
        <v>178</v>
      </c>
      <c r="C21" s="285"/>
      <c r="D21" s="1229">
        <f>'Enrol Staff &amp; Exp'!G24</f>
        <v>0</v>
      </c>
      <c r="E21" s="1229">
        <f>'Enrol Staff &amp; Exp'!H24</f>
        <v>50</v>
      </c>
      <c r="F21" s="1230">
        <f>'Enrol Staff &amp; Exp'!I24</f>
        <v>50</v>
      </c>
      <c r="G21" s="1230">
        <f>'Enrol Staff &amp; Exp'!J24</f>
        <v>50</v>
      </c>
      <c r="H21" s="1230">
        <f>'Enrol Staff &amp; Exp'!K24</f>
        <v>50</v>
      </c>
      <c r="I21" s="1230">
        <f>'Enrol Staff &amp; Exp'!L24</f>
        <v>50</v>
      </c>
      <c r="J21" s="1230">
        <f>'Enrol Staff &amp; Exp'!M24</f>
        <v>75</v>
      </c>
      <c r="K21" s="1051"/>
      <c r="L21" s="1051"/>
      <c r="M21" s="1051"/>
      <c r="O21" s="221"/>
    </row>
    <row r="22" spans="1:18">
      <c r="A22" s="280"/>
      <c r="B22" s="293" t="s">
        <v>179</v>
      </c>
      <c r="C22" s="285"/>
      <c r="D22" s="1229">
        <f>'Enrol Staff &amp; Exp'!G25</f>
        <v>0</v>
      </c>
      <c r="E22" s="1229">
        <f>'Enrol Staff &amp; Exp'!H25</f>
        <v>50</v>
      </c>
      <c r="F22" s="1230">
        <f>'Enrol Staff &amp; Exp'!I25</f>
        <v>50</v>
      </c>
      <c r="G22" s="1230">
        <f>'Enrol Staff &amp; Exp'!J25</f>
        <v>50</v>
      </c>
      <c r="H22" s="1230">
        <f>'Enrol Staff &amp; Exp'!K25</f>
        <v>50</v>
      </c>
      <c r="I22" s="1230">
        <f>'Enrol Staff &amp; Exp'!L25</f>
        <v>50</v>
      </c>
      <c r="J22" s="1230">
        <f>'Enrol Staff &amp; Exp'!M25</f>
        <v>75</v>
      </c>
      <c r="K22" s="1051"/>
      <c r="L22" s="1051"/>
      <c r="M22" s="1051"/>
      <c r="O22" s="221"/>
    </row>
    <row r="23" spans="1:18">
      <c r="A23" s="280"/>
      <c r="B23" s="293" t="s">
        <v>180</v>
      </c>
      <c r="C23" s="285"/>
      <c r="D23" s="1229">
        <f>'Enrol Staff &amp; Exp'!G26</f>
        <v>0</v>
      </c>
      <c r="E23" s="1229">
        <f>'Enrol Staff &amp; Exp'!H26</f>
        <v>0</v>
      </c>
      <c r="F23" s="1230">
        <f>'Enrol Staff &amp; Exp'!I26</f>
        <v>50</v>
      </c>
      <c r="G23" s="1230">
        <f>'Enrol Staff &amp; Exp'!J26</f>
        <v>50</v>
      </c>
      <c r="H23" s="1230">
        <f>'Enrol Staff &amp; Exp'!K26</f>
        <v>50</v>
      </c>
      <c r="I23" s="1230">
        <f>'Enrol Staff &amp; Exp'!L26</f>
        <v>50</v>
      </c>
      <c r="J23" s="1230">
        <f>'Enrol Staff &amp; Exp'!M26</f>
        <v>75</v>
      </c>
      <c r="K23" s="1051"/>
      <c r="L23" s="1051"/>
      <c r="M23" s="1051"/>
      <c r="O23" s="221"/>
    </row>
    <row r="24" spans="1:18">
      <c r="A24" s="280"/>
      <c r="B24" s="293" t="s">
        <v>181</v>
      </c>
      <c r="C24" s="285"/>
      <c r="D24" s="1229">
        <f>'Enrol Staff &amp; Exp'!G27</f>
        <v>0</v>
      </c>
      <c r="E24" s="1229">
        <f>'Enrol Staff &amp; Exp'!H27</f>
        <v>0</v>
      </c>
      <c r="F24" s="1230">
        <f>'Enrol Staff &amp; Exp'!I27</f>
        <v>0</v>
      </c>
      <c r="G24" s="1230">
        <f>'Enrol Staff &amp; Exp'!J27</f>
        <v>75</v>
      </c>
      <c r="H24" s="1230">
        <f>'Enrol Staff &amp; Exp'!K27</f>
        <v>75</v>
      </c>
      <c r="I24" s="1230">
        <f>'Enrol Staff &amp; Exp'!L27</f>
        <v>75</v>
      </c>
      <c r="J24" s="1230">
        <f>'Enrol Staff &amp; Exp'!M27</f>
        <v>75</v>
      </c>
      <c r="K24" s="1051"/>
      <c r="L24" s="1051"/>
      <c r="M24" s="1051"/>
      <c r="O24" s="221"/>
    </row>
    <row r="25" spans="1:18">
      <c r="A25" s="280"/>
      <c r="B25" s="293" t="s">
        <v>182</v>
      </c>
      <c r="C25" s="285"/>
      <c r="D25" s="1229">
        <f>'Enrol Staff &amp; Exp'!G28</f>
        <v>0</v>
      </c>
      <c r="E25" s="1229">
        <f>'Enrol Staff &amp; Exp'!H28</f>
        <v>0</v>
      </c>
      <c r="F25" s="1230">
        <f>'Enrol Staff &amp; Exp'!I28</f>
        <v>0</v>
      </c>
      <c r="G25" s="1230">
        <f>'Enrol Staff &amp; Exp'!J28</f>
        <v>0</v>
      </c>
      <c r="H25" s="1230">
        <f>'Enrol Staff &amp; Exp'!K28</f>
        <v>75</v>
      </c>
      <c r="I25" s="1230">
        <f>'Enrol Staff &amp; Exp'!L28</f>
        <v>75</v>
      </c>
      <c r="J25" s="1230">
        <f>'Enrol Staff &amp; Exp'!M28</f>
        <v>75</v>
      </c>
      <c r="K25" s="1051"/>
      <c r="L25" s="1051"/>
      <c r="M25" s="1051"/>
      <c r="O25" s="221"/>
    </row>
    <row r="26" spans="1:18">
      <c r="A26" s="280"/>
      <c r="B26" s="293" t="s">
        <v>183</v>
      </c>
      <c r="C26" s="285"/>
      <c r="D26" s="1229">
        <f>'Enrol Staff &amp; Exp'!G29</f>
        <v>0</v>
      </c>
      <c r="E26" s="1229">
        <f>'Enrol Staff &amp; Exp'!H29</f>
        <v>0</v>
      </c>
      <c r="F26" s="1230">
        <f>'Enrol Staff &amp; Exp'!I29</f>
        <v>0</v>
      </c>
      <c r="G26" s="1230">
        <f>'Enrol Staff &amp; Exp'!J29</f>
        <v>0</v>
      </c>
      <c r="H26" s="1230">
        <f>'Enrol Staff &amp; Exp'!K29</f>
        <v>0</v>
      </c>
      <c r="I26" s="1230">
        <f>'Enrol Staff &amp; Exp'!L29</f>
        <v>75</v>
      </c>
      <c r="J26" s="1230">
        <f>'Enrol Staff &amp; Exp'!M29</f>
        <v>75</v>
      </c>
      <c r="K26" s="1051"/>
      <c r="L26" s="1051"/>
      <c r="M26" s="1051"/>
      <c r="O26" s="221"/>
    </row>
    <row r="27" spans="1:18">
      <c r="A27" s="280"/>
      <c r="B27" s="293" t="s">
        <v>184</v>
      </c>
      <c r="C27" s="285"/>
      <c r="D27" s="1231">
        <f>'Enrol Staff &amp; Exp'!G30</f>
        <v>0</v>
      </c>
      <c r="E27" s="1231">
        <f>'Enrol Staff &amp; Exp'!H30</f>
        <v>0</v>
      </c>
      <c r="F27" s="1232">
        <f>'Enrol Staff &amp; Exp'!I30</f>
        <v>0</v>
      </c>
      <c r="G27" s="1232">
        <f>'Enrol Staff &amp; Exp'!J30</f>
        <v>0</v>
      </c>
      <c r="H27" s="1232">
        <f>'Enrol Staff &amp; Exp'!K30</f>
        <v>0</v>
      </c>
      <c r="I27" s="1232">
        <f>'Enrol Staff &amp; Exp'!L30</f>
        <v>0</v>
      </c>
      <c r="J27" s="1232">
        <f>'Enrol Staff &amp; Exp'!M30</f>
        <v>75</v>
      </c>
      <c r="K27" s="1051"/>
      <c r="L27" s="1051"/>
      <c r="M27" s="1051"/>
      <c r="O27" s="221"/>
    </row>
    <row r="28" spans="1:18">
      <c r="A28" s="280"/>
      <c r="B28" s="296" t="s">
        <v>185</v>
      </c>
      <c r="C28" s="718"/>
      <c r="D28" s="1240">
        <f t="shared" ref="D28:J28" si="2">SUM(D15:D27)</f>
        <v>0</v>
      </c>
      <c r="E28" s="1240">
        <f t="shared" si="2"/>
        <v>325</v>
      </c>
      <c r="F28" s="1240">
        <f t="shared" si="2"/>
        <v>425</v>
      </c>
      <c r="G28" s="1240">
        <f t="shared" si="2"/>
        <v>550</v>
      </c>
      <c r="H28" s="1240">
        <f t="shared" si="2"/>
        <v>675</v>
      </c>
      <c r="I28" s="1240">
        <f t="shared" si="2"/>
        <v>800</v>
      </c>
      <c r="J28" s="1240">
        <f t="shared" si="2"/>
        <v>975</v>
      </c>
      <c r="K28" s="1241"/>
      <c r="L28" s="1241"/>
      <c r="M28" s="1241"/>
      <c r="O28" s="221"/>
    </row>
    <row r="29" spans="1:18">
      <c r="A29" s="280"/>
      <c r="B29" s="285" t="s">
        <v>565</v>
      </c>
      <c r="C29" s="285"/>
      <c r="D29" s="515"/>
      <c r="E29" s="515">
        <f t="shared" ref="E29:J29" si="3">+E28/E13</f>
        <v>25</v>
      </c>
      <c r="F29" s="515">
        <f t="shared" si="3"/>
        <v>25</v>
      </c>
      <c r="G29" s="515">
        <f t="shared" si="3"/>
        <v>25</v>
      </c>
      <c r="H29" s="515">
        <f t="shared" si="3"/>
        <v>25</v>
      </c>
      <c r="I29" s="515">
        <f t="shared" si="3"/>
        <v>25</v>
      </c>
      <c r="J29" s="515">
        <f t="shared" si="3"/>
        <v>25</v>
      </c>
      <c r="K29" s="515"/>
      <c r="L29" s="515"/>
      <c r="M29" s="515"/>
      <c r="O29" s="221"/>
    </row>
    <row r="30" spans="1:18">
      <c r="A30" s="280"/>
      <c r="B30" s="299"/>
      <c r="C30" s="299"/>
      <c r="D30" s="299"/>
      <c r="E30" s="285"/>
      <c r="F30" s="300"/>
      <c r="G30" s="301"/>
      <c r="H30" s="301"/>
      <c r="I30" s="301"/>
      <c r="J30" s="301"/>
      <c r="K30" s="301"/>
      <c r="L30" s="301"/>
      <c r="M30" s="301"/>
      <c r="N30" s="229"/>
      <c r="O30" s="301"/>
      <c r="P30" s="301"/>
      <c r="Q30" s="301"/>
      <c r="R30" s="301"/>
    </row>
    <row r="31" spans="1:18" ht="16">
      <c r="A31" s="873" t="s">
        <v>917</v>
      </c>
      <c r="B31" s="299"/>
      <c r="C31" s="299"/>
      <c r="D31" s="299"/>
      <c r="E31" s="285"/>
      <c r="F31" s="300"/>
      <c r="G31" s="301"/>
      <c r="H31" s="301"/>
      <c r="I31" s="217"/>
      <c r="J31" s="217"/>
      <c r="K31" s="217"/>
      <c r="L31" s="217"/>
      <c r="M31" s="217"/>
      <c r="N31" s="301"/>
      <c r="O31" s="301"/>
      <c r="P31" s="301"/>
      <c r="Q31" s="301"/>
      <c r="R31" s="301"/>
    </row>
    <row r="32" spans="1:18" ht="16">
      <c r="A32" s="873"/>
      <c r="B32" s="299"/>
      <c r="C32" s="299"/>
      <c r="D32" s="299"/>
      <c r="E32" s="285"/>
      <c r="F32" s="300"/>
      <c r="G32" s="301"/>
      <c r="H32" s="301"/>
      <c r="I32" s="217"/>
      <c r="J32" s="217"/>
      <c r="K32" s="217"/>
      <c r="L32" s="217"/>
      <c r="M32" s="217"/>
      <c r="N32" s="301"/>
      <c r="O32" s="301"/>
      <c r="P32" s="301"/>
      <c r="Q32" s="301"/>
      <c r="R32" s="301"/>
    </row>
    <row r="33" spans="1:18" ht="16">
      <c r="A33" s="675"/>
      <c r="B33" s="1429" t="str">
        <f>F2</f>
        <v>4648, 4656 and 4660 North Rancho Drive, Las Vegas, NV</v>
      </c>
      <c r="C33" s="1429"/>
      <c r="D33" s="1429"/>
      <c r="E33" s="1430"/>
      <c r="F33" s="1430"/>
      <c r="G33" s="1430"/>
      <c r="H33" s="1430"/>
      <c r="I33" s="217"/>
      <c r="J33" s="217"/>
      <c r="K33" s="217"/>
      <c r="L33" s="217"/>
      <c r="M33" s="217"/>
      <c r="N33" s="301"/>
      <c r="O33" s="301"/>
      <c r="P33" s="301"/>
      <c r="Q33" s="301"/>
      <c r="R33" s="301"/>
    </row>
    <row r="34" spans="1:18" ht="30" customHeight="1">
      <c r="A34" s="865"/>
      <c r="B34" s="1431" t="s">
        <v>743</v>
      </c>
      <c r="C34" s="1431"/>
      <c r="D34" s="866"/>
      <c r="E34" s="867" t="s">
        <v>442</v>
      </c>
      <c r="F34" s="868" t="s">
        <v>592</v>
      </c>
      <c r="G34" s="868" t="s">
        <v>594</v>
      </c>
      <c r="H34" s="869" t="s">
        <v>593</v>
      </c>
      <c r="I34" s="870" t="s">
        <v>768</v>
      </c>
      <c r="J34" s="871" t="s">
        <v>767</v>
      </c>
      <c r="K34" s="853"/>
      <c r="L34" s="853"/>
      <c r="M34" s="853"/>
      <c r="O34" s="302" t="s">
        <v>453</v>
      </c>
      <c r="P34" s="304" t="s">
        <v>451</v>
      </c>
      <c r="Q34" s="302" t="s">
        <v>450</v>
      </c>
      <c r="R34" s="304" t="s">
        <v>452</v>
      </c>
    </row>
    <row r="35" spans="1:18">
      <c r="A35" s="861">
        <v>1</v>
      </c>
      <c r="B35" s="1428" t="s">
        <v>869</v>
      </c>
      <c r="C35" s="1428"/>
      <c r="D35" s="1428"/>
      <c r="E35" s="1245">
        <v>1</v>
      </c>
      <c r="F35" s="1246" t="s">
        <v>868</v>
      </c>
      <c r="G35" s="1087">
        <v>200</v>
      </c>
      <c r="H35" s="1087">
        <v>100</v>
      </c>
      <c r="I35" s="872">
        <f t="shared" ref="I35:I44" si="4">+G35-H35</f>
        <v>100</v>
      </c>
      <c r="J35" s="1250">
        <v>1</v>
      </c>
      <c r="K35" s="853"/>
      <c r="L35" s="853"/>
      <c r="M35" s="853"/>
      <c r="O35" s="521">
        <v>0.5</v>
      </c>
      <c r="P35" s="305">
        <f t="shared" ref="P35:P44" si="5">+O35*$G35</f>
        <v>100</v>
      </c>
      <c r="Q35" s="521">
        <v>0.05</v>
      </c>
      <c r="R35" s="217">
        <f t="shared" ref="R35:R44" si="6">+Q35*$G$35</f>
        <v>10</v>
      </c>
    </row>
    <row r="36" spans="1:18">
      <c r="A36" s="1224">
        <v>2</v>
      </c>
      <c r="B36" s="1426" t="s">
        <v>915</v>
      </c>
      <c r="C36" s="1426"/>
      <c r="D36" s="1426"/>
      <c r="E36" s="1245"/>
      <c r="F36" s="1246"/>
      <c r="G36" s="1087">
        <v>0</v>
      </c>
      <c r="H36" s="1087">
        <v>0</v>
      </c>
      <c r="I36" s="433">
        <f t="shared" si="4"/>
        <v>0</v>
      </c>
      <c r="J36" s="1251">
        <v>0</v>
      </c>
      <c r="K36" s="853"/>
      <c r="L36" s="853"/>
      <c r="M36" s="853"/>
      <c r="O36" s="521">
        <v>0.5</v>
      </c>
      <c r="P36" s="305">
        <f t="shared" si="5"/>
        <v>0</v>
      </c>
      <c r="Q36" s="521">
        <v>0.05</v>
      </c>
      <c r="R36" s="217">
        <f t="shared" si="6"/>
        <v>10</v>
      </c>
    </row>
    <row r="37" spans="1:18">
      <c r="A37" s="1224">
        <v>3</v>
      </c>
      <c r="B37" s="1426"/>
      <c r="C37" s="1426"/>
      <c r="D37" s="1426"/>
      <c r="E37" s="1245"/>
      <c r="F37" s="1246"/>
      <c r="G37" s="1087">
        <v>0</v>
      </c>
      <c r="H37" s="1087">
        <v>0</v>
      </c>
      <c r="I37" s="433">
        <f t="shared" si="4"/>
        <v>0</v>
      </c>
      <c r="J37" s="1251">
        <v>0</v>
      </c>
      <c r="K37" s="853"/>
      <c r="L37" s="853"/>
      <c r="M37" s="853"/>
      <c r="O37" s="521">
        <v>0.5</v>
      </c>
      <c r="P37" s="305">
        <f t="shared" si="5"/>
        <v>0</v>
      </c>
      <c r="Q37" s="521">
        <v>0.05</v>
      </c>
      <c r="R37" s="217">
        <f t="shared" si="6"/>
        <v>10</v>
      </c>
    </row>
    <row r="38" spans="1:18">
      <c r="A38" s="1224">
        <v>4</v>
      </c>
      <c r="B38" s="1426"/>
      <c r="C38" s="1426"/>
      <c r="D38" s="1426"/>
      <c r="E38" s="1245"/>
      <c r="F38" s="1246"/>
      <c r="G38" s="1087">
        <v>0</v>
      </c>
      <c r="H38" s="1087">
        <v>0</v>
      </c>
      <c r="I38" s="433">
        <f t="shared" si="4"/>
        <v>0</v>
      </c>
      <c r="J38" s="1251">
        <v>0</v>
      </c>
      <c r="K38" s="853"/>
      <c r="L38" s="853"/>
      <c r="M38" s="853"/>
      <c r="O38" s="521">
        <v>0.5</v>
      </c>
      <c r="P38" s="305">
        <f t="shared" si="5"/>
        <v>0</v>
      </c>
      <c r="Q38" s="521">
        <v>0.05</v>
      </c>
      <c r="R38" s="217">
        <f t="shared" si="6"/>
        <v>10</v>
      </c>
    </row>
    <row r="39" spans="1:18">
      <c r="A39" s="1224">
        <v>5</v>
      </c>
      <c r="B39" s="1426"/>
      <c r="C39" s="1426"/>
      <c r="D39" s="1426"/>
      <c r="E39" s="1245"/>
      <c r="F39" s="1246"/>
      <c r="G39" s="1087">
        <v>0</v>
      </c>
      <c r="H39" s="1087">
        <v>0</v>
      </c>
      <c r="I39" s="433">
        <f t="shared" si="4"/>
        <v>0</v>
      </c>
      <c r="J39" s="1251">
        <v>0</v>
      </c>
      <c r="K39" s="853"/>
      <c r="L39" s="853"/>
      <c r="M39" s="853"/>
      <c r="O39" s="521">
        <v>0.5</v>
      </c>
      <c r="P39" s="305">
        <f t="shared" si="5"/>
        <v>0</v>
      </c>
      <c r="Q39" s="521">
        <v>0.05</v>
      </c>
      <c r="R39" s="217">
        <f t="shared" si="6"/>
        <v>10</v>
      </c>
    </row>
    <row r="40" spans="1:18">
      <c r="A40" s="1224">
        <v>6</v>
      </c>
      <c r="B40" s="1426"/>
      <c r="C40" s="1426"/>
      <c r="D40" s="1426"/>
      <c r="E40" s="1245"/>
      <c r="F40" s="1246"/>
      <c r="G40" s="1087">
        <v>0</v>
      </c>
      <c r="H40" s="1087">
        <v>0</v>
      </c>
      <c r="I40" s="433">
        <f t="shared" si="4"/>
        <v>0</v>
      </c>
      <c r="J40" s="1251">
        <v>0</v>
      </c>
      <c r="K40" s="853"/>
      <c r="L40" s="853"/>
      <c r="M40" s="853"/>
      <c r="O40" s="521">
        <v>0.5</v>
      </c>
      <c r="P40" s="305">
        <f t="shared" si="5"/>
        <v>0</v>
      </c>
      <c r="Q40" s="521">
        <v>0.05</v>
      </c>
      <c r="R40" s="217">
        <f t="shared" si="6"/>
        <v>10</v>
      </c>
    </row>
    <row r="41" spans="1:18">
      <c r="A41" s="1224">
        <v>7</v>
      </c>
      <c r="B41" s="1426"/>
      <c r="C41" s="1426"/>
      <c r="D41" s="1426"/>
      <c r="E41" s="1245"/>
      <c r="F41" s="1246"/>
      <c r="G41" s="1087">
        <v>0</v>
      </c>
      <c r="H41" s="1087">
        <v>0</v>
      </c>
      <c r="I41" s="433">
        <f t="shared" si="4"/>
        <v>0</v>
      </c>
      <c r="J41" s="1251">
        <v>0</v>
      </c>
      <c r="K41" s="853"/>
      <c r="L41" s="853"/>
      <c r="M41" s="853"/>
      <c r="O41" s="521">
        <v>0.5</v>
      </c>
      <c r="P41" s="305">
        <f t="shared" si="5"/>
        <v>0</v>
      </c>
      <c r="Q41" s="521">
        <v>0.05</v>
      </c>
      <c r="R41" s="217">
        <f t="shared" si="6"/>
        <v>10</v>
      </c>
    </row>
    <row r="42" spans="1:18">
      <c r="A42" s="1224">
        <v>8</v>
      </c>
      <c r="B42" s="1426"/>
      <c r="C42" s="1426"/>
      <c r="D42" s="1426"/>
      <c r="E42" s="1245"/>
      <c r="F42" s="1246"/>
      <c r="G42" s="1087">
        <v>0</v>
      </c>
      <c r="H42" s="1087">
        <v>0</v>
      </c>
      <c r="I42" s="433">
        <f t="shared" si="4"/>
        <v>0</v>
      </c>
      <c r="J42" s="1251">
        <v>0</v>
      </c>
      <c r="K42" s="853"/>
      <c r="L42" s="853"/>
      <c r="M42" s="853"/>
      <c r="O42" s="521">
        <v>0.5</v>
      </c>
      <c r="P42" s="305">
        <f t="shared" si="5"/>
        <v>0</v>
      </c>
      <c r="Q42" s="521">
        <v>0.05</v>
      </c>
      <c r="R42" s="217">
        <f t="shared" si="6"/>
        <v>10</v>
      </c>
    </row>
    <row r="43" spans="1:18">
      <c r="A43" s="1224">
        <v>9</v>
      </c>
      <c r="B43" s="1426"/>
      <c r="C43" s="1426"/>
      <c r="D43" s="1426"/>
      <c r="E43" s="1245"/>
      <c r="F43" s="1246"/>
      <c r="G43" s="1087">
        <v>0</v>
      </c>
      <c r="H43" s="1087">
        <v>0</v>
      </c>
      <c r="I43" s="433">
        <f t="shared" si="4"/>
        <v>0</v>
      </c>
      <c r="J43" s="1251">
        <v>0</v>
      </c>
      <c r="K43" s="853"/>
      <c r="L43" s="853"/>
      <c r="M43" s="853"/>
      <c r="O43" s="521">
        <v>0.5</v>
      </c>
      <c r="P43" s="305">
        <f t="shared" si="5"/>
        <v>0</v>
      </c>
      <c r="Q43" s="521">
        <v>0.05</v>
      </c>
      <c r="R43" s="217">
        <f t="shared" si="6"/>
        <v>10</v>
      </c>
    </row>
    <row r="44" spans="1:18">
      <c r="A44" s="863">
        <v>10</v>
      </c>
      <c r="B44" s="1427"/>
      <c r="C44" s="1427"/>
      <c r="D44" s="1427"/>
      <c r="E44" s="1247"/>
      <c r="F44" s="1248"/>
      <c r="G44" s="1249">
        <v>0</v>
      </c>
      <c r="H44" s="1249">
        <v>0</v>
      </c>
      <c r="I44" s="864">
        <f t="shared" si="4"/>
        <v>0</v>
      </c>
      <c r="J44" s="1252">
        <v>0</v>
      </c>
      <c r="K44" s="853"/>
      <c r="L44" s="853"/>
      <c r="M44" s="853"/>
      <c r="O44" s="521">
        <v>0.5</v>
      </c>
      <c r="P44" s="305">
        <f t="shared" si="5"/>
        <v>0</v>
      </c>
      <c r="Q44" s="521">
        <v>0.05</v>
      </c>
      <c r="R44" s="217">
        <f t="shared" si="6"/>
        <v>10</v>
      </c>
    </row>
    <row r="45" spans="1:18">
      <c r="A45" s="280"/>
      <c r="B45" s="285"/>
      <c r="C45" s="285"/>
      <c r="D45" s="285"/>
      <c r="E45" s="285"/>
      <c r="F45" s="674"/>
      <c r="G45" s="674">
        <f>SUM(G35:G44)</f>
        <v>200</v>
      </c>
      <c r="H45" s="674">
        <f>SUM(H35:H44)</f>
        <v>100</v>
      </c>
      <c r="I45" s="674">
        <f>SUM(I35:I44)</f>
        <v>100</v>
      </c>
      <c r="J45" s="1367">
        <f>IFERROR(SUMPRODUCT(I35:I44,J35:J44)/I45,0)</f>
        <v>1</v>
      </c>
      <c r="K45" s="1366"/>
      <c r="L45" s="853"/>
      <c r="M45" s="853"/>
      <c r="N45" s="674"/>
      <c r="O45" s="605">
        <f>SUM(P35:P44)</f>
        <v>100</v>
      </c>
      <c r="P45" s="605">
        <f>SUM(Q35:Q44)</f>
        <v>0.49999999999999994</v>
      </c>
      <c r="Q45" s="605">
        <f>SUM(R35:R44)</f>
        <v>100</v>
      </c>
      <c r="R45" s="605" t="e">
        <f>SUM(#REF!)</f>
        <v>#REF!</v>
      </c>
    </row>
    <row r="46" spans="1:18">
      <c r="A46" s="280"/>
      <c r="B46" s="695"/>
      <c r="C46" s="695"/>
      <c r="D46" s="695"/>
      <c r="E46" s="285"/>
      <c r="F46" s="285"/>
      <c r="G46" s="285"/>
      <c r="H46" s="285"/>
      <c r="I46" s="285"/>
      <c r="J46" s="285"/>
      <c r="K46" s="285"/>
      <c r="L46" s="285"/>
      <c r="M46" s="285"/>
      <c r="N46" s="303"/>
      <c r="O46" s="303"/>
      <c r="P46" s="303"/>
      <c r="Q46" s="303"/>
      <c r="R46" s="303"/>
    </row>
    <row r="47" spans="1:18">
      <c r="A47" s="280"/>
      <c r="B47" s="854"/>
      <c r="C47" s="855" t="s">
        <v>631</v>
      </c>
      <c r="D47" s="856"/>
      <c r="E47" s="856"/>
      <c r="F47" s="856"/>
      <c r="G47" s="856"/>
      <c r="H47" s="856"/>
      <c r="I47" s="856"/>
      <c r="J47" s="857" t="s">
        <v>632</v>
      </c>
      <c r="K47" s="858"/>
      <c r="L47" s="858"/>
      <c r="M47" s="859"/>
      <c r="N47" s="303"/>
      <c r="O47" s="303"/>
      <c r="P47" s="303"/>
      <c r="Q47" s="303"/>
      <c r="R47" s="303"/>
    </row>
    <row r="48" spans="1:18" ht="26">
      <c r="A48" s="280"/>
      <c r="B48" s="854"/>
      <c r="C48" s="860" t="s">
        <v>634</v>
      </c>
      <c r="D48" s="860" t="s">
        <v>635</v>
      </c>
      <c r="E48" s="860" t="s">
        <v>636</v>
      </c>
      <c r="F48" s="860" t="s">
        <v>637</v>
      </c>
      <c r="G48" s="860" t="s">
        <v>638</v>
      </c>
      <c r="H48" s="860" t="s">
        <v>639</v>
      </c>
      <c r="I48" s="860" t="s">
        <v>640</v>
      </c>
      <c r="J48" s="860" t="s">
        <v>453</v>
      </c>
      <c r="K48" s="860" t="s">
        <v>633</v>
      </c>
      <c r="L48" s="1222" t="s">
        <v>450</v>
      </c>
      <c r="M48" s="1223" t="s">
        <v>449</v>
      </c>
      <c r="N48" s="303"/>
      <c r="O48" s="303"/>
      <c r="P48" s="303"/>
      <c r="Q48" s="303"/>
      <c r="R48" s="303"/>
    </row>
    <row r="49" spans="1:18">
      <c r="A49" s="280">
        <f t="shared" ref="A49:B58" si="7">+A35</f>
        <v>1</v>
      </c>
      <c r="B49" s="1219" t="str">
        <f t="shared" si="7"/>
        <v>Sample nearby school (Overwrite this)</v>
      </c>
      <c r="C49" s="1253">
        <v>0</v>
      </c>
      <c r="D49" s="1253">
        <v>0</v>
      </c>
      <c r="E49" s="1253">
        <v>0</v>
      </c>
      <c r="F49" s="1253">
        <v>0</v>
      </c>
      <c r="G49" s="1253">
        <v>0</v>
      </c>
      <c r="H49" s="1253">
        <v>0</v>
      </c>
      <c r="I49" s="1253">
        <v>0</v>
      </c>
      <c r="J49" s="1253">
        <v>0</v>
      </c>
      <c r="K49" s="1253">
        <v>0</v>
      </c>
      <c r="L49" s="1253">
        <v>0</v>
      </c>
      <c r="M49" s="1254">
        <v>0</v>
      </c>
      <c r="N49" s="303"/>
      <c r="O49" s="303"/>
      <c r="P49" s="303"/>
      <c r="Q49" s="303"/>
      <c r="R49" s="303"/>
    </row>
    <row r="50" spans="1:18">
      <c r="A50" s="280">
        <f t="shared" si="7"/>
        <v>2</v>
      </c>
      <c r="B50" s="1220" t="str">
        <f t="shared" si="7"/>
        <v xml:space="preserve">Test </v>
      </c>
      <c r="C50" s="1255">
        <v>0</v>
      </c>
      <c r="D50" s="1255">
        <v>0</v>
      </c>
      <c r="E50" s="1255">
        <v>0</v>
      </c>
      <c r="F50" s="1255">
        <v>0</v>
      </c>
      <c r="G50" s="1255">
        <v>0</v>
      </c>
      <c r="H50" s="1255">
        <v>0</v>
      </c>
      <c r="I50" s="1255">
        <v>0</v>
      </c>
      <c r="J50" s="1255">
        <v>0</v>
      </c>
      <c r="K50" s="1255">
        <v>0</v>
      </c>
      <c r="L50" s="1255">
        <v>0</v>
      </c>
      <c r="M50" s="1256">
        <v>0</v>
      </c>
      <c r="N50" s="303"/>
      <c r="O50" s="303"/>
      <c r="P50" s="303"/>
      <c r="Q50" s="303"/>
      <c r="R50" s="303"/>
    </row>
    <row r="51" spans="1:18">
      <c r="A51" s="280">
        <f t="shared" si="7"/>
        <v>3</v>
      </c>
      <c r="B51" s="1220">
        <f t="shared" si="7"/>
        <v>0</v>
      </c>
      <c r="C51" s="1255">
        <v>0</v>
      </c>
      <c r="D51" s="1255">
        <v>0</v>
      </c>
      <c r="E51" s="1255">
        <v>0</v>
      </c>
      <c r="F51" s="1255">
        <v>0</v>
      </c>
      <c r="G51" s="1255">
        <v>0</v>
      </c>
      <c r="H51" s="1255">
        <v>0</v>
      </c>
      <c r="I51" s="1255">
        <v>0</v>
      </c>
      <c r="J51" s="1255">
        <v>0</v>
      </c>
      <c r="K51" s="1255">
        <v>0</v>
      </c>
      <c r="L51" s="1255">
        <v>0</v>
      </c>
      <c r="M51" s="1256">
        <v>0</v>
      </c>
      <c r="N51" s="303"/>
      <c r="O51" s="303"/>
      <c r="P51" s="303"/>
      <c r="Q51" s="303"/>
      <c r="R51" s="303"/>
    </row>
    <row r="52" spans="1:18">
      <c r="A52" s="280">
        <f t="shared" si="7"/>
        <v>4</v>
      </c>
      <c r="B52" s="1220">
        <f t="shared" si="7"/>
        <v>0</v>
      </c>
      <c r="C52" s="1255">
        <v>0</v>
      </c>
      <c r="D52" s="1255">
        <v>0</v>
      </c>
      <c r="E52" s="1255">
        <v>0</v>
      </c>
      <c r="F52" s="1255">
        <v>0</v>
      </c>
      <c r="G52" s="1255">
        <v>0</v>
      </c>
      <c r="H52" s="1255">
        <v>0</v>
      </c>
      <c r="I52" s="1255">
        <v>0</v>
      </c>
      <c r="J52" s="1255">
        <v>0</v>
      </c>
      <c r="K52" s="1255">
        <v>0</v>
      </c>
      <c r="L52" s="1255">
        <v>0</v>
      </c>
      <c r="M52" s="1256">
        <v>0</v>
      </c>
      <c r="N52" s="303"/>
      <c r="O52" s="303"/>
      <c r="P52" s="303"/>
      <c r="Q52" s="303"/>
      <c r="R52" s="303"/>
    </row>
    <row r="53" spans="1:18">
      <c r="A53" s="280">
        <f t="shared" si="7"/>
        <v>5</v>
      </c>
      <c r="B53" s="1220">
        <f t="shared" si="7"/>
        <v>0</v>
      </c>
      <c r="C53" s="1255">
        <v>0</v>
      </c>
      <c r="D53" s="1255">
        <v>0</v>
      </c>
      <c r="E53" s="1255">
        <v>0</v>
      </c>
      <c r="F53" s="1255">
        <v>0</v>
      </c>
      <c r="G53" s="1255">
        <v>0</v>
      </c>
      <c r="H53" s="1255">
        <v>0</v>
      </c>
      <c r="I53" s="1255">
        <v>0</v>
      </c>
      <c r="J53" s="1255">
        <v>0</v>
      </c>
      <c r="K53" s="1255">
        <v>0</v>
      </c>
      <c r="L53" s="1255">
        <v>0</v>
      </c>
      <c r="M53" s="1256">
        <v>0</v>
      </c>
      <c r="N53" s="303"/>
      <c r="O53" s="303"/>
      <c r="P53" s="303"/>
      <c r="Q53" s="303"/>
      <c r="R53" s="303"/>
    </row>
    <row r="54" spans="1:18">
      <c r="A54" s="280">
        <f t="shared" si="7"/>
        <v>6</v>
      </c>
      <c r="B54" s="1220">
        <f t="shared" si="7"/>
        <v>0</v>
      </c>
      <c r="C54" s="1255">
        <v>0</v>
      </c>
      <c r="D54" s="1255">
        <v>0</v>
      </c>
      <c r="E54" s="1255">
        <v>0</v>
      </c>
      <c r="F54" s="1255">
        <v>0</v>
      </c>
      <c r="G54" s="1255">
        <v>0</v>
      </c>
      <c r="H54" s="1255">
        <v>0</v>
      </c>
      <c r="I54" s="1255">
        <v>0</v>
      </c>
      <c r="J54" s="1255">
        <v>0</v>
      </c>
      <c r="K54" s="1255">
        <v>0</v>
      </c>
      <c r="L54" s="1255">
        <v>0</v>
      </c>
      <c r="M54" s="1256">
        <v>0</v>
      </c>
      <c r="N54" s="303"/>
      <c r="O54" s="303"/>
      <c r="P54" s="303"/>
      <c r="Q54" s="303"/>
      <c r="R54" s="303"/>
    </row>
    <row r="55" spans="1:18">
      <c r="A55" s="280">
        <f t="shared" si="7"/>
        <v>7</v>
      </c>
      <c r="B55" s="1220">
        <f t="shared" si="7"/>
        <v>0</v>
      </c>
      <c r="C55" s="1255">
        <v>0</v>
      </c>
      <c r="D55" s="1255">
        <v>0</v>
      </c>
      <c r="E55" s="1255">
        <v>0</v>
      </c>
      <c r="F55" s="1255">
        <v>0</v>
      </c>
      <c r="G55" s="1255">
        <v>0</v>
      </c>
      <c r="H55" s="1255">
        <v>0</v>
      </c>
      <c r="I55" s="1255">
        <v>0</v>
      </c>
      <c r="J55" s="1255">
        <v>0</v>
      </c>
      <c r="K55" s="1255">
        <v>0</v>
      </c>
      <c r="L55" s="1255">
        <v>0</v>
      </c>
      <c r="M55" s="1256">
        <v>0</v>
      </c>
      <c r="N55" s="303"/>
      <c r="O55" s="303"/>
      <c r="P55" s="303"/>
      <c r="Q55" s="303"/>
      <c r="R55" s="303"/>
    </row>
    <row r="56" spans="1:18">
      <c r="A56" s="280">
        <f t="shared" si="7"/>
        <v>8</v>
      </c>
      <c r="B56" s="1220">
        <f t="shared" si="7"/>
        <v>0</v>
      </c>
      <c r="C56" s="1255">
        <v>0</v>
      </c>
      <c r="D56" s="1255">
        <v>0</v>
      </c>
      <c r="E56" s="1255">
        <v>0</v>
      </c>
      <c r="F56" s="1255">
        <v>0</v>
      </c>
      <c r="G56" s="1255">
        <v>0</v>
      </c>
      <c r="H56" s="1255">
        <v>0</v>
      </c>
      <c r="I56" s="1255">
        <v>0</v>
      </c>
      <c r="J56" s="1255">
        <v>0</v>
      </c>
      <c r="K56" s="1255">
        <v>0</v>
      </c>
      <c r="L56" s="1255">
        <v>0</v>
      </c>
      <c r="M56" s="1256">
        <v>0</v>
      </c>
      <c r="N56" s="303"/>
      <c r="O56" s="303"/>
      <c r="P56" s="303"/>
      <c r="Q56" s="303"/>
      <c r="R56" s="303"/>
    </row>
    <row r="57" spans="1:18">
      <c r="A57" s="280">
        <f t="shared" si="7"/>
        <v>9</v>
      </c>
      <c r="B57" s="1220">
        <f t="shared" si="7"/>
        <v>0</v>
      </c>
      <c r="C57" s="1255">
        <v>0</v>
      </c>
      <c r="D57" s="1255">
        <v>0</v>
      </c>
      <c r="E57" s="1255">
        <v>0</v>
      </c>
      <c r="F57" s="1255">
        <v>0</v>
      </c>
      <c r="G57" s="1255">
        <v>0</v>
      </c>
      <c r="H57" s="1255">
        <v>0</v>
      </c>
      <c r="I57" s="1255">
        <v>0</v>
      </c>
      <c r="J57" s="1255">
        <v>0</v>
      </c>
      <c r="K57" s="1255">
        <v>0</v>
      </c>
      <c r="L57" s="1255">
        <v>0</v>
      </c>
      <c r="M57" s="1256">
        <v>0</v>
      </c>
      <c r="N57" s="303"/>
      <c r="O57" s="303"/>
      <c r="P57" s="303"/>
      <c r="Q57" s="303"/>
      <c r="R57" s="303"/>
    </row>
    <row r="58" spans="1:18">
      <c r="A58" s="280">
        <f t="shared" si="7"/>
        <v>10</v>
      </c>
      <c r="B58" s="1221">
        <f t="shared" si="7"/>
        <v>0</v>
      </c>
      <c r="C58" s="1257">
        <v>0</v>
      </c>
      <c r="D58" s="1257">
        <v>0</v>
      </c>
      <c r="E58" s="1257">
        <v>0</v>
      </c>
      <c r="F58" s="1257">
        <v>0</v>
      </c>
      <c r="G58" s="1257">
        <v>0</v>
      </c>
      <c r="H58" s="1257">
        <v>0</v>
      </c>
      <c r="I58" s="1257">
        <v>0</v>
      </c>
      <c r="J58" s="1257">
        <v>0</v>
      </c>
      <c r="K58" s="1257">
        <v>0</v>
      </c>
      <c r="L58" s="1257">
        <v>0</v>
      </c>
      <c r="M58" s="1258">
        <v>0</v>
      </c>
      <c r="N58" s="303"/>
      <c r="O58" s="303"/>
      <c r="P58" s="303"/>
      <c r="Q58" s="303"/>
      <c r="R58" s="303"/>
    </row>
    <row r="61" spans="1:18" ht="16">
      <c r="A61" s="873" t="s">
        <v>769</v>
      </c>
      <c r="B61" s="299"/>
      <c r="C61" s="299"/>
      <c r="D61" s="299"/>
      <c r="E61" s="285"/>
      <c r="F61" s="300"/>
      <c r="G61" s="301"/>
      <c r="H61" s="301"/>
      <c r="I61" s="217"/>
      <c r="J61" s="217"/>
      <c r="K61" s="217"/>
      <c r="L61" s="217"/>
      <c r="M61" s="217"/>
      <c r="N61" s="301"/>
      <c r="O61" s="301"/>
      <c r="P61" s="301"/>
      <c r="Q61" s="301"/>
      <c r="R61" s="301"/>
    </row>
    <row r="62" spans="1:18">
      <c r="A62" s="675"/>
      <c r="B62" s="299"/>
      <c r="C62" s="299"/>
      <c r="D62" s="299"/>
      <c r="E62" s="285"/>
      <c r="F62" s="300"/>
      <c r="G62" s="301"/>
      <c r="H62" s="301"/>
      <c r="I62" s="217"/>
      <c r="J62" s="217"/>
      <c r="K62" s="217"/>
      <c r="L62" s="217"/>
      <c r="M62" s="217"/>
      <c r="N62" s="301"/>
      <c r="O62" s="301"/>
      <c r="P62" s="301"/>
      <c r="Q62" s="301"/>
      <c r="R62" s="301"/>
    </row>
    <row r="63" spans="1:18" ht="16">
      <c r="A63" s="675"/>
      <c r="B63" s="1429">
        <f>F3</f>
        <v>0</v>
      </c>
      <c r="C63" s="1429"/>
      <c r="D63" s="1429"/>
      <c r="E63" s="1430"/>
      <c r="F63" s="1430"/>
      <c r="G63" s="1430"/>
      <c r="H63" s="1430"/>
      <c r="I63" s="217"/>
      <c r="J63" s="217"/>
      <c r="K63" s="217"/>
      <c r="L63" s="217"/>
      <c r="M63" s="217"/>
      <c r="N63" s="301"/>
      <c r="O63" s="301"/>
      <c r="P63" s="301"/>
      <c r="Q63" s="301"/>
      <c r="R63" s="301"/>
    </row>
    <row r="64" spans="1:18" ht="30">
      <c r="A64" s="865"/>
      <c r="B64" s="1431" t="s">
        <v>743</v>
      </c>
      <c r="C64" s="1431"/>
      <c r="D64" s="866"/>
      <c r="E64" s="867" t="s">
        <v>442</v>
      </c>
      <c r="F64" s="868" t="s">
        <v>592</v>
      </c>
      <c r="G64" s="868" t="s">
        <v>594</v>
      </c>
      <c r="H64" s="869" t="s">
        <v>593</v>
      </c>
      <c r="I64" s="870" t="s">
        <v>768</v>
      </c>
      <c r="J64" s="871" t="s">
        <v>767</v>
      </c>
      <c r="K64" s="217"/>
      <c r="L64" s="217"/>
      <c r="M64" s="217"/>
      <c r="O64" s="302" t="s">
        <v>453</v>
      </c>
      <c r="P64" s="304" t="s">
        <v>451</v>
      </c>
      <c r="Q64" s="302" t="s">
        <v>450</v>
      </c>
      <c r="R64" s="304" t="s">
        <v>452</v>
      </c>
    </row>
    <row r="65" spans="1:18">
      <c r="A65" s="862">
        <v>1</v>
      </c>
      <c r="B65" s="1428" t="s">
        <v>916</v>
      </c>
      <c r="C65" s="1428"/>
      <c r="D65" s="1428"/>
      <c r="E65" s="1245"/>
      <c r="F65" s="1246"/>
      <c r="G65" s="1087">
        <v>0</v>
      </c>
      <c r="H65" s="1087">
        <v>0</v>
      </c>
      <c r="I65" s="433">
        <f t="shared" ref="I65:I74" si="8">+G65-H65</f>
        <v>0</v>
      </c>
      <c r="J65" s="1250">
        <v>0</v>
      </c>
      <c r="K65" s="217"/>
      <c r="L65" s="217"/>
      <c r="M65" s="217"/>
      <c r="O65" s="521">
        <v>0.5</v>
      </c>
      <c r="P65" s="305">
        <f t="shared" ref="P65:P74" si="9">+O65*$G65</f>
        <v>0</v>
      </c>
      <c r="Q65" s="521">
        <v>0.05</v>
      </c>
      <c r="R65" s="217">
        <f t="shared" ref="R65:R74" si="10">+Q65*$G$35</f>
        <v>10</v>
      </c>
    </row>
    <row r="66" spans="1:18">
      <c r="A66" s="1224">
        <v>2</v>
      </c>
      <c r="B66" s="1426"/>
      <c r="C66" s="1426"/>
      <c r="D66" s="1426"/>
      <c r="E66" s="1245"/>
      <c r="F66" s="1246"/>
      <c r="G66" s="1087">
        <v>0</v>
      </c>
      <c r="H66" s="1087">
        <v>0</v>
      </c>
      <c r="I66" s="433">
        <f t="shared" si="8"/>
        <v>0</v>
      </c>
      <c r="J66" s="1251">
        <v>0</v>
      </c>
      <c r="K66" s="217"/>
      <c r="L66" s="217"/>
      <c r="M66" s="217"/>
      <c r="O66" s="521">
        <v>0.5</v>
      </c>
      <c r="P66" s="305">
        <f t="shared" si="9"/>
        <v>0</v>
      </c>
      <c r="Q66" s="521">
        <v>0.05</v>
      </c>
      <c r="R66" s="217">
        <f t="shared" si="10"/>
        <v>10</v>
      </c>
    </row>
    <row r="67" spans="1:18">
      <c r="A67" s="1224">
        <v>3</v>
      </c>
      <c r="B67" s="1426"/>
      <c r="C67" s="1426"/>
      <c r="D67" s="1426"/>
      <c r="E67" s="1245"/>
      <c r="F67" s="1246"/>
      <c r="G67" s="1087">
        <v>0</v>
      </c>
      <c r="H67" s="1087">
        <v>0</v>
      </c>
      <c r="I67" s="433">
        <f t="shared" si="8"/>
        <v>0</v>
      </c>
      <c r="J67" s="1251">
        <v>0</v>
      </c>
      <c r="K67" s="217"/>
      <c r="L67" s="217"/>
      <c r="M67" s="217"/>
      <c r="O67" s="521">
        <v>0.5</v>
      </c>
      <c r="P67" s="305">
        <f t="shared" si="9"/>
        <v>0</v>
      </c>
      <c r="Q67" s="521">
        <v>0.05</v>
      </c>
      <c r="R67" s="217">
        <f t="shared" si="10"/>
        <v>10</v>
      </c>
    </row>
    <row r="68" spans="1:18">
      <c r="A68" s="1224">
        <v>4</v>
      </c>
      <c r="B68" s="1426"/>
      <c r="C68" s="1426"/>
      <c r="D68" s="1426"/>
      <c r="E68" s="1245"/>
      <c r="F68" s="1246"/>
      <c r="G68" s="1087">
        <v>0</v>
      </c>
      <c r="H68" s="1087">
        <v>0</v>
      </c>
      <c r="I68" s="433">
        <f t="shared" si="8"/>
        <v>0</v>
      </c>
      <c r="J68" s="1251">
        <v>0</v>
      </c>
      <c r="K68" s="217"/>
      <c r="L68" s="217"/>
      <c r="M68" s="217"/>
      <c r="O68" s="521">
        <v>0.5</v>
      </c>
      <c r="P68" s="305">
        <f t="shared" si="9"/>
        <v>0</v>
      </c>
      <c r="Q68" s="521">
        <v>0.05</v>
      </c>
      <c r="R68" s="217">
        <f t="shared" si="10"/>
        <v>10</v>
      </c>
    </row>
    <row r="69" spans="1:18">
      <c r="A69" s="1224">
        <v>5</v>
      </c>
      <c r="B69" s="1426"/>
      <c r="C69" s="1426"/>
      <c r="D69" s="1426"/>
      <c r="E69" s="1245"/>
      <c r="F69" s="1246"/>
      <c r="G69" s="1087">
        <v>0</v>
      </c>
      <c r="H69" s="1087">
        <v>0</v>
      </c>
      <c r="I69" s="433">
        <f t="shared" si="8"/>
        <v>0</v>
      </c>
      <c r="J69" s="1251">
        <v>0</v>
      </c>
      <c r="K69" s="217"/>
      <c r="L69" s="217"/>
      <c r="M69" s="217"/>
      <c r="O69" s="521">
        <v>0.5</v>
      </c>
      <c r="P69" s="305">
        <f t="shared" si="9"/>
        <v>0</v>
      </c>
      <c r="Q69" s="521">
        <v>0.05</v>
      </c>
      <c r="R69" s="217">
        <f t="shared" si="10"/>
        <v>10</v>
      </c>
    </row>
    <row r="70" spans="1:18">
      <c r="A70" s="1224">
        <v>6</v>
      </c>
      <c r="B70" s="1426"/>
      <c r="C70" s="1426"/>
      <c r="D70" s="1426"/>
      <c r="E70" s="1245"/>
      <c r="F70" s="1246"/>
      <c r="G70" s="1087">
        <v>0</v>
      </c>
      <c r="H70" s="1087">
        <v>0</v>
      </c>
      <c r="I70" s="433">
        <f t="shared" si="8"/>
        <v>0</v>
      </c>
      <c r="J70" s="1251">
        <v>0</v>
      </c>
      <c r="K70" s="217"/>
      <c r="L70" s="217"/>
      <c r="M70" s="217"/>
      <c r="O70" s="521">
        <v>0.5</v>
      </c>
      <c r="P70" s="305">
        <f t="shared" si="9"/>
        <v>0</v>
      </c>
      <c r="Q70" s="521">
        <v>0.05</v>
      </c>
      <c r="R70" s="217">
        <f t="shared" si="10"/>
        <v>10</v>
      </c>
    </row>
    <row r="71" spans="1:18">
      <c r="A71" s="1224">
        <v>7</v>
      </c>
      <c r="B71" s="1426"/>
      <c r="C71" s="1426"/>
      <c r="D71" s="1426"/>
      <c r="E71" s="1245"/>
      <c r="F71" s="1246"/>
      <c r="G71" s="1087">
        <v>0</v>
      </c>
      <c r="H71" s="1087">
        <v>0</v>
      </c>
      <c r="I71" s="433">
        <f t="shared" si="8"/>
        <v>0</v>
      </c>
      <c r="J71" s="1251">
        <v>0</v>
      </c>
      <c r="K71" s="217"/>
      <c r="L71" s="217"/>
      <c r="M71" s="217"/>
      <c r="O71" s="521">
        <v>0.5</v>
      </c>
      <c r="P71" s="305">
        <f t="shared" si="9"/>
        <v>0</v>
      </c>
      <c r="Q71" s="521">
        <v>0.05</v>
      </c>
      <c r="R71" s="217">
        <f t="shared" si="10"/>
        <v>10</v>
      </c>
    </row>
    <row r="72" spans="1:18">
      <c r="A72" s="1224">
        <v>8</v>
      </c>
      <c r="B72" s="1426"/>
      <c r="C72" s="1426"/>
      <c r="D72" s="1426"/>
      <c r="E72" s="1245"/>
      <c r="F72" s="1246"/>
      <c r="G72" s="1087">
        <v>0</v>
      </c>
      <c r="H72" s="1087">
        <v>0</v>
      </c>
      <c r="I72" s="433">
        <f t="shared" si="8"/>
        <v>0</v>
      </c>
      <c r="J72" s="1251">
        <v>0</v>
      </c>
      <c r="K72" s="217"/>
      <c r="L72" s="217"/>
      <c r="M72" s="217"/>
      <c r="O72" s="521">
        <v>0.5</v>
      </c>
      <c r="P72" s="305">
        <f t="shared" si="9"/>
        <v>0</v>
      </c>
      <c r="Q72" s="521">
        <v>0.05</v>
      </c>
      <c r="R72" s="217">
        <f t="shared" si="10"/>
        <v>10</v>
      </c>
    </row>
    <row r="73" spans="1:18">
      <c r="A73" s="1224">
        <v>9</v>
      </c>
      <c r="B73" s="1426"/>
      <c r="C73" s="1426"/>
      <c r="D73" s="1426"/>
      <c r="E73" s="1245"/>
      <c r="F73" s="1246"/>
      <c r="G73" s="1087">
        <v>0</v>
      </c>
      <c r="H73" s="1087">
        <v>0</v>
      </c>
      <c r="I73" s="433">
        <f t="shared" si="8"/>
        <v>0</v>
      </c>
      <c r="J73" s="1251">
        <v>0</v>
      </c>
      <c r="K73" s="217"/>
      <c r="L73" s="217"/>
      <c r="M73" s="217"/>
      <c r="O73" s="521">
        <v>0.5</v>
      </c>
      <c r="P73" s="305">
        <f t="shared" si="9"/>
        <v>0</v>
      </c>
      <c r="Q73" s="521">
        <v>0.05</v>
      </c>
      <c r="R73" s="217">
        <f t="shared" si="10"/>
        <v>10</v>
      </c>
    </row>
    <row r="74" spans="1:18">
      <c r="A74" s="863">
        <v>10</v>
      </c>
      <c r="B74" s="1427"/>
      <c r="C74" s="1427"/>
      <c r="D74" s="1427"/>
      <c r="E74" s="1247"/>
      <c r="F74" s="1248"/>
      <c r="G74" s="1249">
        <v>0</v>
      </c>
      <c r="H74" s="1249">
        <v>0</v>
      </c>
      <c r="I74" s="864">
        <f t="shared" si="8"/>
        <v>0</v>
      </c>
      <c r="J74" s="1252">
        <v>0</v>
      </c>
      <c r="K74" s="217"/>
      <c r="L74" s="217"/>
      <c r="M74" s="217"/>
      <c r="O74" s="521">
        <v>0.5</v>
      </c>
      <c r="P74" s="305">
        <f t="shared" si="9"/>
        <v>0</v>
      </c>
      <c r="Q74" s="521">
        <v>0.05</v>
      </c>
      <c r="R74" s="217">
        <f t="shared" si="10"/>
        <v>10</v>
      </c>
    </row>
    <row r="75" spans="1:18">
      <c r="A75" s="280"/>
      <c r="B75" s="285"/>
      <c r="C75" s="285"/>
      <c r="D75" s="285"/>
      <c r="E75" s="285"/>
      <c r="F75" s="674"/>
      <c r="G75" s="674">
        <f>SUM(G65:G74)</f>
        <v>0</v>
      </c>
      <c r="H75" s="674">
        <f>SUM(H65:H74)</f>
        <v>0</v>
      </c>
      <c r="I75" s="674">
        <f>SUM(I65:I74)</f>
        <v>0</v>
      </c>
      <c r="J75" s="980" t="e">
        <f>AVERAGEIF(J65:J74,"&gt;0")</f>
        <v>#DIV/0!</v>
      </c>
      <c r="K75" s="674"/>
      <c r="L75" s="674"/>
      <c r="M75" s="674"/>
      <c r="N75" s="674"/>
      <c r="O75" s="605">
        <f>SUM(P65:P74)</f>
        <v>0</v>
      </c>
      <c r="P75" s="605">
        <f>SUM(Q65:Q74)</f>
        <v>0.49999999999999994</v>
      </c>
      <c r="Q75" s="605">
        <f>SUM(R65:R74)</f>
        <v>100</v>
      </c>
      <c r="R75" s="605" t="e">
        <f>SUM(#REF!)</f>
        <v>#REF!</v>
      </c>
    </row>
    <row r="76" spans="1:18" ht="15" thickBot="1">
      <c r="A76" s="280"/>
      <c r="B76" s="285"/>
      <c r="C76" s="285"/>
      <c r="D76" s="285"/>
      <c r="E76" s="285"/>
      <c r="F76" s="674"/>
      <c r="G76" s="674"/>
      <c r="H76" s="674"/>
      <c r="I76" s="674"/>
      <c r="J76" s="980"/>
      <c r="K76" s="674"/>
      <c r="L76" s="674"/>
      <c r="M76" s="674"/>
      <c r="N76" s="674"/>
      <c r="O76" s="674"/>
      <c r="P76" s="674"/>
      <c r="Q76" s="674"/>
      <c r="R76" s="674"/>
    </row>
    <row r="77" spans="1:18" ht="15" thickBot="1">
      <c r="C77" s="659" t="s">
        <v>631</v>
      </c>
      <c r="D77" s="660"/>
      <c r="E77" s="660"/>
      <c r="F77" s="660"/>
      <c r="G77" s="660"/>
      <c r="H77" s="660"/>
      <c r="I77" s="661"/>
      <c r="J77" s="652" t="s">
        <v>632</v>
      </c>
      <c r="K77" s="653"/>
      <c r="L77" s="653"/>
      <c r="M77" s="654"/>
    </row>
    <row r="78" spans="1:18" ht="26">
      <c r="C78" s="655" t="s">
        <v>634</v>
      </c>
      <c r="D78" s="656" t="s">
        <v>635</v>
      </c>
      <c r="E78" s="656" t="s">
        <v>636</v>
      </c>
      <c r="F78" s="656" t="s">
        <v>637</v>
      </c>
      <c r="G78" s="656" t="s">
        <v>638</v>
      </c>
      <c r="H78" s="656" t="s">
        <v>639</v>
      </c>
      <c r="I78" s="657" t="s">
        <v>640</v>
      </c>
      <c r="J78" s="655" t="s">
        <v>453</v>
      </c>
      <c r="K78" s="656" t="s">
        <v>633</v>
      </c>
      <c r="L78" s="656" t="s">
        <v>450</v>
      </c>
      <c r="M78" s="658" t="s">
        <v>449</v>
      </c>
    </row>
    <row r="79" spans="1:18">
      <c r="A79" s="295">
        <f>+A65</f>
        <v>1</v>
      </c>
      <c r="B79" s="1218" t="str">
        <f>+B65</f>
        <v>Test</v>
      </c>
      <c r="C79" s="1259">
        <v>0</v>
      </c>
      <c r="D79" s="1260">
        <v>0</v>
      </c>
      <c r="E79" s="1260">
        <v>0</v>
      </c>
      <c r="F79" s="1260">
        <v>0</v>
      </c>
      <c r="G79" s="1260">
        <v>0</v>
      </c>
      <c r="H79" s="1260">
        <v>0</v>
      </c>
      <c r="I79" s="1260">
        <v>0</v>
      </c>
      <c r="J79" s="1260">
        <v>0</v>
      </c>
      <c r="K79" s="1260">
        <v>0</v>
      </c>
      <c r="L79" s="1260">
        <v>0</v>
      </c>
      <c r="M79" s="1261">
        <v>0</v>
      </c>
    </row>
    <row r="80" spans="1:18">
      <c r="A80" s="295">
        <f t="shared" ref="A80:A88" si="11">+A66</f>
        <v>2</v>
      </c>
      <c r="B80" s="1218">
        <f t="shared" ref="B80:B88" si="12">+B66</f>
        <v>0</v>
      </c>
      <c r="C80" s="1262">
        <v>0</v>
      </c>
      <c r="D80" s="1255">
        <v>0</v>
      </c>
      <c r="E80" s="1255">
        <v>0</v>
      </c>
      <c r="F80" s="1255">
        <v>0</v>
      </c>
      <c r="G80" s="1255">
        <v>0</v>
      </c>
      <c r="H80" s="1255">
        <v>0</v>
      </c>
      <c r="I80" s="1255">
        <v>0</v>
      </c>
      <c r="J80" s="1255">
        <v>0</v>
      </c>
      <c r="K80" s="1255">
        <v>0</v>
      </c>
      <c r="L80" s="1255">
        <v>0</v>
      </c>
      <c r="M80" s="1256">
        <v>0</v>
      </c>
    </row>
    <row r="81" spans="1:13">
      <c r="A81" s="295">
        <f t="shared" si="11"/>
        <v>3</v>
      </c>
      <c r="B81" s="1218">
        <f t="shared" si="12"/>
        <v>0</v>
      </c>
      <c r="C81" s="1262">
        <v>0</v>
      </c>
      <c r="D81" s="1255">
        <v>0</v>
      </c>
      <c r="E81" s="1255">
        <v>0</v>
      </c>
      <c r="F81" s="1255">
        <v>0</v>
      </c>
      <c r="G81" s="1255">
        <v>0</v>
      </c>
      <c r="H81" s="1255">
        <v>0</v>
      </c>
      <c r="I81" s="1255">
        <v>0</v>
      </c>
      <c r="J81" s="1255">
        <v>0</v>
      </c>
      <c r="K81" s="1255">
        <v>0</v>
      </c>
      <c r="L81" s="1255">
        <v>0</v>
      </c>
      <c r="M81" s="1256">
        <v>0</v>
      </c>
    </row>
    <row r="82" spans="1:13">
      <c r="A82" s="295">
        <f t="shared" si="11"/>
        <v>4</v>
      </c>
      <c r="B82" s="1218">
        <f t="shared" si="12"/>
        <v>0</v>
      </c>
      <c r="C82" s="1262">
        <v>0</v>
      </c>
      <c r="D82" s="1255">
        <v>0</v>
      </c>
      <c r="E82" s="1255">
        <v>0</v>
      </c>
      <c r="F82" s="1255">
        <v>0</v>
      </c>
      <c r="G82" s="1255">
        <v>0</v>
      </c>
      <c r="H82" s="1255">
        <v>0</v>
      </c>
      <c r="I82" s="1255">
        <v>0</v>
      </c>
      <c r="J82" s="1255">
        <v>0</v>
      </c>
      <c r="K82" s="1255">
        <v>0</v>
      </c>
      <c r="L82" s="1255">
        <v>0</v>
      </c>
      <c r="M82" s="1256">
        <v>0</v>
      </c>
    </row>
    <row r="83" spans="1:13">
      <c r="A83" s="295">
        <f t="shared" si="11"/>
        <v>5</v>
      </c>
      <c r="B83" s="1218">
        <f t="shared" si="12"/>
        <v>0</v>
      </c>
      <c r="C83" s="1262">
        <v>0</v>
      </c>
      <c r="D83" s="1255">
        <v>0</v>
      </c>
      <c r="E83" s="1255">
        <v>0</v>
      </c>
      <c r="F83" s="1255">
        <v>0</v>
      </c>
      <c r="G83" s="1255">
        <v>0</v>
      </c>
      <c r="H83" s="1255">
        <v>0</v>
      </c>
      <c r="I83" s="1255">
        <v>0</v>
      </c>
      <c r="J83" s="1255">
        <v>0</v>
      </c>
      <c r="K83" s="1255">
        <v>0</v>
      </c>
      <c r="L83" s="1255">
        <v>0</v>
      </c>
      <c r="M83" s="1256">
        <v>0</v>
      </c>
    </row>
    <row r="84" spans="1:13">
      <c r="A84" s="295">
        <f t="shared" si="11"/>
        <v>6</v>
      </c>
      <c r="B84" s="1218">
        <f t="shared" si="12"/>
        <v>0</v>
      </c>
      <c r="C84" s="1262">
        <v>0</v>
      </c>
      <c r="D84" s="1255">
        <v>0</v>
      </c>
      <c r="E84" s="1255">
        <v>0</v>
      </c>
      <c r="F84" s="1255">
        <v>0</v>
      </c>
      <c r="G84" s="1255">
        <v>0</v>
      </c>
      <c r="H84" s="1255">
        <v>0</v>
      </c>
      <c r="I84" s="1255">
        <v>0</v>
      </c>
      <c r="J84" s="1255">
        <v>0</v>
      </c>
      <c r="K84" s="1255">
        <v>0</v>
      </c>
      <c r="L84" s="1255">
        <v>0</v>
      </c>
      <c r="M84" s="1256">
        <v>0</v>
      </c>
    </row>
    <row r="85" spans="1:13">
      <c r="A85" s="295">
        <f t="shared" si="11"/>
        <v>7</v>
      </c>
      <c r="B85" s="1218">
        <f t="shared" si="12"/>
        <v>0</v>
      </c>
      <c r="C85" s="1262">
        <v>0</v>
      </c>
      <c r="D85" s="1255">
        <v>0</v>
      </c>
      <c r="E85" s="1255">
        <v>0</v>
      </c>
      <c r="F85" s="1255">
        <v>0</v>
      </c>
      <c r="G85" s="1255">
        <v>0</v>
      </c>
      <c r="H85" s="1255">
        <v>0</v>
      </c>
      <c r="I85" s="1255">
        <v>0</v>
      </c>
      <c r="J85" s="1255">
        <v>0</v>
      </c>
      <c r="K85" s="1255">
        <v>0</v>
      </c>
      <c r="L85" s="1255">
        <v>0</v>
      </c>
      <c r="M85" s="1256">
        <v>0</v>
      </c>
    </row>
    <row r="86" spans="1:13">
      <c r="A86" s="295">
        <f t="shared" si="11"/>
        <v>8</v>
      </c>
      <c r="B86" s="1218">
        <f t="shared" si="12"/>
        <v>0</v>
      </c>
      <c r="C86" s="1262">
        <v>0</v>
      </c>
      <c r="D86" s="1255">
        <v>0</v>
      </c>
      <c r="E86" s="1255">
        <v>0</v>
      </c>
      <c r="F86" s="1255">
        <v>0</v>
      </c>
      <c r="G86" s="1255">
        <v>0</v>
      </c>
      <c r="H86" s="1255">
        <v>0</v>
      </c>
      <c r="I86" s="1255">
        <v>0</v>
      </c>
      <c r="J86" s="1255">
        <v>0</v>
      </c>
      <c r="K86" s="1255">
        <v>0</v>
      </c>
      <c r="L86" s="1255">
        <v>0</v>
      </c>
      <c r="M86" s="1256">
        <v>0</v>
      </c>
    </row>
    <row r="87" spans="1:13">
      <c r="A87" s="295">
        <f t="shared" si="11"/>
        <v>9</v>
      </c>
      <c r="B87" s="1218">
        <f t="shared" si="12"/>
        <v>0</v>
      </c>
      <c r="C87" s="1262">
        <v>0</v>
      </c>
      <c r="D87" s="1255">
        <v>0</v>
      </c>
      <c r="E87" s="1255">
        <v>0</v>
      </c>
      <c r="F87" s="1255">
        <v>0</v>
      </c>
      <c r="G87" s="1255">
        <v>0</v>
      </c>
      <c r="H87" s="1255">
        <v>0</v>
      </c>
      <c r="I87" s="1255">
        <v>0</v>
      </c>
      <c r="J87" s="1255">
        <v>0</v>
      </c>
      <c r="K87" s="1255">
        <v>0</v>
      </c>
      <c r="L87" s="1255">
        <v>0</v>
      </c>
      <c r="M87" s="1256">
        <v>0</v>
      </c>
    </row>
    <row r="88" spans="1:13">
      <c r="A88" s="295">
        <f t="shared" si="11"/>
        <v>10</v>
      </c>
      <c r="B88" s="1218">
        <f t="shared" si="12"/>
        <v>0</v>
      </c>
      <c r="C88" s="1263">
        <v>0</v>
      </c>
      <c r="D88" s="1257">
        <v>0</v>
      </c>
      <c r="E88" s="1257">
        <v>0</v>
      </c>
      <c r="F88" s="1257">
        <v>0</v>
      </c>
      <c r="G88" s="1257">
        <v>0</v>
      </c>
      <c r="H88" s="1257">
        <v>0</v>
      </c>
      <c r="I88" s="1257">
        <v>0</v>
      </c>
      <c r="J88" s="1257">
        <v>0</v>
      </c>
      <c r="K88" s="1257">
        <v>0</v>
      </c>
      <c r="L88" s="1257">
        <v>0</v>
      </c>
      <c r="M88" s="1258">
        <v>0</v>
      </c>
    </row>
  </sheetData>
  <sheetProtection algorithmName="SHA-512" hashValue="ysUL9k/QxXsWUMc5VZQ2Dc+5jaRQkdTWx7YuSScDSoMvhegVkTqtZyhfDNJ4ixihm1jh876tCz6+JiYGatZ0ag==" saltValue="n9Zcu0yzpgdGR51pfW25uw==" spinCount="100000" sheet="1" selectLockedCells="1"/>
  <protectedRanges>
    <protectedRange sqref="E14:M27" name="Student Input"/>
    <protectedRange sqref="E12:M13" name="Student Input_1"/>
  </protectedRanges>
  <mergeCells count="24">
    <mergeCell ref="B33:H33"/>
    <mergeCell ref="B63:H63"/>
    <mergeCell ref="B34:C34"/>
    <mergeCell ref="B64:C64"/>
    <mergeCell ref="B35:D35"/>
    <mergeCell ref="B36:D36"/>
    <mergeCell ref="B37:D37"/>
    <mergeCell ref="B38:D38"/>
    <mergeCell ref="B39:D39"/>
    <mergeCell ref="B40:D40"/>
    <mergeCell ref="B41:D41"/>
    <mergeCell ref="B42:D42"/>
    <mergeCell ref="B43:D43"/>
    <mergeCell ref="B44:D44"/>
    <mergeCell ref="B65:D65"/>
    <mergeCell ref="B66:D66"/>
    <mergeCell ref="B67:D67"/>
    <mergeCell ref="B68:D68"/>
    <mergeCell ref="B69:D69"/>
    <mergeCell ref="B70:D70"/>
    <mergeCell ref="B71:D71"/>
    <mergeCell ref="B72:D72"/>
    <mergeCell ref="B73:D73"/>
    <mergeCell ref="B74:D74"/>
  </mergeCells>
  <conditionalFormatting sqref="O35:R44">
    <cfRule type="cellIs" dxfId="57" priority="56" stopIfTrue="1" operator="equal">
      <formula>0</formula>
    </cfRule>
  </conditionalFormatting>
  <conditionalFormatting sqref="B15:C27">
    <cfRule type="expression" dxfId="56" priority="59" stopIfTrue="1">
      <formula>MOD(ROW(),2)=0</formula>
    </cfRule>
  </conditionalFormatting>
  <conditionalFormatting sqref="O65:R74">
    <cfRule type="cellIs" dxfId="55" priority="52" stopIfTrue="1" operator="equal">
      <formula>0</formula>
    </cfRule>
  </conditionalFormatting>
  <conditionalFormatting sqref="D15:J27">
    <cfRule type="cellIs" dxfId="54" priority="60" stopIfTrue="1" operator="equal">
      <formula>0</formula>
    </cfRule>
  </conditionalFormatting>
  <conditionalFormatting sqref="D12:D13">
    <cfRule type="cellIs" dxfId="53" priority="61" stopIfTrue="1" operator="equal">
      <formula>0</formula>
    </cfRule>
  </conditionalFormatting>
  <conditionalFormatting sqref="E12:J13">
    <cfRule type="cellIs" dxfId="52" priority="62" stopIfTrue="1" operator="equal">
      <formula>0</formula>
    </cfRule>
  </conditionalFormatting>
  <pageMargins left="0.25" right="0.25" top="0.5" bottom="0.45" header="0.25" footer="0.25"/>
  <pageSetup scale="84" fitToHeight="4" orientation="landscape" r:id="rId1"/>
  <headerFooter>
    <oddHeader xml:space="preserve">&amp;L &amp;C &amp;R </oddHeader>
    <oddFooter>&amp;L&amp;7&amp;D  at &amp;T Mike 702.854.0691&amp;C&amp;7&amp;F  &amp;A&amp;R&amp;7Page &amp;P of &amp;N</oddFooter>
  </headerFooter>
  <rowBreaks count="2" manualBreakCount="2">
    <brk id="30" max="16383" man="1"/>
    <brk id="6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pageSetUpPr fitToPage="1"/>
  </sheetPr>
  <dimension ref="A1:AA1596"/>
  <sheetViews>
    <sheetView showGridLines="0" tabSelected="1" view="pageBreakPreview" topLeftCell="A82" zoomScaleNormal="70" zoomScaleSheetLayoutView="100" workbookViewId="0">
      <selection activeCell="G70" sqref="G70"/>
    </sheetView>
  </sheetViews>
  <sheetFormatPr baseColWidth="10" defaultColWidth="8.83203125" defaultRowHeight="14" outlineLevelRow="3"/>
  <cols>
    <col min="1" max="1" width="8.1640625" style="217" customWidth="1"/>
    <col min="2" max="2" width="47.83203125" style="217" customWidth="1"/>
    <col min="3" max="3" width="17.6640625" style="217" customWidth="1"/>
    <col min="4" max="6" width="13.33203125" style="217" customWidth="1"/>
    <col min="7" max="7" width="15.33203125" style="217" customWidth="1"/>
    <col min="8" max="8" width="16.1640625" style="221" customWidth="1"/>
    <col min="9" max="10" width="21" style="221" customWidth="1"/>
    <col min="11" max="13" width="17" style="217" customWidth="1"/>
    <col min="14" max="14" width="1.6640625" style="217" customWidth="1"/>
    <col min="15" max="18" width="0.33203125" style="217" customWidth="1"/>
    <col min="19" max="19" width="10.83203125" style="217" hidden="1" customWidth="1"/>
    <col min="20" max="20" width="11.33203125" style="217" hidden="1" customWidth="1"/>
    <col min="21" max="24" width="10.6640625" style="217" hidden="1" customWidth="1"/>
    <col min="25" max="16384" width="8.83203125" style="217"/>
  </cols>
  <sheetData>
    <row r="1" spans="1:17" ht="18">
      <c r="A1" s="514" t="s">
        <v>648</v>
      </c>
      <c r="B1" s="215"/>
      <c r="Q1" s="151"/>
    </row>
    <row r="2" spans="1:17" ht="16">
      <c r="A2" s="502" t="str">
        <f>SchoolName</f>
        <v>TEACH Las Vegas</v>
      </c>
      <c r="B2" s="218"/>
    </row>
    <row r="3" spans="1:17">
      <c r="A3" s="220" t="s">
        <v>412</v>
      </c>
      <c r="L3" s="223"/>
    </row>
    <row r="4" spans="1:17">
      <c r="A4" s="222" t="s">
        <v>444</v>
      </c>
    </row>
    <row r="5" spans="1:17">
      <c r="A5" s="200" t="str">
        <f ca="1">CELL("filename")</f>
        <v>/Users/matthewbrown/Desktop/[2021MB-New-CS-Application-Financial-Plan-TEACH REV 21.1.04MB 2021 02 01.xlsx]Enrol Staff &amp; Exp</v>
      </c>
    </row>
    <row r="6" spans="1:17" ht="16">
      <c r="A6" s="276"/>
      <c r="D6" s="277" t="s">
        <v>568</v>
      </c>
      <c r="E6" s="277"/>
      <c r="F6" s="277"/>
      <c r="H6" s="1217">
        <f>Cover!C10</f>
        <v>2021</v>
      </c>
      <c r="K6" s="277"/>
    </row>
    <row r="7" spans="1:17">
      <c r="A7" s="276"/>
      <c r="D7" s="278" t="s">
        <v>399</v>
      </c>
      <c r="E7" s="278"/>
      <c r="F7" s="278"/>
      <c r="H7" s="201">
        <f>+H6+1</f>
        <v>2022</v>
      </c>
      <c r="K7" s="278"/>
    </row>
    <row r="8" spans="1:17">
      <c r="A8" s="276"/>
      <c r="G8" s="530"/>
      <c r="H8" s="529" t="s">
        <v>424</v>
      </c>
      <c r="I8" s="517"/>
      <c r="J8" s="517"/>
      <c r="K8" s="517"/>
      <c r="L8" s="517"/>
      <c r="M8" s="518"/>
    </row>
    <row r="9" spans="1:17">
      <c r="A9" s="276"/>
      <c r="B9" s="223"/>
      <c r="C9" s="141"/>
      <c r="D9" s="141"/>
      <c r="E9" s="141"/>
      <c r="F9" s="141"/>
      <c r="G9" s="1169" t="s">
        <v>717</v>
      </c>
      <c r="H9" s="139" t="s">
        <v>401</v>
      </c>
      <c r="I9" s="139" t="s">
        <v>402</v>
      </c>
      <c r="J9" s="139" t="s">
        <v>403</v>
      </c>
      <c r="K9" s="139" t="s">
        <v>404</v>
      </c>
      <c r="L9" s="139" t="s">
        <v>405</v>
      </c>
      <c r="M9" s="140" t="s">
        <v>406</v>
      </c>
    </row>
    <row r="10" spans="1:17" ht="16">
      <c r="A10" s="276"/>
      <c r="B10" s="281" t="s">
        <v>410</v>
      </c>
      <c r="C10" s="141"/>
      <c r="D10" s="141"/>
      <c r="E10" s="141"/>
      <c r="F10" s="141"/>
      <c r="G10" s="1170">
        <f>+H10-1</f>
        <v>2020</v>
      </c>
      <c r="H10" s="1140">
        <f>+H6</f>
        <v>2021</v>
      </c>
      <c r="I10" s="1141">
        <f>+H11</f>
        <v>2022</v>
      </c>
      <c r="J10" s="1141">
        <f>+I11</f>
        <v>2023</v>
      </c>
      <c r="K10" s="1141">
        <f>+J11</f>
        <v>2024</v>
      </c>
      <c r="L10" s="1141">
        <f>+K11</f>
        <v>2025</v>
      </c>
      <c r="M10" s="1142">
        <f>+L11</f>
        <v>2026</v>
      </c>
    </row>
    <row r="11" spans="1:17" s="221" customFormat="1" ht="16">
      <c r="A11" s="276"/>
      <c r="B11" s="283"/>
      <c r="C11" s="1171" t="s">
        <v>487</v>
      </c>
      <c r="D11" s="1170"/>
      <c r="E11" s="1180"/>
      <c r="F11" s="1180"/>
      <c r="G11" s="1171">
        <f>+H11-1</f>
        <v>2021</v>
      </c>
      <c r="H11" s="1143">
        <f t="shared" ref="H11:M11" si="0">+H10+1</f>
        <v>2022</v>
      </c>
      <c r="I11" s="1144">
        <f t="shared" si="0"/>
        <v>2023</v>
      </c>
      <c r="J11" s="1144">
        <f t="shared" si="0"/>
        <v>2024</v>
      </c>
      <c r="K11" s="1144">
        <f t="shared" si="0"/>
        <v>2025</v>
      </c>
      <c r="L11" s="1144">
        <f t="shared" si="0"/>
        <v>2026</v>
      </c>
      <c r="M11" s="1145">
        <f t="shared" si="0"/>
        <v>2027</v>
      </c>
    </row>
    <row r="12" spans="1:17" s="221" customFormat="1" ht="16">
      <c r="A12" s="276"/>
      <c r="B12" s="384" t="s">
        <v>430</v>
      </c>
      <c r="C12" s="150"/>
      <c r="D12" s="1282"/>
      <c r="E12" s="1172"/>
      <c r="F12" s="1172"/>
      <c r="G12" s="1172"/>
      <c r="H12" s="1173"/>
      <c r="I12" s="1173"/>
      <c r="J12" s="1173"/>
      <c r="K12" s="1173"/>
      <c r="L12" s="1173"/>
      <c r="M12" s="1173"/>
    </row>
    <row r="13" spans="1:17" s="221" customFormat="1" ht="16">
      <c r="A13" s="276">
        <f>ROW()</f>
        <v>13</v>
      </c>
      <c r="B13" s="678" t="s">
        <v>124</v>
      </c>
      <c r="C13" s="264"/>
      <c r="D13" s="264"/>
      <c r="E13" s="264"/>
      <c r="F13" s="264"/>
      <c r="G13" s="1174"/>
      <c r="H13" s="1175"/>
      <c r="I13" s="1175"/>
      <c r="J13" s="1175"/>
      <c r="K13" s="1175"/>
      <c r="L13" s="1175"/>
      <c r="M13" s="1175"/>
    </row>
    <row r="14" spans="1:17" s="221" customFormat="1" ht="16">
      <c r="A14" s="276">
        <f>ROW()</f>
        <v>14</v>
      </c>
      <c r="B14" s="219" t="s">
        <v>408</v>
      </c>
      <c r="G14" s="1176"/>
      <c r="H14" s="1031"/>
      <c r="I14" s="1031"/>
      <c r="J14" s="1031"/>
      <c r="K14" s="1031"/>
      <c r="L14" s="1031"/>
      <c r="M14" s="1031"/>
    </row>
    <row r="15" spans="1:17">
      <c r="A15" s="280">
        <f>ROW()</f>
        <v>15</v>
      </c>
      <c r="B15" s="285" t="s">
        <v>197</v>
      </c>
      <c r="G15" s="1274"/>
      <c r="H15" s="1177">
        <f t="shared" ref="H15:M15" si="1">COUNTIF(H18:H30,"&gt;0")</f>
        <v>8</v>
      </c>
      <c r="I15" s="1178">
        <f t="shared" si="1"/>
        <v>9</v>
      </c>
      <c r="J15" s="1178">
        <f t="shared" si="1"/>
        <v>10</v>
      </c>
      <c r="K15" s="1178">
        <f t="shared" si="1"/>
        <v>11</v>
      </c>
      <c r="L15" s="1178">
        <f t="shared" si="1"/>
        <v>12</v>
      </c>
      <c r="M15" s="1179">
        <f t="shared" si="1"/>
        <v>13</v>
      </c>
    </row>
    <row r="16" spans="1:17">
      <c r="A16" s="280">
        <f>ROW()</f>
        <v>16</v>
      </c>
      <c r="B16" s="287" t="s">
        <v>283</v>
      </c>
      <c r="G16" s="526"/>
      <c r="H16" s="986">
        <v>13</v>
      </c>
      <c r="I16" s="987">
        <v>17</v>
      </c>
      <c r="J16" s="987">
        <v>22</v>
      </c>
      <c r="K16" s="987">
        <v>27</v>
      </c>
      <c r="L16" s="987">
        <v>32</v>
      </c>
      <c r="M16" s="988">
        <v>39</v>
      </c>
    </row>
    <row r="17" spans="1:13">
      <c r="A17" s="1019">
        <f>ROW()</f>
        <v>17</v>
      </c>
      <c r="B17" s="159"/>
      <c r="C17" s="1272"/>
      <c r="D17" s="1272"/>
      <c r="E17" s="1272"/>
      <c r="F17" s="1272"/>
      <c r="G17" s="1273"/>
      <c r="H17" s="1273"/>
      <c r="I17" s="1045"/>
      <c r="J17" s="1045"/>
      <c r="K17" s="1045"/>
      <c r="L17" s="1045"/>
      <c r="M17" s="1045"/>
    </row>
    <row r="18" spans="1:13">
      <c r="A18" s="280">
        <f>ROW()</f>
        <v>18</v>
      </c>
      <c r="B18" s="292" t="s">
        <v>161</v>
      </c>
      <c r="G18" s="522"/>
      <c r="H18" s="981">
        <v>75</v>
      </c>
      <c r="I18" s="981">
        <v>75</v>
      </c>
      <c r="J18" s="981">
        <v>75</v>
      </c>
      <c r="K18" s="981">
        <v>75</v>
      </c>
      <c r="L18" s="981">
        <v>75</v>
      </c>
      <c r="M18" s="981">
        <v>75</v>
      </c>
    </row>
    <row r="19" spans="1:13">
      <c r="A19" s="280">
        <f>ROW()</f>
        <v>19</v>
      </c>
      <c r="B19" s="293" t="s">
        <v>173</v>
      </c>
      <c r="G19" s="523"/>
      <c r="H19" s="982">
        <v>50</v>
      </c>
      <c r="I19" s="982">
        <v>75</v>
      </c>
      <c r="J19" s="982">
        <v>75</v>
      </c>
      <c r="K19" s="982">
        <v>75</v>
      </c>
      <c r="L19" s="982">
        <v>75</v>
      </c>
      <c r="M19" s="982">
        <v>75</v>
      </c>
    </row>
    <row r="20" spans="1:13">
      <c r="A20" s="280">
        <f>ROW()</f>
        <v>20</v>
      </c>
      <c r="B20" s="293" t="s">
        <v>174</v>
      </c>
      <c r="G20" s="523"/>
      <c r="H20" s="1384">
        <v>25</v>
      </c>
      <c r="I20" s="1384">
        <v>50</v>
      </c>
      <c r="J20" s="1384">
        <v>75</v>
      </c>
      <c r="K20" s="1384">
        <v>75</v>
      </c>
      <c r="L20" s="1384">
        <v>75</v>
      </c>
      <c r="M20" s="1384">
        <v>75</v>
      </c>
    </row>
    <row r="21" spans="1:13">
      <c r="A21" s="280">
        <f>ROW()</f>
        <v>21</v>
      </c>
      <c r="B21" s="293" t="s">
        <v>175</v>
      </c>
      <c r="G21" s="523"/>
      <c r="H21" s="1384">
        <v>25</v>
      </c>
      <c r="I21" s="1384">
        <v>25</v>
      </c>
      <c r="J21" s="1384">
        <v>50</v>
      </c>
      <c r="K21" s="1384">
        <v>75</v>
      </c>
      <c r="L21" s="1384">
        <v>75</v>
      </c>
      <c r="M21" s="1384">
        <v>75</v>
      </c>
    </row>
    <row r="22" spans="1:13">
      <c r="A22" s="280">
        <f>ROW()</f>
        <v>22</v>
      </c>
      <c r="B22" s="293" t="s">
        <v>176</v>
      </c>
      <c r="G22" s="523"/>
      <c r="H22" s="1384">
        <v>25</v>
      </c>
      <c r="I22" s="1384">
        <v>25</v>
      </c>
      <c r="J22" s="1384">
        <v>25</v>
      </c>
      <c r="K22" s="1384">
        <v>50</v>
      </c>
      <c r="L22" s="1384">
        <v>75</v>
      </c>
      <c r="M22" s="1384">
        <v>75</v>
      </c>
    </row>
    <row r="23" spans="1:13">
      <c r="A23" s="280">
        <f>ROW()</f>
        <v>23</v>
      </c>
      <c r="B23" s="293" t="s">
        <v>177</v>
      </c>
      <c r="G23" s="524"/>
      <c r="H23" s="982">
        <v>25</v>
      </c>
      <c r="I23" s="982">
        <v>25</v>
      </c>
      <c r="J23" s="982">
        <v>25</v>
      </c>
      <c r="K23" s="982">
        <v>25</v>
      </c>
      <c r="L23" s="982">
        <v>50</v>
      </c>
      <c r="M23" s="982">
        <v>75</v>
      </c>
    </row>
    <row r="24" spans="1:13">
      <c r="A24" s="280">
        <f>ROW()</f>
        <v>24</v>
      </c>
      <c r="B24" s="293" t="s">
        <v>178</v>
      </c>
      <c r="G24" s="524"/>
      <c r="H24" s="982">
        <v>50</v>
      </c>
      <c r="I24" s="983">
        <v>50</v>
      </c>
      <c r="J24" s="983">
        <v>50</v>
      </c>
      <c r="K24" s="983">
        <v>50</v>
      </c>
      <c r="L24" s="983">
        <v>50</v>
      </c>
      <c r="M24" s="983">
        <v>75</v>
      </c>
    </row>
    <row r="25" spans="1:13">
      <c r="A25" s="280">
        <f>ROW()</f>
        <v>25</v>
      </c>
      <c r="B25" s="293" t="s">
        <v>179</v>
      </c>
      <c r="G25" s="524"/>
      <c r="H25" s="982">
        <v>50</v>
      </c>
      <c r="I25" s="983">
        <v>50</v>
      </c>
      <c r="J25" s="983">
        <v>50</v>
      </c>
      <c r="K25" s="983">
        <v>50</v>
      </c>
      <c r="L25" s="983">
        <v>50</v>
      </c>
      <c r="M25" s="983">
        <v>75</v>
      </c>
    </row>
    <row r="26" spans="1:13">
      <c r="A26" s="280">
        <f>ROW()</f>
        <v>26</v>
      </c>
      <c r="B26" s="293" t="s">
        <v>180</v>
      </c>
      <c r="G26" s="524"/>
      <c r="H26" s="982">
        <v>0</v>
      </c>
      <c r="I26" s="983">
        <v>50</v>
      </c>
      <c r="J26" s="983">
        <v>50</v>
      </c>
      <c r="K26" s="983">
        <v>50</v>
      </c>
      <c r="L26" s="983">
        <v>50</v>
      </c>
      <c r="M26" s="983">
        <v>75</v>
      </c>
    </row>
    <row r="27" spans="1:13">
      <c r="A27" s="280">
        <f>ROW()</f>
        <v>27</v>
      </c>
      <c r="B27" s="293" t="s">
        <v>181</v>
      </c>
      <c r="G27" s="524"/>
      <c r="H27" s="982">
        <v>0</v>
      </c>
      <c r="I27" s="983">
        <v>0</v>
      </c>
      <c r="J27" s="983">
        <v>75</v>
      </c>
      <c r="K27" s="983">
        <v>75</v>
      </c>
      <c r="L27" s="983">
        <v>75</v>
      </c>
      <c r="M27" s="983">
        <v>75</v>
      </c>
    </row>
    <row r="28" spans="1:13">
      <c r="A28" s="280">
        <f>ROW()</f>
        <v>28</v>
      </c>
      <c r="B28" s="293" t="s">
        <v>182</v>
      </c>
      <c r="G28" s="524"/>
      <c r="H28" s="982">
        <v>0</v>
      </c>
      <c r="I28" s="983">
        <v>0</v>
      </c>
      <c r="J28" s="983">
        <v>0</v>
      </c>
      <c r="K28" s="983">
        <v>75</v>
      </c>
      <c r="L28" s="983">
        <v>75</v>
      </c>
      <c r="M28" s="983">
        <v>75</v>
      </c>
    </row>
    <row r="29" spans="1:13">
      <c r="A29" s="280">
        <f>ROW()</f>
        <v>29</v>
      </c>
      <c r="B29" s="293" t="s">
        <v>183</v>
      </c>
      <c r="G29" s="524"/>
      <c r="H29" s="982">
        <v>0</v>
      </c>
      <c r="I29" s="983">
        <v>0</v>
      </c>
      <c r="J29" s="983">
        <v>0</v>
      </c>
      <c r="K29" s="983">
        <v>0</v>
      </c>
      <c r="L29" s="983">
        <v>75</v>
      </c>
      <c r="M29" s="983">
        <v>75</v>
      </c>
    </row>
    <row r="30" spans="1:13">
      <c r="A30" s="280">
        <f>ROW()</f>
        <v>30</v>
      </c>
      <c r="B30" s="293" t="s">
        <v>184</v>
      </c>
      <c r="G30" s="525"/>
      <c r="H30" s="984">
        <v>0</v>
      </c>
      <c r="I30" s="985">
        <v>0</v>
      </c>
      <c r="J30" s="985">
        <v>0</v>
      </c>
      <c r="K30" s="985">
        <v>0</v>
      </c>
      <c r="L30" s="985">
        <v>0</v>
      </c>
      <c r="M30" s="985">
        <v>75</v>
      </c>
    </row>
    <row r="31" spans="1:13">
      <c r="A31" s="280">
        <f>ROW()</f>
        <v>31</v>
      </c>
      <c r="B31" s="296" t="s">
        <v>185</v>
      </c>
      <c r="C31" s="517"/>
      <c r="D31" s="517"/>
      <c r="E31" s="517"/>
      <c r="F31" s="517"/>
      <c r="G31" s="527"/>
      <c r="H31" s="527">
        <f t="shared" ref="H31:M31" si="2">SUM(H18:H30)</f>
        <v>325</v>
      </c>
      <c r="I31" s="298">
        <f t="shared" si="2"/>
        <v>425</v>
      </c>
      <c r="J31" s="298">
        <f t="shared" si="2"/>
        <v>550</v>
      </c>
      <c r="K31" s="298">
        <f t="shared" si="2"/>
        <v>675</v>
      </c>
      <c r="L31" s="298">
        <f t="shared" si="2"/>
        <v>800</v>
      </c>
      <c r="M31" s="298">
        <f t="shared" si="2"/>
        <v>975</v>
      </c>
    </row>
    <row r="32" spans="1:13">
      <c r="A32" s="280">
        <f>ROW()</f>
        <v>32</v>
      </c>
      <c r="B32" s="285" t="s">
        <v>622</v>
      </c>
      <c r="G32" s="515"/>
      <c r="H32" s="694">
        <f>IFERROR(H31/H16,0)</f>
        <v>25</v>
      </c>
      <c r="I32" s="694">
        <f t="shared" ref="I32:M32" si="3">IFERROR(I31/I16,0)</f>
        <v>25</v>
      </c>
      <c r="J32" s="694">
        <f t="shared" si="3"/>
        <v>25</v>
      </c>
      <c r="K32" s="694">
        <f t="shared" si="3"/>
        <v>25</v>
      </c>
      <c r="L32" s="694">
        <f t="shared" si="3"/>
        <v>25</v>
      </c>
      <c r="M32" s="694">
        <f t="shared" si="3"/>
        <v>25</v>
      </c>
    </row>
    <row r="33" spans="1:18">
      <c r="A33" s="280">
        <f>ROW()</f>
        <v>33</v>
      </c>
      <c r="B33" s="504" t="s">
        <v>556</v>
      </c>
      <c r="G33" s="1275"/>
      <c r="H33" s="646">
        <v>0</v>
      </c>
      <c r="I33" s="647">
        <f>SUM(H18:H30)/SUM(I18:I30)</f>
        <v>0.76470588235294112</v>
      </c>
      <c r="J33" s="647">
        <f t="shared" ref="J33:M33" si="4">SUM(I18:I30)/SUM(J18:J30)</f>
        <v>0.77272727272727271</v>
      </c>
      <c r="K33" s="647">
        <f t="shared" si="4"/>
        <v>0.81481481481481477</v>
      </c>
      <c r="L33" s="647">
        <f t="shared" si="4"/>
        <v>0.84375</v>
      </c>
      <c r="M33" s="647">
        <f t="shared" si="4"/>
        <v>0.82051282051282048</v>
      </c>
    </row>
    <row r="34" spans="1:18">
      <c r="A34" s="280">
        <f>ROW()</f>
        <v>34</v>
      </c>
      <c r="B34" s="504" t="s">
        <v>627</v>
      </c>
      <c r="G34" s="301"/>
      <c r="H34" s="391">
        <f t="shared" ref="H34:M34" si="5">+H31*(1-H33)</f>
        <v>325</v>
      </c>
      <c r="I34" s="391">
        <f t="shared" si="5"/>
        <v>100.00000000000003</v>
      </c>
      <c r="J34" s="391">
        <f t="shared" si="5"/>
        <v>125.00000000000001</v>
      </c>
      <c r="K34" s="391">
        <f t="shared" si="5"/>
        <v>125.00000000000003</v>
      </c>
      <c r="L34" s="391">
        <f t="shared" si="5"/>
        <v>125</v>
      </c>
      <c r="M34" s="391">
        <f t="shared" si="5"/>
        <v>175.00000000000003</v>
      </c>
    </row>
    <row r="35" spans="1:18">
      <c r="A35" s="280">
        <f>ROW()</f>
        <v>35</v>
      </c>
      <c r="B35" s="504"/>
      <c r="G35" s="301"/>
      <c r="H35" s="301"/>
      <c r="I35" s="301"/>
      <c r="J35" s="301"/>
      <c r="K35" s="301"/>
      <c r="L35" s="301"/>
      <c r="M35" s="301"/>
    </row>
    <row r="36" spans="1:18">
      <c r="A36" s="280">
        <f>ROW()</f>
        <v>36</v>
      </c>
      <c r="B36" s="293" t="s">
        <v>561</v>
      </c>
      <c r="C36" s="597"/>
      <c r="D36" s="597"/>
      <c r="E36" s="597"/>
      <c r="F36" s="597"/>
      <c r="G36" s="598"/>
      <c r="H36" s="648">
        <v>0.92</v>
      </c>
      <c r="I36" s="648">
        <v>0.92</v>
      </c>
      <c r="J36" s="648">
        <v>0.92</v>
      </c>
      <c r="K36" s="648">
        <v>0.92</v>
      </c>
      <c r="L36" s="648">
        <v>0.92</v>
      </c>
      <c r="M36" s="648">
        <v>0.92</v>
      </c>
    </row>
    <row r="37" spans="1:18">
      <c r="A37" s="280">
        <f>ROW()</f>
        <v>37</v>
      </c>
      <c r="B37" s="293" t="s">
        <v>557</v>
      </c>
      <c r="C37" s="597"/>
      <c r="D37" s="597"/>
      <c r="E37" s="597"/>
      <c r="F37" s="597"/>
      <c r="G37" s="1181"/>
      <c r="H37" s="1181">
        <f t="shared" ref="H37:M37" si="6">+H$31*H36</f>
        <v>299</v>
      </c>
      <c r="I37" s="1181">
        <f t="shared" si="6"/>
        <v>391</v>
      </c>
      <c r="J37" s="1181">
        <f t="shared" si="6"/>
        <v>506</v>
      </c>
      <c r="K37" s="1181">
        <f t="shared" si="6"/>
        <v>621</v>
      </c>
      <c r="L37" s="1181">
        <f t="shared" si="6"/>
        <v>736</v>
      </c>
      <c r="M37" s="1181">
        <f t="shared" si="6"/>
        <v>897</v>
      </c>
    </row>
    <row r="38" spans="1:18">
      <c r="A38" s="280">
        <f>ROW()</f>
        <v>38</v>
      </c>
      <c r="B38" s="293" t="s">
        <v>560</v>
      </c>
      <c r="C38" s="597"/>
      <c r="D38" s="597"/>
      <c r="E38" s="597"/>
      <c r="F38" s="597"/>
      <c r="G38" s="598"/>
      <c r="H38" s="648">
        <v>0.2</v>
      </c>
      <c r="I38" s="648">
        <v>0.2</v>
      </c>
      <c r="J38" s="648">
        <v>0.2</v>
      </c>
      <c r="K38" s="648">
        <v>0.2</v>
      </c>
      <c r="L38" s="648">
        <v>0.2</v>
      </c>
      <c r="M38" s="648">
        <v>0.2</v>
      </c>
    </row>
    <row r="39" spans="1:18">
      <c r="A39" s="280">
        <f>ROW()</f>
        <v>39</v>
      </c>
      <c r="B39" s="293" t="s">
        <v>558</v>
      </c>
      <c r="C39" s="597"/>
      <c r="D39" s="597"/>
      <c r="E39" s="597"/>
      <c r="F39" s="597"/>
      <c r="G39" s="1181"/>
      <c r="H39" s="1181">
        <f t="shared" ref="H39:M39" si="7">+H$31*H38</f>
        <v>65</v>
      </c>
      <c r="I39" s="1181">
        <f t="shared" si="7"/>
        <v>85</v>
      </c>
      <c r="J39" s="1181">
        <f t="shared" si="7"/>
        <v>110</v>
      </c>
      <c r="K39" s="1181">
        <f t="shared" si="7"/>
        <v>135</v>
      </c>
      <c r="L39" s="1181">
        <f t="shared" si="7"/>
        <v>160</v>
      </c>
      <c r="M39" s="1181">
        <f t="shared" si="7"/>
        <v>195</v>
      </c>
    </row>
    <row r="40" spans="1:18">
      <c r="A40" s="280">
        <f>ROW()</f>
        <v>40</v>
      </c>
      <c r="B40" s="293" t="s">
        <v>559</v>
      </c>
      <c r="C40" s="597"/>
      <c r="D40" s="597"/>
      <c r="E40" s="597"/>
      <c r="F40" s="597"/>
      <c r="G40" s="598"/>
      <c r="H40" s="648">
        <v>0.18</v>
      </c>
      <c r="I40" s="648">
        <v>0.18</v>
      </c>
      <c r="J40" s="648">
        <v>0.18</v>
      </c>
      <c r="K40" s="648">
        <v>0.18</v>
      </c>
      <c r="L40" s="648">
        <v>0.18</v>
      </c>
      <c r="M40" s="648">
        <v>0.18</v>
      </c>
    </row>
    <row r="41" spans="1:18">
      <c r="A41" s="280">
        <f>ROW()</f>
        <v>41</v>
      </c>
      <c r="B41" s="293" t="s">
        <v>562</v>
      </c>
      <c r="C41" s="597"/>
      <c r="D41" s="597"/>
      <c r="E41" s="597"/>
      <c r="F41" s="597"/>
      <c r="G41" s="1181"/>
      <c r="H41" s="1181">
        <f t="shared" ref="H41:M41" si="8">+H$31*H40</f>
        <v>58.5</v>
      </c>
      <c r="I41" s="1181">
        <f t="shared" si="8"/>
        <v>76.5</v>
      </c>
      <c r="J41" s="1181">
        <f t="shared" si="8"/>
        <v>99</v>
      </c>
      <c r="K41" s="1181">
        <f t="shared" si="8"/>
        <v>121.5</v>
      </c>
      <c r="L41" s="1181">
        <f t="shared" si="8"/>
        <v>144</v>
      </c>
      <c r="M41" s="1181">
        <f t="shared" si="8"/>
        <v>175.5</v>
      </c>
    </row>
    <row r="42" spans="1:18">
      <c r="A42" s="280">
        <f>ROW()</f>
        <v>42</v>
      </c>
      <c r="B42" s="293" t="s">
        <v>563</v>
      </c>
      <c r="C42" s="597"/>
      <c r="D42" s="597"/>
      <c r="E42" s="597"/>
      <c r="F42" s="597"/>
      <c r="G42" s="599"/>
      <c r="H42" s="649">
        <v>1</v>
      </c>
      <c r="I42" s="650">
        <v>1</v>
      </c>
      <c r="J42" s="650">
        <v>2</v>
      </c>
      <c r="K42" s="650">
        <v>2</v>
      </c>
      <c r="L42" s="650">
        <v>3</v>
      </c>
      <c r="M42" s="650">
        <v>4</v>
      </c>
    </row>
    <row r="43" spans="1:18">
      <c r="A43" s="280">
        <f>ROW()</f>
        <v>43</v>
      </c>
      <c r="B43" s="293" t="s">
        <v>591</v>
      </c>
      <c r="C43" s="597"/>
      <c r="D43" s="597"/>
      <c r="E43" s="597"/>
      <c r="F43" s="597"/>
      <c r="G43" s="1276"/>
      <c r="H43" s="1182">
        <f>IFERROR(H41/H42,0)</f>
        <v>58.5</v>
      </c>
      <c r="I43" s="1182">
        <f t="shared" ref="I43:M43" si="9">IFERROR(I41/I42,0)</f>
        <v>76.5</v>
      </c>
      <c r="J43" s="1182">
        <f t="shared" si="9"/>
        <v>49.5</v>
      </c>
      <c r="K43" s="1182">
        <f t="shared" si="9"/>
        <v>60.75</v>
      </c>
      <c r="L43" s="1182">
        <f t="shared" si="9"/>
        <v>48</v>
      </c>
      <c r="M43" s="1182">
        <f t="shared" si="9"/>
        <v>43.875</v>
      </c>
    </row>
    <row r="44" spans="1:18">
      <c r="A44" s="280">
        <f>ROW()</f>
        <v>44</v>
      </c>
      <c r="B44" s="285"/>
      <c r="C44" s="285"/>
      <c r="D44" s="285"/>
      <c r="E44" s="285"/>
      <c r="F44" s="285"/>
      <c r="G44" s="285"/>
      <c r="H44" s="285"/>
      <c r="I44" s="282"/>
      <c r="J44" s="282"/>
      <c r="K44" s="303"/>
      <c r="L44" s="528"/>
      <c r="M44" s="303"/>
      <c r="N44" s="303"/>
      <c r="O44" s="303"/>
      <c r="P44" s="303"/>
      <c r="Q44" s="303"/>
      <c r="R44" s="303"/>
    </row>
    <row r="45" spans="1:18">
      <c r="A45" s="280">
        <f>ROW()</f>
        <v>45</v>
      </c>
      <c r="B45" s="285" t="s">
        <v>351</v>
      </c>
      <c r="C45" s="388">
        <f>VLOOKUP(C57,'DSA Rates'!A10:F27,4,FALSE)</f>
        <v>7242.9499619081098</v>
      </c>
      <c r="D45" s="285" t="s">
        <v>152</v>
      </c>
      <c r="E45" s="733"/>
      <c r="F45" s="733"/>
      <c r="I45" s="282"/>
      <c r="J45" s="282"/>
      <c r="K45" s="389"/>
      <c r="L45" s="389"/>
      <c r="M45" s="389"/>
      <c r="N45" s="389"/>
      <c r="O45" s="389"/>
      <c r="P45" s="389"/>
      <c r="Q45" s="389"/>
      <c r="R45" s="389"/>
    </row>
    <row r="46" spans="1:18">
      <c r="A46" s="280">
        <f>ROW()</f>
        <v>46</v>
      </c>
      <c r="B46" s="285" t="s">
        <v>359</v>
      </c>
      <c r="C46" s="625">
        <v>1.03</v>
      </c>
      <c r="D46" s="159" t="s">
        <v>360</v>
      </c>
      <c r="E46" s="733"/>
      <c r="F46" s="733"/>
      <c r="I46" s="282"/>
      <c r="J46" s="282"/>
      <c r="K46" s="285"/>
      <c r="L46" s="285"/>
      <c r="M46" s="285"/>
      <c r="N46" s="285"/>
      <c r="O46" s="285"/>
      <c r="P46" s="285"/>
      <c r="Q46" s="285"/>
      <c r="R46" s="285"/>
    </row>
    <row r="47" spans="1:18">
      <c r="A47" s="280">
        <f>ROW()</f>
        <v>47</v>
      </c>
      <c r="B47" s="285" t="s">
        <v>407</v>
      </c>
      <c r="C47" s="1185">
        <v>3500</v>
      </c>
      <c r="D47" s="1183" t="s">
        <v>358</v>
      </c>
      <c r="E47" s="733"/>
      <c r="F47" s="733"/>
      <c r="I47" s="390"/>
      <c r="J47" s="390"/>
      <c r="K47" s="285"/>
      <c r="L47" s="285"/>
      <c r="M47" s="285"/>
      <c r="N47" s="285"/>
      <c r="O47" s="285"/>
      <c r="P47" s="285"/>
      <c r="Q47" s="285"/>
      <c r="R47" s="285"/>
    </row>
    <row r="48" spans="1:18">
      <c r="A48" s="280">
        <f>ROW()</f>
        <v>48</v>
      </c>
      <c r="B48" s="285"/>
      <c r="C48" s="1186"/>
      <c r="D48" s="1063"/>
      <c r="E48" s="733"/>
      <c r="F48" s="733"/>
      <c r="I48" s="229"/>
      <c r="J48" s="229"/>
      <c r="K48" s="391"/>
      <c r="L48" s="391"/>
      <c r="M48" s="391"/>
      <c r="N48" s="391"/>
      <c r="O48" s="391"/>
      <c r="P48" s="391"/>
      <c r="Q48" s="391"/>
      <c r="R48" s="391"/>
    </row>
    <row r="49" spans="1:18">
      <c r="A49" s="280">
        <f>ROW()</f>
        <v>49</v>
      </c>
      <c r="B49" s="285" t="s">
        <v>356</v>
      </c>
      <c r="C49" s="1185">
        <v>700</v>
      </c>
      <c r="D49" s="1183" t="s">
        <v>354</v>
      </c>
      <c r="E49" s="733"/>
      <c r="F49" s="733"/>
      <c r="I49" s="390"/>
      <c r="J49" s="390"/>
      <c r="K49" s="303"/>
      <c r="L49" s="303"/>
      <c r="M49" s="303"/>
      <c r="N49" s="303"/>
      <c r="O49" s="303"/>
      <c r="P49" s="303"/>
      <c r="Q49" s="303"/>
      <c r="R49" s="303"/>
    </row>
    <row r="50" spans="1:18">
      <c r="A50" s="280">
        <f>ROW()</f>
        <v>50</v>
      </c>
      <c r="B50" s="285" t="s">
        <v>353</v>
      </c>
      <c r="C50" s="1185">
        <v>0</v>
      </c>
      <c r="D50" s="1183" t="s">
        <v>357</v>
      </c>
      <c r="E50" s="733"/>
      <c r="F50" s="733"/>
      <c r="I50" s="390"/>
      <c r="J50" s="390"/>
      <c r="K50" s="303"/>
      <c r="L50" s="303"/>
      <c r="M50" s="303"/>
      <c r="N50" s="303"/>
      <c r="O50" s="303"/>
      <c r="P50" s="303"/>
      <c r="Q50" s="303"/>
      <c r="R50" s="303"/>
    </row>
    <row r="51" spans="1:18">
      <c r="A51" s="280">
        <f>ROW()</f>
        <v>51</v>
      </c>
      <c r="B51" s="285" t="s">
        <v>352</v>
      </c>
      <c r="C51" s="1185">
        <v>0</v>
      </c>
      <c r="D51" s="1183" t="s">
        <v>355</v>
      </c>
      <c r="E51" s="733"/>
      <c r="F51" s="733"/>
      <c r="I51" s="390"/>
      <c r="J51" s="390"/>
      <c r="K51" s="303"/>
      <c r="L51" s="303"/>
      <c r="M51" s="303"/>
      <c r="N51" s="303"/>
      <c r="O51" s="303"/>
      <c r="P51" s="303"/>
      <c r="Q51" s="303"/>
      <c r="R51" s="303"/>
    </row>
    <row r="52" spans="1:18">
      <c r="A52" s="280">
        <f>ROW()</f>
        <v>52</v>
      </c>
      <c r="B52" s="285" t="s">
        <v>227</v>
      </c>
      <c r="C52" s="622">
        <v>1060</v>
      </c>
      <c r="D52" s="159" t="s">
        <v>228</v>
      </c>
      <c r="E52" s="733"/>
      <c r="F52" s="733"/>
      <c r="I52" s="282"/>
      <c r="J52" s="282"/>
      <c r="K52" s="285"/>
      <c r="L52" s="285"/>
      <c r="M52" s="285"/>
      <c r="N52" s="285"/>
      <c r="O52" s="285"/>
      <c r="P52" s="285"/>
      <c r="Q52" s="285"/>
      <c r="R52" s="285"/>
    </row>
    <row r="53" spans="1:18">
      <c r="A53" s="280">
        <f>ROW()</f>
        <v>53</v>
      </c>
      <c r="B53" s="285" t="s">
        <v>239</v>
      </c>
      <c r="C53" s="623" t="s">
        <v>363</v>
      </c>
      <c r="D53" s="159" t="s">
        <v>240</v>
      </c>
      <c r="E53" s="733"/>
      <c r="F53" s="733"/>
      <c r="H53" s="610"/>
      <c r="I53" s="282"/>
      <c r="J53" s="282"/>
      <c r="K53" s="285"/>
      <c r="L53" s="285"/>
      <c r="M53" s="285"/>
      <c r="N53" s="285"/>
      <c r="O53" s="285"/>
      <c r="P53" s="285"/>
      <c r="Q53" s="285"/>
      <c r="R53" s="285"/>
    </row>
    <row r="54" spans="1:18">
      <c r="A54" s="280">
        <f>ROW()</f>
        <v>54</v>
      </c>
      <c r="B54" s="285" t="s">
        <v>238</v>
      </c>
      <c r="C54" s="624">
        <v>0</v>
      </c>
      <c r="D54" s="159" t="s">
        <v>5</v>
      </c>
      <c r="E54" s="733"/>
      <c r="F54" s="733"/>
      <c r="H54" s="610"/>
      <c r="I54" s="282"/>
      <c r="J54" s="282"/>
      <c r="K54" s="285"/>
      <c r="L54" s="285"/>
      <c r="M54" s="285"/>
      <c r="N54" s="285"/>
      <c r="O54" s="285"/>
      <c r="P54" s="285"/>
      <c r="Q54" s="285"/>
      <c r="R54" s="285"/>
    </row>
    <row r="55" spans="1:18">
      <c r="A55" s="280">
        <f>ROW()</f>
        <v>55</v>
      </c>
      <c r="B55" s="285" t="s">
        <v>8</v>
      </c>
      <c r="C55" s="624">
        <v>0</v>
      </c>
      <c r="D55" s="159" t="s">
        <v>5</v>
      </c>
      <c r="E55" s="733"/>
      <c r="F55" s="733"/>
      <c r="I55" s="282"/>
      <c r="J55" s="282"/>
      <c r="K55" s="285"/>
      <c r="L55" s="285"/>
      <c r="M55" s="285"/>
      <c r="N55" s="285"/>
      <c r="O55" s="285"/>
      <c r="P55" s="285"/>
      <c r="Q55" s="285"/>
      <c r="R55" s="285"/>
    </row>
    <row r="56" spans="1:18">
      <c r="A56" s="280">
        <f>ROW()</f>
        <v>56</v>
      </c>
      <c r="B56" s="285" t="s">
        <v>74</v>
      </c>
      <c r="C56" s="624">
        <v>0</v>
      </c>
      <c r="D56" s="159" t="s">
        <v>68</v>
      </c>
      <c r="E56" s="733"/>
      <c r="F56" s="733"/>
      <c r="H56" s="609"/>
      <c r="I56" s="282"/>
      <c r="J56" s="282"/>
      <c r="K56" s="285"/>
      <c r="L56" s="285"/>
      <c r="M56" s="285"/>
      <c r="N56" s="285"/>
      <c r="O56" s="285"/>
      <c r="P56" s="285"/>
      <c r="Q56" s="285"/>
      <c r="R56" s="285"/>
    </row>
    <row r="57" spans="1:18">
      <c r="A57" s="280">
        <f>ROW()</f>
        <v>57</v>
      </c>
      <c r="B57" s="299" t="s">
        <v>258</v>
      </c>
      <c r="C57" s="535" t="s">
        <v>288</v>
      </c>
      <c r="D57" s="734"/>
      <c r="E57" s="733"/>
      <c r="F57" s="733"/>
      <c r="G57" s="285"/>
      <c r="H57" s="608"/>
      <c r="I57" s="282"/>
      <c r="J57" s="282"/>
      <c r="K57" s="285"/>
      <c r="L57" s="285"/>
      <c r="M57" s="285"/>
      <c r="N57" s="285"/>
      <c r="O57" s="285"/>
      <c r="P57" s="285"/>
      <c r="Q57" s="285"/>
      <c r="R57" s="285"/>
    </row>
    <row r="58" spans="1:18">
      <c r="A58" s="276">
        <f>ROW()</f>
        <v>58</v>
      </c>
      <c r="B58" s="378"/>
      <c r="C58" s="378"/>
      <c r="D58" s="462"/>
      <c r="E58" s="733"/>
      <c r="F58" s="733"/>
      <c r="G58" s="385"/>
      <c r="H58" s="427"/>
      <c r="I58" s="282"/>
      <c r="J58" s="282"/>
      <c r="K58" s="392"/>
      <c r="L58" s="392"/>
      <c r="M58" s="392"/>
      <c r="N58" s="392"/>
      <c r="O58" s="392"/>
      <c r="P58" s="392"/>
      <c r="Q58" s="392"/>
      <c r="R58" s="392"/>
    </row>
    <row r="59" spans="1:18">
      <c r="A59" s="276">
        <f>ROW()</f>
        <v>59</v>
      </c>
      <c r="B59" s="217" t="s">
        <v>312</v>
      </c>
      <c r="C59" s="533">
        <f t="shared" ref="C59:C75" si="10">SUM(H59:M59)</f>
        <v>29801371.088509839</v>
      </c>
      <c r="D59" s="1184"/>
      <c r="E59" s="733"/>
      <c r="F59" s="733"/>
      <c r="G59" s="531"/>
      <c r="H59" s="393">
        <f>($C$45*H31)</f>
        <v>2353958.7376201358</v>
      </c>
      <c r="I59" s="393">
        <f>($C$45*$C$46^(I11-$H$11))*I31</f>
        <v>3170601.3458252749</v>
      </c>
      <c r="J59" s="393">
        <f>($C$45*$C$46^(J11-$H$11))*J31</f>
        <v>4226225.0880235722</v>
      </c>
      <c r="K59" s="393">
        <f>($C$45*$C$46^(K11-$H$11))*K31</f>
        <v>5342332.7135425247</v>
      </c>
      <c r="L59" s="393">
        <f>($C$45*$C$46^(L11-$H$11))*L31</f>
        <v>6521603.1940133926</v>
      </c>
      <c r="M59" s="393">
        <f>($C$45*$C$46^(M11-$H$11))*M31</f>
        <v>8186650.0094849365</v>
      </c>
    </row>
    <row r="60" spans="1:18">
      <c r="A60" s="276">
        <f>ROW()</f>
        <v>60</v>
      </c>
      <c r="B60" s="217" t="s">
        <v>345</v>
      </c>
      <c r="C60" s="427">
        <f t="shared" si="10"/>
        <v>-372517.13860637299</v>
      </c>
      <c r="D60" s="651">
        <f>-C60/C59</f>
        <v>1.2500000000000001E-2</v>
      </c>
      <c r="E60" s="651"/>
      <c r="F60" s="651"/>
      <c r="G60" s="256"/>
      <c r="H60" s="394">
        <f>IF(H31&lt;=50,0,-(H31)*VLOOKUP($C$57,'DSA Rates'!$A$9:$D$26,4,FALSE)*0.0125*$C$46^(H11-$H$11))</f>
        <v>-29424.484220251699</v>
      </c>
      <c r="I60" s="394">
        <f>IF(I31&lt;=50,0,-(I31)*VLOOKUP($C$57,'DSA Rates'!$A$9:$D$26,4,FALSE)*0.0125*$C$46^(I11-$H$11))</f>
        <v>-39632.516822815945</v>
      </c>
      <c r="J60" s="394">
        <f>IF(J31&lt;=50,0,-(J31)*VLOOKUP($C$57,'DSA Rates'!$A$9:$D$26,4,FALSE)*0.0125*$C$46^(J11-$H$11))</f>
        <v>-52827.813600294663</v>
      </c>
      <c r="K60" s="394">
        <f>IF(K31&lt;=50,0,-(K31)*VLOOKUP($C$57,'DSA Rates'!$A$9:$D$26,4,FALSE)*0.0125*$C$46^(K11-$H$11))</f>
        <v>-66779.158919281559</v>
      </c>
      <c r="L60" s="394">
        <f>IF(L31&lt;=50,0,-(L31)*VLOOKUP($C$57,'DSA Rates'!$A$9:$D$26,4,FALSE)*0.0125*$C$46^(L11-$H$11))</f>
        <v>-81520.03992516741</v>
      </c>
      <c r="M60" s="394">
        <f>IF(M31&lt;=50,0,-(M31)*VLOOKUP($C$57,'DSA Rates'!$A$9:$D$26,4,FALSE)*0.0125*$C$46^(M11-$H$11))</f>
        <v>-102333.12511856171</v>
      </c>
    </row>
    <row r="61" spans="1:18">
      <c r="A61" s="276">
        <f>ROW()</f>
        <v>61</v>
      </c>
      <c r="B61" s="217" t="s">
        <v>125</v>
      </c>
      <c r="C61" s="427">
        <f t="shared" si="10"/>
        <v>2415000</v>
      </c>
      <c r="D61" s="427"/>
      <c r="E61" s="427"/>
      <c r="F61" s="427"/>
      <c r="G61" s="256"/>
      <c r="H61" s="394">
        <f t="shared" ref="H61:M61" si="11">(H31*H36)*($C$49)</f>
        <v>209300</v>
      </c>
      <c r="I61" s="394">
        <f t="shared" si="11"/>
        <v>273700</v>
      </c>
      <c r="J61" s="394">
        <f t="shared" si="11"/>
        <v>354200</v>
      </c>
      <c r="K61" s="394">
        <f t="shared" si="11"/>
        <v>434700</v>
      </c>
      <c r="L61" s="394">
        <f t="shared" si="11"/>
        <v>515200</v>
      </c>
      <c r="M61" s="394">
        <f t="shared" si="11"/>
        <v>627900</v>
      </c>
    </row>
    <row r="62" spans="1:18">
      <c r="A62" s="276">
        <f>ROW()</f>
        <v>62</v>
      </c>
      <c r="B62" s="282" t="s">
        <v>353</v>
      </c>
      <c r="C62" s="427">
        <f t="shared" si="10"/>
        <v>13125</v>
      </c>
      <c r="D62" s="427"/>
      <c r="E62" s="427"/>
      <c r="F62" s="427"/>
      <c r="G62" s="256"/>
      <c r="H62" s="394">
        <f t="shared" ref="H62:M62" si="12">($C$50*H31*H36)+(H31*3.5)</f>
        <v>1137.5</v>
      </c>
      <c r="I62" s="394">
        <f t="shared" si="12"/>
        <v>1487.5</v>
      </c>
      <c r="J62" s="394">
        <f t="shared" si="12"/>
        <v>1925</v>
      </c>
      <c r="K62" s="394">
        <f t="shared" si="12"/>
        <v>2362.5</v>
      </c>
      <c r="L62" s="394">
        <f t="shared" si="12"/>
        <v>2800</v>
      </c>
      <c r="M62" s="394">
        <f t="shared" si="12"/>
        <v>3412.5</v>
      </c>
    </row>
    <row r="63" spans="1:18">
      <c r="A63" s="276">
        <f>ROW()</f>
        <v>63</v>
      </c>
      <c r="B63" s="282" t="s">
        <v>352</v>
      </c>
      <c r="C63" s="427">
        <f t="shared" si="10"/>
        <v>0</v>
      </c>
      <c r="D63" s="427"/>
      <c r="E63" s="427"/>
      <c r="F63" s="427"/>
      <c r="G63" s="256"/>
      <c r="H63" s="394">
        <f t="shared" ref="H63:M63" si="13">$C$51*H31*H38</f>
        <v>0</v>
      </c>
      <c r="I63" s="394">
        <f t="shared" si="13"/>
        <v>0</v>
      </c>
      <c r="J63" s="394">
        <f t="shared" si="13"/>
        <v>0</v>
      </c>
      <c r="K63" s="394">
        <f t="shared" si="13"/>
        <v>0</v>
      </c>
      <c r="L63" s="394">
        <f t="shared" si="13"/>
        <v>0</v>
      </c>
      <c r="M63" s="394">
        <f t="shared" si="13"/>
        <v>0</v>
      </c>
    </row>
    <row r="64" spans="1:18">
      <c r="A64" s="276">
        <f>ROW()</f>
        <v>64</v>
      </c>
      <c r="B64" s="217" t="s">
        <v>237</v>
      </c>
      <c r="C64" s="427">
        <f t="shared" si="10"/>
        <v>0</v>
      </c>
      <c r="D64" s="427"/>
      <c r="E64" s="427"/>
      <c r="F64" s="427"/>
      <c r="G64" s="256"/>
      <c r="H64" s="394">
        <f t="shared" ref="H64:M64" si="14">IF($C$53="yes",$C$54*$C$105*(H31*H36),0)</f>
        <v>0</v>
      </c>
      <c r="I64" s="394">
        <f t="shared" si="14"/>
        <v>0</v>
      </c>
      <c r="J64" s="394">
        <f t="shared" si="14"/>
        <v>0</v>
      </c>
      <c r="K64" s="394">
        <f t="shared" si="14"/>
        <v>0</v>
      </c>
      <c r="L64" s="394">
        <f t="shared" si="14"/>
        <v>0</v>
      </c>
      <c r="M64" s="394">
        <f t="shared" si="14"/>
        <v>0</v>
      </c>
    </row>
    <row r="65" spans="1:13">
      <c r="A65" s="276">
        <f>ROW()</f>
        <v>65</v>
      </c>
      <c r="B65" s="217" t="s">
        <v>7</v>
      </c>
      <c r="C65" s="427">
        <f t="shared" si="10"/>
        <v>0</v>
      </c>
      <c r="D65" s="427"/>
      <c r="E65" s="427"/>
      <c r="F65" s="427"/>
      <c r="G65" s="256"/>
      <c r="H65" s="394">
        <f t="shared" ref="H65:M65" si="15">(H31*H36)*$C$105*$C$55</f>
        <v>0</v>
      </c>
      <c r="I65" s="394">
        <f t="shared" si="15"/>
        <v>0</v>
      </c>
      <c r="J65" s="394">
        <f t="shared" si="15"/>
        <v>0</v>
      </c>
      <c r="K65" s="394">
        <f t="shared" si="15"/>
        <v>0</v>
      </c>
      <c r="L65" s="394">
        <f t="shared" si="15"/>
        <v>0</v>
      </c>
      <c r="M65" s="394">
        <f t="shared" si="15"/>
        <v>0</v>
      </c>
    </row>
    <row r="66" spans="1:13">
      <c r="A66" s="276">
        <f>ROW()</f>
        <v>66</v>
      </c>
      <c r="B66" s="217" t="s">
        <v>227</v>
      </c>
      <c r="C66" s="427">
        <f t="shared" si="10"/>
        <v>715500</v>
      </c>
      <c r="D66" s="427"/>
      <c r="E66" s="427"/>
      <c r="F66" s="427"/>
      <c r="G66" s="256"/>
      <c r="H66" s="395">
        <f t="shared" ref="H66:M66" si="16">(H31*H40)*$C$52</f>
        <v>62010</v>
      </c>
      <c r="I66" s="395">
        <f t="shared" si="16"/>
        <v>81090</v>
      </c>
      <c r="J66" s="395">
        <f t="shared" si="16"/>
        <v>104940</v>
      </c>
      <c r="K66" s="395">
        <f t="shared" si="16"/>
        <v>128790</v>
      </c>
      <c r="L66" s="395">
        <f t="shared" si="16"/>
        <v>152640</v>
      </c>
      <c r="M66" s="395">
        <f t="shared" si="16"/>
        <v>186030</v>
      </c>
    </row>
    <row r="67" spans="1:13">
      <c r="A67" s="276">
        <f>ROW()</f>
        <v>67</v>
      </c>
      <c r="B67" s="217" t="s">
        <v>308</v>
      </c>
      <c r="C67" s="427">
        <f t="shared" si="10"/>
        <v>1706250</v>
      </c>
      <c r="D67" s="427"/>
      <c r="E67" s="427"/>
      <c r="F67" s="427"/>
      <c r="G67" s="531"/>
      <c r="H67" s="396">
        <f t="shared" ref="H67:M67" si="17">(H31*MIN(H40,0.13))*$C$47</f>
        <v>147875</v>
      </c>
      <c r="I67" s="396">
        <f t="shared" si="17"/>
        <v>193375</v>
      </c>
      <c r="J67" s="396">
        <f t="shared" si="17"/>
        <v>250250</v>
      </c>
      <c r="K67" s="396">
        <f t="shared" si="17"/>
        <v>307125</v>
      </c>
      <c r="L67" s="396">
        <f t="shared" si="17"/>
        <v>364000</v>
      </c>
      <c r="M67" s="396">
        <f t="shared" si="17"/>
        <v>443625</v>
      </c>
    </row>
    <row r="68" spans="1:13">
      <c r="A68" s="276">
        <f>ROW()</f>
        <v>68</v>
      </c>
      <c r="B68" s="217" t="s">
        <v>309</v>
      </c>
      <c r="C68" s="427">
        <f t="shared" si="10"/>
        <v>0</v>
      </c>
      <c r="D68" s="427"/>
      <c r="E68" s="427"/>
      <c r="F68" s="427"/>
      <c r="G68" s="1370"/>
      <c r="H68" s="1370">
        <v>0</v>
      </c>
      <c r="I68" s="1370">
        <v>0</v>
      </c>
      <c r="J68" s="1370">
        <v>0</v>
      </c>
      <c r="K68" s="1370">
        <v>0</v>
      </c>
      <c r="L68" s="1370">
        <v>0</v>
      </c>
      <c r="M68" s="1370">
        <v>0</v>
      </c>
    </row>
    <row r="69" spans="1:13">
      <c r="A69" s="276">
        <f>ROW()</f>
        <v>69</v>
      </c>
      <c r="B69" s="217" t="s">
        <v>257</v>
      </c>
      <c r="C69" s="427">
        <f t="shared" si="10"/>
        <v>0</v>
      </c>
      <c r="D69" s="427"/>
      <c r="E69" s="427"/>
      <c r="F69" s="427"/>
      <c r="G69" s="1368">
        <v>120000</v>
      </c>
      <c r="H69" s="1368">
        <v>0</v>
      </c>
      <c r="I69" s="1368">
        <v>0</v>
      </c>
      <c r="J69" s="1368">
        <v>0</v>
      </c>
      <c r="K69" s="1368">
        <v>0</v>
      </c>
      <c r="L69" s="1368">
        <v>0</v>
      </c>
      <c r="M69" s="1368">
        <v>0</v>
      </c>
    </row>
    <row r="70" spans="1:13">
      <c r="A70" s="276">
        <f>ROW()</f>
        <v>70</v>
      </c>
      <c r="B70" s="217" t="s">
        <v>74</v>
      </c>
      <c r="C70" s="427">
        <f t="shared" si="10"/>
        <v>0</v>
      </c>
      <c r="D70" s="427"/>
      <c r="E70" s="427"/>
      <c r="F70" s="427"/>
      <c r="G70" s="1371">
        <v>0</v>
      </c>
      <c r="H70" s="397">
        <f t="shared" ref="H70:M70" si="18">$C$56*H31</f>
        <v>0</v>
      </c>
      <c r="I70" s="397">
        <f t="shared" si="18"/>
        <v>0</v>
      </c>
      <c r="J70" s="397">
        <f t="shared" si="18"/>
        <v>0</v>
      </c>
      <c r="K70" s="397">
        <f t="shared" si="18"/>
        <v>0</v>
      </c>
      <c r="L70" s="397">
        <f t="shared" si="18"/>
        <v>0</v>
      </c>
      <c r="M70" s="397">
        <f t="shared" si="18"/>
        <v>0</v>
      </c>
    </row>
    <row r="71" spans="1:13">
      <c r="A71" s="276">
        <f>ROW()</f>
        <v>71</v>
      </c>
      <c r="B71" s="217" t="s">
        <v>13</v>
      </c>
      <c r="C71" s="427">
        <f t="shared" si="10"/>
        <v>0</v>
      </c>
      <c r="D71" s="427"/>
      <c r="E71" s="427"/>
      <c r="F71" s="427"/>
      <c r="G71" s="1368">
        <v>0</v>
      </c>
      <c r="H71" s="1368">
        <f t="shared" ref="H71:M71" si="19">($D$1431*H31)*(H36-0.3)*$C$105</f>
        <v>0</v>
      </c>
      <c r="I71" s="1368">
        <f t="shared" si="19"/>
        <v>0</v>
      </c>
      <c r="J71" s="1368">
        <f t="shared" si="19"/>
        <v>0</v>
      </c>
      <c r="K71" s="1368">
        <f t="shared" si="19"/>
        <v>0</v>
      </c>
      <c r="L71" s="1368">
        <f t="shared" si="19"/>
        <v>0</v>
      </c>
      <c r="M71" s="1368">
        <f t="shared" si="19"/>
        <v>0</v>
      </c>
    </row>
    <row r="72" spans="1:13">
      <c r="A72" s="276">
        <f>ROW()</f>
        <v>72</v>
      </c>
      <c r="B72" s="217" t="s">
        <v>11</v>
      </c>
      <c r="C72" s="427">
        <f t="shared" si="10"/>
        <v>0</v>
      </c>
      <c r="D72" s="427"/>
      <c r="E72" s="427"/>
      <c r="F72" s="427"/>
      <c r="G72" s="1368">
        <v>0</v>
      </c>
      <c r="H72" s="1368">
        <v>0</v>
      </c>
      <c r="I72" s="1368">
        <v>0</v>
      </c>
      <c r="J72" s="1368">
        <v>0</v>
      </c>
      <c r="K72" s="1368">
        <v>0</v>
      </c>
      <c r="L72" s="1368">
        <v>0</v>
      </c>
      <c r="M72" s="1368">
        <v>0</v>
      </c>
    </row>
    <row r="73" spans="1:13">
      <c r="A73" s="276">
        <f>ROW()</f>
        <v>73</v>
      </c>
      <c r="B73" s="217" t="s">
        <v>75</v>
      </c>
      <c r="C73" s="427">
        <f t="shared" si="10"/>
        <v>0</v>
      </c>
      <c r="D73" s="427"/>
      <c r="E73" s="427"/>
      <c r="F73" s="427"/>
      <c r="G73" s="1368">
        <v>0</v>
      </c>
      <c r="H73" s="1368">
        <v>0</v>
      </c>
      <c r="I73" s="1368">
        <v>0</v>
      </c>
      <c r="J73" s="1368">
        <v>0</v>
      </c>
      <c r="K73" s="1368">
        <v>0</v>
      </c>
      <c r="L73" s="1368">
        <v>0</v>
      </c>
      <c r="M73" s="1368">
        <v>0</v>
      </c>
    </row>
    <row r="74" spans="1:13">
      <c r="A74" s="276">
        <f>ROW()</f>
        <v>74</v>
      </c>
      <c r="B74" s="217" t="s">
        <v>366</v>
      </c>
      <c r="C74" s="427">
        <f t="shared" si="10"/>
        <v>0</v>
      </c>
      <c r="D74" s="427"/>
      <c r="E74" s="427"/>
      <c r="F74" s="427"/>
      <c r="G74" s="1368">
        <v>0</v>
      </c>
      <c r="H74" s="1369">
        <v>0</v>
      </c>
      <c r="I74" s="1368">
        <v>0</v>
      </c>
      <c r="J74" s="1368">
        <v>0</v>
      </c>
      <c r="K74" s="1368">
        <v>0</v>
      </c>
      <c r="L74" s="1368">
        <v>0</v>
      </c>
      <c r="M74" s="1368">
        <v>0</v>
      </c>
    </row>
    <row r="75" spans="1:13" ht="16">
      <c r="A75" s="276">
        <f>ROW()</f>
        <v>75</v>
      </c>
      <c r="B75" s="279" t="s">
        <v>64</v>
      </c>
      <c r="C75" s="551">
        <f t="shared" si="10"/>
        <v>34278728.949903458</v>
      </c>
      <c r="D75" s="534"/>
      <c r="E75" s="534"/>
      <c r="F75" s="534"/>
      <c r="G75" s="532">
        <f>G59+G60+G61+G62+G63+G64+G65+G66+G67+G68+G69+G70+G71+G72+G73+G74</f>
        <v>120000</v>
      </c>
      <c r="H75" s="363">
        <f t="shared" ref="H75:M75" si="20">SUM(H59:H74)</f>
        <v>2744856.7533998839</v>
      </c>
      <c r="I75" s="363">
        <f t="shared" si="20"/>
        <v>3680621.3290024591</v>
      </c>
      <c r="J75" s="363">
        <f t="shared" si="20"/>
        <v>4884712.274423277</v>
      </c>
      <c r="K75" s="363">
        <f t="shared" si="20"/>
        <v>6148531.0546232434</v>
      </c>
      <c r="L75" s="363">
        <f t="shared" si="20"/>
        <v>7474723.1540882252</v>
      </c>
      <c r="M75" s="363">
        <f t="shared" si="20"/>
        <v>9345284.3843663745</v>
      </c>
    </row>
    <row r="76" spans="1:13">
      <c r="A76" s="276">
        <f>ROW()</f>
        <v>76</v>
      </c>
      <c r="B76" s="378" t="s">
        <v>411</v>
      </c>
      <c r="C76" s="282"/>
      <c r="D76" s="282"/>
      <c r="E76" s="282"/>
      <c r="F76" s="282"/>
      <c r="G76" s="392"/>
      <c r="H76" s="398">
        <f t="shared" ref="H76:M76" si="21">IFERROR(H75/H31,0)</f>
        <v>8445.713087384258</v>
      </c>
      <c r="I76" s="398">
        <f t="shared" si="21"/>
        <v>8660.2854800057867</v>
      </c>
      <c r="J76" s="398">
        <f t="shared" si="21"/>
        <v>8881.2950444059588</v>
      </c>
      <c r="K76" s="398">
        <f t="shared" si="21"/>
        <v>9108.9348957381389</v>
      </c>
      <c r="L76" s="398">
        <f t="shared" si="21"/>
        <v>9343.4039426102809</v>
      </c>
      <c r="M76" s="398">
        <f t="shared" si="21"/>
        <v>9584.9070608885886</v>
      </c>
    </row>
    <row r="77" spans="1:13">
      <c r="A77" s="276">
        <f>ROW()</f>
        <v>77</v>
      </c>
      <c r="B77" s="223"/>
      <c r="C77" s="223"/>
      <c r="D77" s="223"/>
      <c r="E77" s="223"/>
      <c r="F77" s="223"/>
      <c r="K77" s="221"/>
      <c r="L77" s="221"/>
      <c r="M77" s="221"/>
    </row>
    <row r="78" spans="1:13">
      <c r="A78" s="276">
        <f>ROW()</f>
        <v>78</v>
      </c>
      <c r="B78" s="223"/>
      <c r="C78" s="223"/>
      <c r="D78" s="223"/>
      <c r="E78" s="223"/>
      <c r="F78" s="223"/>
      <c r="K78" s="221"/>
      <c r="L78" s="221"/>
      <c r="M78" s="221"/>
    </row>
    <row r="79" spans="1:13">
      <c r="A79" s="276">
        <f>ROW()</f>
        <v>79</v>
      </c>
      <c r="B79" s="204" t="s">
        <v>126</v>
      </c>
      <c r="C79" s="204"/>
      <c r="D79" s="204"/>
      <c r="E79" s="204"/>
      <c r="F79" s="204"/>
      <c r="G79" s="399" t="str">
        <f t="shared" ref="G79:M81" si="22">G9</f>
        <v>SY 0/Incubation</v>
      </c>
      <c r="H79" s="399" t="str">
        <f t="shared" si="22"/>
        <v>SY 1</v>
      </c>
      <c r="I79" s="399" t="str">
        <f t="shared" si="22"/>
        <v>SY 2</v>
      </c>
      <c r="J79" s="399" t="str">
        <f t="shared" si="22"/>
        <v>SY 3</v>
      </c>
      <c r="K79" s="399" t="str">
        <f t="shared" si="22"/>
        <v>SY 4</v>
      </c>
      <c r="L79" s="399" t="str">
        <f t="shared" si="22"/>
        <v>SY 5</v>
      </c>
      <c r="M79" s="399" t="str">
        <f t="shared" si="22"/>
        <v>SY 6</v>
      </c>
    </row>
    <row r="80" spans="1:13">
      <c r="A80" s="276">
        <f>ROW()</f>
        <v>80</v>
      </c>
      <c r="B80" s="223" t="s">
        <v>123</v>
      </c>
      <c r="C80" s="223"/>
      <c r="D80" s="223"/>
      <c r="E80" s="223"/>
      <c r="F80" s="223"/>
      <c r="G80" s="975">
        <f t="shared" si="22"/>
        <v>2020</v>
      </c>
      <c r="H80" s="975">
        <f t="shared" si="22"/>
        <v>2021</v>
      </c>
      <c r="I80" s="976">
        <f t="shared" si="22"/>
        <v>2022</v>
      </c>
      <c r="J80" s="976">
        <f t="shared" si="22"/>
        <v>2023</v>
      </c>
      <c r="K80" s="976">
        <f t="shared" si="22"/>
        <v>2024</v>
      </c>
      <c r="L80" s="976">
        <f t="shared" si="22"/>
        <v>2025</v>
      </c>
      <c r="M80" s="976">
        <f t="shared" si="22"/>
        <v>2026</v>
      </c>
    </row>
    <row r="81" spans="1:18">
      <c r="A81" s="276">
        <f>ROW()</f>
        <v>81</v>
      </c>
      <c r="B81" s="223" t="s">
        <v>70</v>
      </c>
      <c r="C81" s="223"/>
      <c r="D81" s="223"/>
      <c r="E81" s="223"/>
      <c r="F81" s="223"/>
      <c r="G81" s="364">
        <f t="shared" si="22"/>
        <v>2021</v>
      </c>
      <c r="H81" s="201">
        <f t="shared" si="22"/>
        <v>2022</v>
      </c>
      <c r="I81" s="201">
        <f t="shared" si="22"/>
        <v>2023</v>
      </c>
      <c r="J81" s="201">
        <f t="shared" si="22"/>
        <v>2024</v>
      </c>
      <c r="K81" s="201">
        <f t="shared" si="22"/>
        <v>2025</v>
      </c>
      <c r="L81" s="201">
        <f t="shared" si="22"/>
        <v>2026</v>
      </c>
      <c r="M81" s="201">
        <f t="shared" si="22"/>
        <v>2027</v>
      </c>
    </row>
    <row r="82" spans="1:18">
      <c r="A82" s="276">
        <f>ROW()</f>
        <v>82</v>
      </c>
      <c r="B82" s="365" t="s">
        <v>202</v>
      </c>
      <c r="C82" s="400"/>
      <c r="D82" s="400"/>
      <c r="E82" s="400"/>
      <c r="F82" s="400"/>
      <c r="G82" s="401"/>
      <c r="H82" s="366"/>
      <c r="I82" s="367"/>
      <c r="J82" s="367"/>
      <c r="K82" s="367"/>
      <c r="L82" s="367"/>
      <c r="M82" s="367"/>
    </row>
    <row r="83" spans="1:18">
      <c r="A83" s="276">
        <f>ROW()</f>
        <v>83</v>
      </c>
      <c r="B83" s="368" t="s">
        <v>38</v>
      </c>
      <c r="C83" s="285"/>
      <c r="D83" s="285"/>
      <c r="E83" s="285"/>
      <c r="F83" s="285"/>
      <c r="G83" s="402"/>
      <c r="H83" s="369"/>
      <c r="I83" s="370"/>
      <c r="J83" s="370"/>
      <c r="K83" s="370"/>
      <c r="L83" s="370"/>
      <c r="M83" s="370"/>
    </row>
    <row r="84" spans="1:18">
      <c r="A84" s="276">
        <f>ROW()</f>
        <v>84</v>
      </c>
      <c r="B84" s="403" t="s">
        <v>43</v>
      </c>
      <c r="C84" s="619">
        <v>4000</v>
      </c>
      <c r="D84" s="369" t="s">
        <v>45</v>
      </c>
      <c r="E84" s="369"/>
      <c r="F84" s="369"/>
      <c r="I84" s="370"/>
      <c r="J84" s="370"/>
      <c r="K84" s="370"/>
      <c r="L84" s="370"/>
      <c r="M84" s="370"/>
    </row>
    <row r="85" spans="1:18">
      <c r="A85" s="276">
        <f>ROW()</f>
        <v>85</v>
      </c>
      <c r="B85" s="403" t="s">
        <v>44</v>
      </c>
      <c r="C85" s="619">
        <v>6500</v>
      </c>
      <c r="D85" s="369" t="s">
        <v>45</v>
      </c>
      <c r="E85" s="369"/>
      <c r="F85" s="369"/>
      <c r="I85" s="370"/>
      <c r="J85" s="370"/>
      <c r="K85" s="370"/>
      <c r="L85" s="370"/>
      <c r="M85" s="370"/>
    </row>
    <row r="86" spans="1:18">
      <c r="A86" s="276">
        <f>ROW()</f>
        <v>86</v>
      </c>
      <c r="B86" s="403" t="s">
        <v>99</v>
      </c>
      <c r="C86" s="621">
        <v>1</v>
      </c>
      <c r="D86" s="369"/>
      <c r="E86" s="369"/>
      <c r="F86" s="369"/>
      <c r="I86" s="370"/>
      <c r="J86" s="370"/>
      <c r="K86" s="370"/>
      <c r="L86" s="370"/>
      <c r="M86" s="370"/>
    </row>
    <row r="87" spans="1:18">
      <c r="A87" s="276">
        <f>ROW()</f>
        <v>87</v>
      </c>
      <c r="B87" s="403" t="s">
        <v>206</v>
      </c>
      <c r="C87" s="621">
        <v>0.75</v>
      </c>
      <c r="D87" s="369"/>
      <c r="E87" s="369"/>
      <c r="F87" s="369"/>
      <c r="I87" s="370"/>
      <c r="J87" s="370"/>
      <c r="K87" s="370"/>
      <c r="L87" s="370"/>
      <c r="M87" s="370"/>
      <c r="N87" s="285"/>
      <c r="O87" s="285"/>
      <c r="P87" s="285"/>
      <c r="Q87" s="285"/>
      <c r="R87" s="285"/>
    </row>
    <row r="88" spans="1:18">
      <c r="A88" s="276">
        <f>ROW()</f>
        <v>88</v>
      </c>
      <c r="B88" s="403" t="s">
        <v>46</v>
      </c>
      <c r="C88" s="404">
        <f>(C87*C84)+((1-C87)*C85)</f>
        <v>4625</v>
      </c>
      <c r="D88" s="369" t="s">
        <v>361</v>
      </c>
      <c r="E88" s="369"/>
      <c r="F88" s="369"/>
      <c r="I88" s="370"/>
      <c r="J88" s="370"/>
      <c r="K88" s="370"/>
      <c r="L88" s="370"/>
      <c r="M88" s="370"/>
      <c r="N88" s="285"/>
      <c r="O88" s="285"/>
      <c r="P88" s="285"/>
      <c r="Q88" s="285"/>
      <c r="R88" s="285"/>
    </row>
    <row r="89" spans="1:18">
      <c r="A89" s="276">
        <f>ROW()</f>
        <v>89</v>
      </c>
      <c r="B89" s="403" t="s">
        <v>39</v>
      </c>
      <c r="C89" s="620">
        <v>7.6499999999999999E-2</v>
      </c>
      <c r="D89" s="369" t="s">
        <v>362</v>
      </c>
      <c r="E89" s="369"/>
      <c r="F89" s="369"/>
      <c r="I89" s="370"/>
      <c r="J89" s="370"/>
      <c r="K89" s="370"/>
      <c r="L89" s="370"/>
      <c r="M89" s="370"/>
      <c r="N89" s="285"/>
      <c r="O89" s="285"/>
      <c r="P89" s="285"/>
      <c r="Q89" s="285"/>
      <c r="R89" s="285"/>
    </row>
    <row r="90" spans="1:18">
      <c r="A90" s="276">
        <f>ROW()</f>
        <v>90</v>
      </c>
      <c r="B90" s="403" t="s">
        <v>40</v>
      </c>
      <c r="C90" s="1347">
        <v>0.29249999999999998</v>
      </c>
      <c r="D90" s="369" t="s">
        <v>362</v>
      </c>
      <c r="E90" s="369"/>
      <c r="F90" s="369"/>
      <c r="I90" s="370"/>
      <c r="J90" s="370"/>
      <c r="K90" s="370"/>
      <c r="L90" s="370"/>
      <c r="M90" s="370"/>
      <c r="N90" s="285"/>
      <c r="O90" s="285"/>
      <c r="P90" s="285"/>
      <c r="Q90" s="285"/>
      <c r="R90" s="285"/>
    </row>
    <row r="91" spans="1:18">
      <c r="A91" s="276">
        <f>ROW()</f>
        <v>91</v>
      </c>
      <c r="B91" s="403" t="s">
        <v>41</v>
      </c>
      <c r="C91" s="1347">
        <v>0</v>
      </c>
      <c r="D91" s="369" t="s">
        <v>362</v>
      </c>
      <c r="E91" s="369"/>
      <c r="F91" s="369"/>
      <c r="I91" s="370"/>
      <c r="J91" s="370"/>
      <c r="K91" s="370"/>
      <c r="L91" s="370"/>
      <c r="M91" s="370"/>
      <c r="N91" s="285"/>
      <c r="O91" s="285"/>
      <c r="P91" s="285"/>
      <c r="Q91" s="285"/>
      <c r="R91" s="285"/>
    </row>
    <row r="92" spans="1:18">
      <c r="A92" s="276">
        <f>ROW()</f>
        <v>92</v>
      </c>
      <c r="B92" s="403" t="s">
        <v>42</v>
      </c>
      <c r="C92" s="620">
        <v>0.01</v>
      </c>
      <c r="D92" s="369" t="s">
        <v>362</v>
      </c>
      <c r="E92" s="369"/>
      <c r="F92" s="369"/>
      <c r="I92" s="370"/>
      <c r="J92" s="370"/>
      <c r="K92" s="370"/>
      <c r="L92" s="370"/>
      <c r="M92" s="370"/>
      <c r="N92" s="285"/>
      <c r="O92" s="285"/>
      <c r="P92" s="285"/>
      <c r="Q92" s="285"/>
      <c r="R92" s="285"/>
    </row>
    <row r="93" spans="1:18">
      <c r="A93" s="276">
        <f>ROW()</f>
        <v>93</v>
      </c>
      <c r="B93" s="403" t="s">
        <v>231</v>
      </c>
      <c r="C93" s="619">
        <v>0</v>
      </c>
      <c r="D93" s="369" t="s">
        <v>233</v>
      </c>
      <c r="E93" s="369"/>
      <c r="F93" s="369"/>
      <c r="I93" s="370"/>
      <c r="J93" s="370"/>
      <c r="K93" s="370"/>
      <c r="L93" s="370"/>
      <c r="M93" s="370"/>
      <c r="N93" s="285"/>
      <c r="O93" s="285"/>
      <c r="P93" s="285"/>
      <c r="Q93" s="285"/>
      <c r="R93" s="285"/>
    </row>
    <row r="94" spans="1:18">
      <c r="A94" s="276">
        <f>ROW()</f>
        <v>94</v>
      </c>
      <c r="B94" s="403" t="s">
        <v>232</v>
      </c>
      <c r="C94" s="619">
        <v>936</v>
      </c>
      <c r="D94" s="369" t="s">
        <v>233</v>
      </c>
      <c r="E94" s="369"/>
      <c r="F94" s="369"/>
      <c r="I94" s="370"/>
      <c r="J94" s="370"/>
      <c r="K94" s="370"/>
      <c r="L94" s="370"/>
      <c r="M94" s="370"/>
      <c r="N94" s="285"/>
      <c r="O94" s="285"/>
      <c r="P94" s="285"/>
      <c r="Q94" s="285"/>
      <c r="R94" s="285"/>
    </row>
    <row r="95" spans="1:18">
      <c r="A95" s="276">
        <f>ROW()</f>
        <v>95</v>
      </c>
      <c r="B95" s="403"/>
      <c r="C95" s="386"/>
      <c r="D95" s="369"/>
      <c r="E95" s="369"/>
      <c r="F95" s="369"/>
      <c r="I95" s="370"/>
      <c r="J95" s="370"/>
      <c r="K95" s="370"/>
      <c r="L95" s="370"/>
      <c r="M95" s="370"/>
      <c r="N95" s="285"/>
      <c r="O95" s="285"/>
      <c r="P95" s="285"/>
      <c r="Q95" s="285"/>
      <c r="R95" s="285"/>
    </row>
    <row r="96" spans="1:18">
      <c r="A96" s="276">
        <f>ROW()</f>
        <v>96</v>
      </c>
      <c r="B96" s="403" t="s">
        <v>135</v>
      </c>
      <c r="C96" s="619">
        <v>12.5</v>
      </c>
      <c r="D96" s="369" t="s">
        <v>146</v>
      </c>
      <c r="E96" s="369"/>
      <c r="F96" s="369"/>
      <c r="I96" s="370"/>
      <c r="J96" s="370"/>
      <c r="K96" s="370"/>
      <c r="L96" s="370"/>
      <c r="M96" s="370"/>
      <c r="N96" s="285"/>
      <c r="O96" s="285"/>
      <c r="P96" s="285"/>
      <c r="Q96" s="285"/>
      <c r="R96" s="285"/>
    </row>
    <row r="97" spans="1:18">
      <c r="A97" s="276">
        <f>ROW()</f>
        <v>97</v>
      </c>
      <c r="B97" s="403" t="s">
        <v>69</v>
      </c>
      <c r="C97" s="620">
        <v>0</v>
      </c>
      <c r="D97" s="369" t="s">
        <v>226</v>
      </c>
      <c r="E97" s="369"/>
      <c r="F97" s="369"/>
      <c r="I97" s="370"/>
      <c r="J97" s="370"/>
      <c r="K97" s="370"/>
      <c r="L97" s="370"/>
      <c r="M97" s="370"/>
      <c r="N97" s="285"/>
      <c r="O97" s="285"/>
      <c r="P97" s="285"/>
      <c r="Q97" s="285"/>
      <c r="R97" s="285"/>
    </row>
    <row r="98" spans="1:18">
      <c r="A98" s="276">
        <f>ROW()</f>
        <v>98</v>
      </c>
      <c r="B98" s="299"/>
      <c r="C98" s="299"/>
      <c r="D98" s="299"/>
      <c r="E98" s="299"/>
      <c r="F98" s="299"/>
      <c r="G98" s="301"/>
      <c r="H98" s="301"/>
      <c r="I98" s="229"/>
      <c r="J98" s="229"/>
      <c r="K98" s="229"/>
      <c r="L98" s="229"/>
      <c r="M98" s="229"/>
      <c r="N98" s="389"/>
      <c r="O98" s="285"/>
      <c r="P98" s="285"/>
      <c r="Q98" s="389"/>
      <c r="R98" s="389"/>
    </row>
    <row r="99" spans="1:18">
      <c r="A99" s="276">
        <f>ROW()</f>
        <v>99</v>
      </c>
      <c r="B99" s="285" t="s">
        <v>720</v>
      </c>
      <c r="C99" s="285"/>
      <c r="D99" s="285"/>
      <c r="E99" s="285"/>
      <c r="F99" s="285"/>
      <c r="G99" s="406">
        <f t="shared" ref="G99:M99" si="23">G$120</f>
        <v>0</v>
      </c>
      <c r="H99" s="405">
        <f t="shared" si="23"/>
        <v>1</v>
      </c>
      <c r="I99" s="405">
        <f t="shared" si="23"/>
        <v>2</v>
      </c>
      <c r="J99" s="405">
        <f t="shared" si="23"/>
        <v>2</v>
      </c>
      <c r="K99" s="405">
        <f t="shared" si="23"/>
        <v>3</v>
      </c>
      <c r="L99" s="405">
        <f t="shared" si="23"/>
        <v>4</v>
      </c>
      <c r="M99" s="405">
        <f t="shared" si="23"/>
        <v>5</v>
      </c>
      <c r="N99" s="389"/>
      <c r="O99" s="285"/>
      <c r="P99" s="285"/>
    </row>
    <row r="100" spans="1:18">
      <c r="A100" s="276">
        <f>ROW()</f>
        <v>100</v>
      </c>
      <c r="B100" s="285" t="s">
        <v>719</v>
      </c>
      <c r="C100" s="285"/>
      <c r="D100" s="285"/>
      <c r="E100" s="285"/>
      <c r="F100" s="285"/>
      <c r="G100" s="406">
        <f t="shared" ref="G100:M100" si="24">G$128</f>
        <v>0</v>
      </c>
      <c r="H100" s="405">
        <f t="shared" si="24"/>
        <v>2</v>
      </c>
      <c r="I100" s="405">
        <f t="shared" si="24"/>
        <v>2</v>
      </c>
      <c r="J100" s="405">
        <f t="shared" si="24"/>
        <v>3</v>
      </c>
      <c r="K100" s="405">
        <f t="shared" si="24"/>
        <v>3</v>
      </c>
      <c r="L100" s="405">
        <f t="shared" si="24"/>
        <v>3</v>
      </c>
      <c r="M100" s="405">
        <f t="shared" si="24"/>
        <v>3</v>
      </c>
      <c r="N100" s="389"/>
      <c r="O100" s="285"/>
      <c r="P100" s="285"/>
    </row>
    <row r="101" spans="1:18">
      <c r="A101" s="276">
        <f>ROW()</f>
        <v>101</v>
      </c>
      <c r="B101" s="285" t="s">
        <v>721</v>
      </c>
      <c r="C101" s="285"/>
      <c r="D101" s="285"/>
      <c r="E101" s="285"/>
      <c r="F101" s="285"/>
      <c r="G101" s="406">
        <f t="shared" ref="G101:M101" si="25">G$166</f>
        <v>0</v>
      </c>
      <c r="H101" s="405">
        <f t="shared" si="25"/>
        <v>4</v>
      </c>
      <c r="I101" s="405">
        <f t="shared" si="25"/>
        <v>7</v>
      </c>
      <c r="J101" s="405">
        <f t="shared" si="25"/>
        <v>11</v>
      </c>
      <c r="K101" s="405">
        <f t="shared" si="25"/>
        <v>12</v>
      </c>
      <c r="L101" s="405">
        <f t="shared" si="25"/>
        <v>13</v>
      </c>
      <c r="M101" s="405">
        <f t="shared" si="25"/>
        <v>15</v>
      </c>
      <c r="N101" s="389"/>
      <c r="O101" s="285"/>
      <c r="P101" s="285"/>
    </row>
    <row r="102" spans="1:18">
      <c r="A102" s="276">
        <f>ROW()</f>
        <v>102</v>
      </c>
      <c r="B102" s="285" t="s">
        <v>722</v>
      </c>
      <c r="C102" s="285"/>
      <c r="D102" s="285"/>
      <c r="E102" s="285"/>
      <c r="F102" s="285"/>
      <c r="G102" s="406">
        <f t="shared" ref="G102:M102" si="26">G$267</f>
        <v>0</v>
      </c>
      <c r="H102" s="406">
        <f t="shared" si="26"/>
        <v>14</v>
      </c>
      <c r="I102" s="406">
        <f t="shared" si="26"/>
        <v>20</v>
      </c>
      <c r="J102" s="406">
        <f t="shared" si="26"/>
        <v>27</v>
      </c>
      <c r="K102" s="406">
        <f t="shared" si="26"/>
        <v>34</v>
      </c>
      <c r="L102" s="406">
        <f t="shared" si="26"/>
        <v>41</v>
      </c>
      <c r="M102" s="406">
        <f t="shared" si="26"/>
        <v>49</v>
      </c>
      <c r="N102" s="389"/>
      <c r="O102" s="285"/>
      <c r="P102" s="285"/>
    </row>
    <row r="103" spans="1:18">
      <c r="A103" s="276">
        <f>ROW()</f>
        <v>103</v>
      </c>
      <c r="B103" s="718" t="s">
        <v>723</v>
      </c>
      <c r="C103" s="718"/>
      <c r="D103" s="718"/>
      <c r="E103" s="718"/>
      <c r="F103" s="718"/>
      <c r="G103" s="1363">
        <f t="shared" ref="G103:M103" si="27">SUM(G99:G102)</f>
        <v>0</v>
      </c>
      <c r="H103" s="719">
        <f t="shared" si="27"/>
        <v>21</v>
      </c>
      <c r="I103" s="719">
        <f t="shared" si="27"/>
        <v>31</v>
      </c>
      <c r="J103" s="719">
        <f t="shared" si="27"/>
        <v>43</v>
      </c>
      <c r="K103" s="719">
        <f t="shared" si="27"/>
        <v>52</v>
      </c>
      <c r="L103" s="719">
        <f t="shared" si="27"/>
        <v>61</v>
      </c>
      <c r="M103" s="719">
        <f t="shared" si="27"/>
        <v>72</v>
      </c>
      <c r="N103" s="389"/>
      <c r="O103" s="285"/>
      <c r="P103" s="285"/>
    </row>
    <row r="104" spans="1:18">
      <c r="A104" s="276">
        <f>ROW()</f>
        <v>104</v>
      </c>
      <c r="D104" s="221"/>
      <c r="E104" s="221"/>
      <c r="F104" s="150"/>
      <c r="N104" s="389"/>
      <c r="O104" s="285"/>
      <c r="P104" s="285"/>
      <c r="Q104" s="391"/>
      <c r="R104" s="391"/>
    </row>
    <row r="105" spans="1:18">
      <c r="A105" s="276">
        <f>ROW()</f>
        <v>105</v>
      </c>
      <c r="B105" s="285" t="s">
        <v>193</v>
      </c>
      <c r="C105" s="626">
        <v>180</v>
      </c>
      <c r="D105" s="1187"/>
      <c r="E105" s="1187"/>
      <c r="F105" s="1187"/>
      <c r="H105" s="301"/>
      <c r="I105" s="229"/>
      <c r="J105" s="229"/>
      <c r="K105" s="229"/>
      <c r="L105" s="229"/>
      <c r="M105" s="229"/>
      <c r="N105" s="389"/>
      <c r="O105" s="285"/>
      <c r="P105" s="285"/>
      <c r="Q105" s="391"/>
      <c r="R105" s="391"/>
    </row>
    <row r="106" spans="1:18">
      <c r="A106" s="276">
        <f>ROW()</f>
        <v>106</v>
      </c>
      <c r="B106" s="285" t="s">
        <v>199</v>
      </c>
      <c r="C106" s="627">
        <v>0</v>
      </c>
      <c r="D106" s="1188"/>
      <c r="E106" s="1188"/>
      <c r="F106" s="1188"/>
      <c r="H106" s="285"/>
      <c r="I106" s="282"/>
      <c r="J106" s="282"/>
      <c r="K106" s="282"/>
      <c r="L106" s="282"/>
      <c r="M106" s="282"/>
      <c r="N106" s="389"/>
      <c r="O106" s="285"/>
      <c r="P106" s="285"/>
      <c r="Q106" s="391"/>
      <c r="R106" s="391"/>
    </row>
    <row r="107" spans="1:18">
      <c r="A107" s="276">
        <f>ROW()</f>
        <v>107</v>
      </c>
      <c r="B107" s="285" t="s">
        <v>83</v>
      </c>
      <c r="C107" s="627">
        <v>0</v>
      </c>
      <c r="D107" s="1188"/>
      <c r="E107" s="1188"/>
      <c r="F107" s="1188"/>
      <c r="H107" s="285"/>
      <c r="I107" s="282"/>
      <c r="J107" s="282"/>
      <c r="K107" s="282"/>
      <c r="L107" s="282"/>
      <c r="M107" s="282"/>
      <c r="N107" s="389"/>
      <c r="O107" s="285"/>
      <c r="P107" s="285"/>
      <c r="Q107" s="391"/>
      <c r="R107" s="391"/>
    </row>
    <row r="108" spans="1:18">
      <c r="A108" s="276">
        <f>ROW()</f>
        <v>108</v>
      </c>
      <c r="B108" s="285" t="s">
        <v>171</v>
      </c>
      <c r="C108" s="628">
        <v>0</v>
      </c>
      <c r="D108" s="1189"/>
      <c r="E108" s="1189"/>
      <c r="F108" s="1189"/>
      <c r="H108" s="408"/>
      <c r="I108" s="409"/>
      <c r="J108" s="409"/>
      <c r="K108" s="409"/>
      <c r="L108" s="409"/>
      <c r="M108" s="409"/>
      <c r="N108" s="389"/>
      <c r="O108" s="285"/>
      <c r="P108" s="285"/>
      <c r="Q108" s="391"/>
      <c r="R108" s="391"/>
    </row>
    <row r="109" spans="1:18">
      <c r="A109" s="276"/>
      <c r="B109" s="221"/>
      <c r="C109" s="221"/>
      <c r="D109" s="221"/>
      <c r="E109" s="221"/>
      <c r="F109" s="150"/>
      <c r="H109" s="410"/>
      <c r="I109" s="410"/>
      <c r="J109" s="410"/>
      <c r="N109" s="389"/>
      <c r="O109" s="285"/>
      <c r="P109" s="285"/>
      <c r="Q109" s="391"/>
      <c r="R109" s="391"/>
    </row>
    <row r="110" spans="1:18" ht="14.25" customHeight="1">
      <c r="A110" s="276"/>
      <c r="B110" s="221"/>
      <c r="C110" s="278" t="s">
        <v>920</v>
      </c>
      <c r="D110" s="278" t="s">
        <v>192</v>
      </c>
      <c r="E110" s="278"/>
      <c r="F110" s="278"/>
      <c r="G110" s="278" t="s">
        <v>341</v>
      </c>
      <c r="H110" s="410"/>
      <c r="I110" s="410"/>
      <c r="J110" s="410"/>
      <c r="N110" s="389"/>
      <c r="O110" s="285"/>
      <c r="P110" s="285"/>
      <c r="Q110" s="391"/>
      <c r="R110" s="391"/>
    </row>
    <row r="111" spans="1:18" ht="30">
      <c r="A111" s="276">
        <f>ROW()</f>
        <v>111</v>
      </c>
      <c r="B111" s="302" t="s">
        <v>426</v>
      </c>
      <c r="C111" s="230">
        <f>$H$10</f>
        <v>2021</v>
      </c>
      <c r="D111" s="633" t="s">
        <v>23</v>
      </c>
      <c r="E111" s="735"/>
      <c r="F111" s="735"/>
      <c r="I111" s="489"/>
      <c r="J111" s="411"/>
      <c r="N111" s="389"/>
      <c r="O111" s="285"/>
      <c r="P111" s="285"/>
      <c r="Q111" s="391"/>
      <c r="R111" s="391"/>
    </row>
    <row r="112" spans="1:18">
      <c r="A112" s="276">
        <f>ROW()</f>
        <v>112</v>
      </c>
      <c r="B112" s="715"/>
      <c r="C112" s="716"/>
      <c r="D112" s="717"/>
      <c r="E112" s="918"/>
      <c r="F112" s="918"/>
      <c r="G112" s="919"/>
      <c r="H112" s="919"/>
      <c r="I112" s="918"/>
      <c r="J112" s="918"/>
      <c r="K112" s="919"/>
      <c r="L112" s="919"/>
      <c r="M112" s="919"/>
      <c r="N112" s="389"/>
      <c r="O112" s="285"/>
      <c r="P112" s="285"/>
      <c r="Q112" s="391"/>
      <c r="R112" s="391"/>
    </row>
    <row r="113" spans="1:18" s="282" customFormat="1">
      <c r="A113" s="276">
        <f>ROW()</f>
        <v>113</v>
      </c>
      <c r="B113" s="727" t="s">
        <v>191</v>
      </c>
      <c r="C113" s="727"/>
      <c r="D113" s="230"/>
      <c r="E113" s="230"/>
      <c r="F113" s="230"/>
      <c r="G113" s="289"/>
      <c r="H113" s="230"/>
      <c r="I113" s="230"/>
      <c r="J113" s="230"/>
      <c r="K113" s="289"/>
      <c r="L113" s="289"/>
      <c r="M113" s="289"/>
      <c r="N113" s="389"/>
      <c r="O113" s="412"/>
      <c r="P113" s="391"/>
      <c r="Q113" s="391"/>
      <c r="R113" s="391"/>
    </row>
    <row r="114" spans="1:18" s="282" customFormat="1">
      <c r="A114" s="276">
        <f>ROW()</f>
        <v>114</v>
      </c>
      <c r="B114" s="811" t="s">
        <v>947</v>
      </c>
      <c r="C114" s="812">
        <v>2022</v>
      </c>
      <c r="D114" s="813">
        <v>90000</v>
      </c>
      <c r="E114" s="1190"/>
      <c r="F114" s="1190"/>
      <c r="G114" s="406">
        <f t="shared" ref="G114:M118" si="28">IF($C114&lt;=G$81,1,0)</f>
        <v>0</v>
      </c>
      <c r="H114" s="406">
        <f t="shared" si="28"/>
        <v>1</v>
      </c>
      <c r="I114" s="406">
        <f t="shared" si="28"/>
        <v>1</v>
      </c>
      <c r="J114" s="406">
        <f t="shared" si="28"/>
        <v>1</v>
      </c>
      <c r="K114" s="406">
        <f t="shared" si="28"/>
        <v>1</v>
      </c>
      <c r="L114" s="406">
        <f t="shared" si="28"/>
        <v>1</v>
      </c>
      <c r="M114" s="406">
        <f t="shared" si="28"/>
        <v>1</v>
      </c>
      <c r="N114" s="389"/>
      <c r="P114" s="391"/>
      <c r="Q114" s="391"/>
      <c r="R114" s="391"/>
    </row>
    <row r="115" spans="1:18" s="282" customFormat="1">
      <c r="A115" s="276">
        <f>ROW()</f>
        <v>115</v>
      </c>
      <c r="B115" s="629" t="s">
        <v>949</v>
      </c>
      <c r="C115" s="630">
        <v>2023</v>
      </c>
      <c r="D115" s="662">
        <v>70000</v>
      </c>
      <c r="E115" s="1191"/>
      <c r="F115" s="1191"/>
      <c r="G115" s="406">
        <f t="shared" si="28"/>
        <v>0</v>
      </c>
      <c r="H115" s="406">
        <f t="shared" si="28"/>
        <v>0</v>
      </c>
      <c r="I115" s="406">
        <f t="shared" si="28"/>
        <v>1</v>
      </c>
      <c r="J115" s="406">
        <f t="shared" si="28"/>
        <v>1</v>
      </c>
      <c r="K115" s="406">
        <f t="shared" si="28"/>
        <v>1</v>
      </c>
      <c r="L115" s="406">
        <f t="shared" si="28"/>
        <v>1</v>
      </c>
      <c r="M115" s="406">
        <f t="shared" si="28"/>
        <v>1</v>
      </c>
      <c r="N115" s="389"/>
      <c r="P115" s="391"/>
      <c r="Q115" s="391"/>
      <c r="R115" s="391"/>
    </row>
    <row r="116" spans="1:18" s="282" customFormat="1">
      <c r="A116" s="276">
        <f>ROW()</f>
        <v>116</v>
      </c>
      <c r="B116" s="629" t="s">
        <v>949</v>
      </c>
      <c r="C116" s="630">
        <v>2025</v>
      </c>
      <c r="D116" s="662">
        <v>70000</v>
      </c>
      <c r="E116" s="1191"/>
      <c r="F116" s="1191"/>
      <c r="G116" s="406">
        <f t="shared" si="28"/>
        <v>0</v>
      </c>
      <c r="H116" s="406">
        <f t="shared" si="28"/>
        <v>0</v>
      </c>
      <c r="I116" s="406">
        <f t="shared" si="28"/>
        <v>0</v>
      </c>
      <c r="J116" s="406">
        <f t="shared" si="28"/>
        <v>0</v>
      </c>
      <c r="K116" s="406">
        <f t="shared" si="28"/>
        <v>1</v>
      </c>
      <c r="L116" s="406">
        <f t="shared" si="28"/>
        <v>1</v>
      </c>
      <c r="M116" s="406">
        <f t="shared" si="28"/>
        <v>1</v>
      </c>
      <c r="P116" s="391"/>
      <c r="Q116" s="391"/>
      <c r="R116" s="391"/>
    </row>
    <row r="117" spans="1:18" s="282" customFormat="1">
      <c r="A117" s="276">
        <f>ROW()</f>
        <v>117</v>
      </c>
      <c r="B117" s="629" t="s">
        <v>949</v>
      </c>
      <c r="C117" s="630">
        <v>2027</v>
      </c>
      <c r="D117" s="662">
        <v>70000</v>
      </c>
      <c r="E117" s="1191"/>
      <c r="F117" s="1191"/>
      <c r="G117" s="406">
        <f t="shared" si="28"/>
        <v>0</v>
      </c>
      <c r="H117" s="406">
        <f t="shared" si="28"/>
        <v>0</v>
      </c>
      <c r="I117" s="406">
        <f t="shared" si="28"/>
        <v>0</v>
      </c>
      <c r="J117" s="406">
        <f t="shared" si="28"/>
        <v>0</v>
      </c>
      <c r="K117" s="406">
        <f t="shared" si="28"/>
        <v>0</v>
      </c>
      <c r="L117" s="406">
        <f t="shared" si="28"/>
        <v>0</v>
      </c>
      <c r="M117" s="406">
        <f t="shared" si="28"/>
        <v>1</v>
      </c>
      <c r="P117" s="391"/>
      <c r="Q117" s="391"/>
      <c r="R117" s="391"/>
    </row>
    <row r="118" spans="1:18" s="282" customFormat="1">
      <c r="A118" s="276">
        <f>ROW()</f>
        <v>118</v>
      </c>
      <c r="B118" s="629" t="s">
        <v>948</v>
      </c>
      <c r="C118" s="630">
        <v>2026</v>
      </c>
      <c r="D118" s="662">
        <v>80000</v>
      </c>
      <c r="E118" s="1191"/>
      <c r="F118" s="1191"/>
      <c r="G118" s="406">
        <f t="shared" si="28"/>
        <v>0</v>
      </c>
      <c r="H118" s="406">
        <f t="shared" si="28"/>
        <v>0</v>
      </c>
      <c r="I118" s="406">
        <f t="shared" si="28"/>
        <v>0</v>
      </c>
      <c r="J118" s="406">
        <f t="shared" si="28"/>
        <v>0</v>
      </c>
      <c r="K118" s="406">
        <f t="shared" si="28"/>
        <v>0</v>
      </c>
      <c r="L118" s="406">
        <f t="shared" si="28"/>
        <v>1</v>
      </c>
      <c r="M118" s="406">
        <f t="shared" si="28"/>
        <v>1</v>
      </c>
    </row>
    <row r="119" spans="1:18" s="282" customFormat="1">
      <c r="A119" s="276">
        <f>ROW()</f>
        <v>119</v>
      </c>
      <c r="B119" s="221"/>
      <c r="C119" s="233"/>
      <c r="D119" s="413"/>
      <c r="E119" s="413"/>
      <c r="F119" s="413"/>
      <c r="G119" s="406"/>
      <c r="H119" s="406"/>
      <c r="I119" s="406"/>
      <c r="J119" s="406"/>
      <c r="K119" s="406"/>
      <c r="L119" s="406"/>
      <c r="M119" s="406"/>
    </row>
    <row r="120" spans="1:18" s="282" customFormat="1">
      <c r="A120" s="276">
        <f>ROW()</f>
        <v>120</v>
      </c>
      <c r="B120" s="362" t="s">
        <v>190</v>
      </c>
      <c r="C120" s="414"/>
      <c r="D120" s="415"/>
      <c r="E120" s="736"/>
      <c r="F120" s="736"/>
      <c r="G120" s="372">
        <f t="shared" ref="G120:M120" si="29">SUM(G114:G118)</f>
        <v>0</v>
      </c>
      <c r="H120" s="372">
        <f t="shared" si="29"/>
        <v>1</v>
      </c>
      <c r="I120" s="372">
        <f t="shared" si="29"/>
        <v>2</v>
      </c>
      <c r="J120" s="372">
        <f t="shared" si="29"/>
        <v>2</v>
      </c>
      <c r="K120" s="372">
        <f t="shared" si="29"/>
        <v>3</v>
      </c>
      <c r="L120" s="372">
        <f t="shared" si="29"/>
        <v>4</v>
      </c>
      <c r="M120" s="372">
        <f t="shared" si="29"/>
        <v>5</v>
      </c>
    </row>
    <row r="121" spans="1:18" s="282" customFormat="1">
      <c r="A121" s="276">
        <f>ROW()</f>
        <v>121</v>
      </c>
      <c r="B121" s="730"/>
      <c r="C121" s="730"/>
      <c r="D121" s="731"/>
      <c r="E121" s="731"/>
      <c r="F121" s="731"/>
      <c r="G121" s="728"/>
      <c r="H121" s="728"/>
      <c r="I121" s="713"/>
      <c r="J121" s="713"/>
      <c r="K121" s="713"/>
      <c r="L121" s="713"/>
      <c r="M121" s="713"/>
      <c r="N121" s="406"/>
      <c r="P121" s="406"/>
      <c r="Q121" s="406"/>
      <c r="R121" s="406"/>
    </row>
    <row r="122" spans="1:18" s="282" customFormat="1">
      <c r="A122" s="276">
        <f>ROW()</f>
        <v>122</v>
      </c>
      <c r="B122" s="727" t="s">
        <v>215</v>
      </c>
      <c r="C122" s="289"/>
      <c r="D122" s="815"/>
      <c r="E122" s="815"/>
      <c r="F122" s="815"/>
      <c r="G122" s="816"/>
      <c r="H122" s="816"/>
      <c r="I122" s="744"/>
      <c r="J122" s="744"/>
      <c r="K122" s="744"/>
      <c r="L122" s="744"/>
      <c r="M122" s="744"/>
      <c r="N122" s="406"/>
      <c r="P122" s="406"/>
      <c r="Q122" s="406"/>
      <c r="R122" s="406"/>
    </row>
    <row r="123" spans="1:18" s="282" customFormat="1">
      <c r="A123" s="276">
        <f>ROW()</f>
        <v>123</v>
      </c>
      <c r="B123" s="811" t="s">
        <v>416</v>
      </c>
      <c r="C123" s="812">
        <v>2022</v>
      </c>
      <c r="D123" s="814">
        <v>40000</v>
      </c>
      <c r="E123" s="1192"/>
      <c r="F123" s="1192"/>
      <c r="G123" s="406">
        <f t="shared" ref="G123:M126" si="30">IF($C123&lt;=G$81,1,0)</f>
        <v>0</v>
      </c>
      <c r="H123" s="406">
        <f t="shared" si="30"/>
        <v>1</v>
      </c>
      <c r="I123" s="406">
        <f t="shared" si="30"/>
        <v>1</v>
      </c>
      <c r="J123" s="406">
        <f t="shared" si="30"/>
        <v>1</v>
      </c>
      <c r="K123" s="406">
        <f t="shared" si="30"/>
        <v>1</v>
      </c>
      <c r="L123" s="406">
        <f t="shared" si="30"/>
        <v>1</v>
      </c>
      <c r="M123" s="406">
        <f t="shared" si="30"/>
        <v>1</v>
      </c>
      <c r="N123" s="406"/>
    </row>
    <row r="124" spans="1:18" s="282" customFormat="1">
      <c r="A124" s="276">
        <f>ROW()</f>
        <v>124</v>
      </c>
      <c r="B124" s="629" t="s">
        <v>950</v>
      </c>
      <c r="C124" s="630">
        <v>2022</v>
      </c>
      <c r="D124" s="662">
        <v>34000</v>
      </c>
      <c r="E124" s="1191"/>
      <c r="F124" s="1191"/>
      <c r="G124" s="406">
        <f t="shared" si="30"/>
        <v>0</v>
      </c>
      <c r="H124" s="406">
        <f t="shared" si="30"/>
        <v>1</v>
      </c>
      <c r="I124" s="406">
        <f t="shared" si="30"/>
        <v>1</v>
      </c>
      <c r="J124" s="406">
        <f t="shared" si="30"/>
        <v>1</v>
      </c>
      <c r="K124" s="406">
        <f t="shared" si="30"/>
        <v>1</v>
      </c>
      <c r="L124" s="406">
        <f t="shared" si="30"/>
        <v>1</v>
      </c>
      <c r="M124" s="406">
        <f t="shared" si="30"/>
        <v>1</v>
      </c>
      <c r="N124" s="406"/>
    </row>
    <row r="125" spans="1:18" s="282" customFormat="1">
      <c r="A125" s="276">
        <f>ROW()</f>
        <v>125</v>
      </c>
      <c r="B125" s="629" t="s">
        <v>950</v>
      </c>
      <c r="C125" s="630">
        <v>2024</v>
      </c>
      <c r="D125" s="662">
        <v>34000</v>
      </c>
      <c r="E125" s="1191"/>
      <c r="F125" s="1191"/>
      <c r="G125" s="406">
        <f t="shared" si="30"/>
        <v>0</v>
      </c>
      <c r="H125" s="406">
        <f t="shared" si="30"/>
        <v>0</v>
      </c>
      <c r="I125" s="406">
        <f t="shared" si="30"/>
        <v>0</v>
      </c>
      <c r="J125" s="406">
        <f t="shared" si="30"/>
        <v>1</v>
      </c>
      <c r="K125" s="406">
        <f t="shared" si="30"/>
        <v>1</v>
      </c>
      <c r="L125" s="406">
        <f t="shared" si="30"/>
        <v>1</v>
      </c>
      <c r="M125" s="406">
        <f t="shared" si="30"/>
        <v>1</v>
      </c>
      <c r="N125" s="406"/>
    </row>
    <row r="126" spans="1:18" s="282" customFormat="1">
      <c r="A126" s="276">
        <f>ROW()</f>
        <v>126</v>
      </c>
      <c r="B126" s="631" t="s">
        <v>446</v>
      </c>
      <c r="C126" s="632" t="s">
        <v>713</v>
      </c>
      <c r="D126" s="663">
        <v>0</v>
      </c>
      <c r="E126" s="1191"/>
      <c r="F126" s="1191"/>
      <c r="G126" s="406">
        <f t="shared" si="30"/>
        <v>0</v>
      </c>
      <c r="H126" s="406">
        <f t="shared" si="30"/>
        <v>0</v>
      </c>
      <c r="I126" s="406">
        <f t="shared" si="30"/>
        <v>0</v>
      </c>
      <c r="J126" s="406">
        <f t="shared" si="30"/>
        <v>0</v>
      </c>
      <c r="K126" s="406">
        <f t="shared" si="30"/>
        <v>0</v>
      </c>
      <c r="L126" s="406">
        <f t="shared" si="30"/>
        <v>0</v>
      </c>
      <c r="M126" s="406">
        <f t="shared" si="30"/>
        <v>0</v>
      </c>
      <c r="N126" s="406"/>
    </row>
    <row r="127" spans="1:18" s="282" customFormat="1">
      <c r="A127" s="276">
        <f>ROW()</f>
        <v>127</v>
      </c>
      <c r="D127" s="416"/>
      <c r="E127" s="416"/>
      <c r="F127" s="416"/>
      <c r="G127" s="406"/>
      <c r="H127" s="406"/>
      <c r="I127" s="406"/>
      <c r="J127" s="406"/>
      <c r="K127" s="406"/>
      <c r="L127" s="406"/>
      <c r="M127" s="406"/>
      <c r="N127" s="406"/>
    </row>
    <row r="128" spans="1:18" s="282" customFormat="1">
      <c r="A128" s="276">
        <f>ROW()</f>
        <v>128</v>
      </c>
      <c r="B128" s="362" t="s">
        <v>95</v>
      </c>
      <c r="C128" s="414"/>
      <c r="D128" s="417"/>
      <c r="E128" s="737"/>
      <c r="F128" s="737"/>
      <c r="G128" s="372">
        <f t="shared" ref="G128:M128" si="31">SUM(G123:G126)</f>
        <v>0</v>
      </c>
      <c r="H128" s="372">
        <f t="shared" si="31"/>
        <v>2</v>
      </c>
      <c r="I128" s="372">
        <f t="shared" si="31"/>
        <v>2</v>
      </c>
      <c r="J128" s="372">
        <f t="shared" si="31"/>
        <v>3</v>
      </c>
      <c r="K128" s="372">
        <f t="shared" si="31"/>
        <v>3</v>
      </c>
      <c r="L128" s="372">
        <f t="shared" si="31"/>
        <v>3</v>
      </c>
      <c r="M128" s="372">
        <f t="shared" si="31"/>
        <v>3</v>
      </c>
      <c r="N128" s="406"/>
    </row>
    <row r="129" spans="1:18" s="282" customFormat="1">
      <c r="A129" s="276">
        <f>ROW()</f>
        <v>129</v>
      </c>
      <c r="B129" s="710"/>
      <c r="C129" s="710"/>
      <c r="D129" s="711"/>
      <c r="E129" s="711"/>
      <c r="F129" s="711"/>
      <c r="G129" s="712"/>
      <c r="H129" s="712"/>
      <c r="I129" s="712"/>
      <c r="J129" s="713"/>
      <c r="K129" s="713"/>
      <c r="L129" s="713"/>
      <c r="M129" s="713"/>
      <c r="N129" s="406"/>
      <c r="P129" s="406"/>
      <c r="Q129" s="406"/>
      <c r="R129" s="406"/>
    </row>
    <row r="130" spans="1:18" s="282" customFormat="1">
      <c r="A130" s="276">
        <f>ROW()</f>
        <v>130</v>
      </c>
      <c r="B130" s="727" t="s">
        <v>708</v>
      </c>
      <c r="C130" s="289"/>
      <c r="D130" s="815"/>
      <c r="E130" s="815"/>
      <c r="F130" s="815"/>
      <c r="G130" s="461"/>
      <c r="H130" s="461"/>
      <c r="I130" s="461"/>
      <c r="J130" s="744"/>
      <c r="K130" s="744"/>
      <c r="L130" s="744"/>
      <c r="M130" s="744"/>
      <c r="N130" s="406"/>
      <c r="P130" s="406"/>
      <c r="Q130" s="406"/>
      <c r="R130" s="406"/>
    </row>
    <row r="131" spans="1:18" s="282" customFormat="1" outlineLevel="1">
      <c r="A131" s="276">
        <f>ROW()</f>
        <v>131</v>
      </c>
      <c r="B131" s="617" t="s">
        <v>961</v>
      </c>
      <c r="C131" s="818">
        <v>2022</v>
      </c>
      <c r="D131" s="819">
        <v>45000</v>
      </c>
      <c r="E131" s="1192"/>
      <c r="F131" s="1192"/>
      <c r="G131" s="406">
        <f t="shared" ref="G131:M139" si="32">IF($C131&lt;=G$81,1,0)</f>
        <v>0</v>
      </c>
      <c r="H131" s="406">
        <f t="shared" si="32"/>
        <v>1</v>
      </c>
      <c r="I131" s="406">
        <f t="shared" si="32"/>
        <v>1</v>
      </c>
      <c r="J131" s="406">
        <f t="shared" si="32"/>
        <v>1</v>
      </c>
      <c r="K131" s="406">
        <f t="shared" si="32"/>
        <v>1</v>
      </c>
      <c r="L131" s="406">
        <f t="shared" si="32"/>
        <v>1</v>
      </c>
      <c r="M131" s="406">
        <f t="shared" si="32"/>
        <v>1</v>
      </c>
      <c r="N131" s="406"/>
    </row>
    <row r="132" spans="1:18" s="282" customFormat="1" outlineLevel="1">
      <c r="A132" s="276">
        <f>ROW()</f>
        <v>132</v>
      </c>
      <c r="B132" s="617" t="s">
        <v>961</v>
      </c>
      <c r="C132" s="618">
        <v>2023</v>
      </c>
      <c r="D132" s="819">
        <v>45000</v>
      </c>
      <c r="E132" s="1191"/>
      <c r="F132" s="1191"/>
      <c r="G132" s="406">
        <f t="shared" si="32"/>
        <v>0</v>
      </c>
      <c r="H132" s="406">
        <f t="shared" si="32"/>
        <v>0</v>
      </c>
      <c r="I132" s="406">
        <f t="shared" si="32"/>
        <v>1</v>
      </c>
      <c r="J132" s="406">
        <f t="shared" si="32"/>
        <v>1</v>
      </c>
      <c r="K132" s="406">
        <f t="shared" si="32"/>
        <v>1</v>
      </c>
      <c r="L132" s="406">
        <f t="shared" si="32"/>
        <v>1</v>
      </c>
      <c r="M132" s="406">
        <f t="shared" si="32"/>
        <v>1</v>
      </c>
      <c r="N132" s="406"/>
    </row>
    <row r="133" spans="1:18" s="282" customFormat="1" outlineLevel="1">
      <c r="A133" s="276">
        <f>ROW()</f>
        <v>133</v>
      </c>
      <c r="B133" s="617" t="s">
        <v>961</v>
      </c>
      <c r="C133" s="618">
        <v>2025</v>
      </c>
      <c r="D133" s="819">
        <v>45000</v>
      </c>
      <c r="E133" s="1191"/>
      <c r="F133" s="1191"/>
      <c r="G133" s="406">
        <f t="shared" si="32"/>
        <v>0</v>
      </c>
      <c r="H133" s="406">
        <f t="shared" si="32"/>
        <v>0</v>
      </c>
      <c r="I133" s="406">
        <f t="shared" si="32"/>
        <v>0</v>
      </c>
      <c r="J133" s="406">
        <f t="shared" si="32"/>
        <v>0</v>
      </c>
      <c r="K133" s="406">
        <f t="shared" si="32"/>
        <v>1</v>
      </c>
      <c r="L133" s="406">
        <f t="shared" si="32"/>
        <v>1</v>
      </c>
      <c r="M133" s="406">
        <f t="shared" si="32"/>
        <v>1</v>
      </c>
      <c r="N133" s="406"/>
    </row>
    <row r="134" spans="1:18" s="282" customFormat="1" outlineLevel="1">
      <c r="A134" s="276">
        <f>ROW()</f>
        <v>134</v>
      </c>
      <c r="B134" s="617" t="s">
        <v>961</v>
      </c>
      <c r="C134" s="618">
        <v>2027</v>
      </c>
      <c r="D134" s="819">
        <v>45000</v>
      </c>
      <c r="E134" s="1191"/>
      <c r="F134" s="1191"/>
      <c r="G134" s="406">
        <f t="shared" si="32"/>
        <v>0</v>
      </c>
      <c r="H134" s="406">
        <f t="shared" si="32"/>
        <v>0</v>
      </c>
      <c r="I134" s="406">
        <f t="shared" si="32"/>
        <v>0</v>
      </c>
      <c r="J134" s="406">
        <f t="shared" si="32"/>
        <v>0</v>
      </c>
      <c r="K134" s="406">
        <f t="shared" si="32"/>
        <v>0</v>
      </c>
      <c r="L134" s="406">
        <f t="shared" si="32"/>
        <v>0</v>
      </c>
      <c r="M134" s="406">
        <f t="shared" si="32"/>
        <v>1</v>
      </c>
      <c r="N134" s="406"/>
    </row>
    <row r="135" spans="1:18" s="282" customFormat="1" outlineLevel="1">
      <c r="A135" s="276">
        <f>ROW()</f>
        <v>135</v>
      </c>
      <c r="B135" s="617"/>
      <c r="C135" s="618" t="s">
        <v>713</v>
      </c>
      <c r="D135" s="664">
        <v>0</v>
      </c>
      <c r="E135" s="1191"/>
      <c r="F135" s="1191"/>
      <c r="G135" s="406">
        <f t="shared" si="32"/>
        <v>0</v>
      </c>
      <c r="H135" s="406">
        <f t="shared" si="32"/>
        <v>0</v>
      </c>
      <c r="I135" s="406">
        <f t="shared" si="32"/>
        <v>0</v>
      </c>
      <c r="J135" s="406">
        <f t="shared" si="32"/>
        <v>0</v>
      </c>
      <c r="K135" s="406">
        <f t="shared" si="32"/>
        <v>0</v>
      </c>
      <c r="L135" s="406">
        <f t="shared" si="32"/>
        <v>0</v>
      </c>
      <c r="M135" s="406">
        <f t="shared" si="32"/>
        <v>0</v>
      </c>
      <c r="N135" s="406"/>
    </row>
    <row r="136" spans="1:18" s="282" customFormat="1" outlineLevel="1">
      <c r="A136" s="276">
        <f>ROW()</f>
        <v>136</v>
      </c>
      <c r="B136" s="617"/>
      <c r="C136" s="618" t="s">
        <v>713</v>
      </c>
      <c r="D136" s="664">
        <v>0</v>
      </c>
      <c r="E136" s="1191"/>
      <c r="F136" s="1191"/>
      <c r="G136" s="406">
        <f t="shared" si="32"/>
        <v>0</v>
      </c>
      <c r="H136" s="406">
        <f t="shared" si="32"/>
        <v>0</v>
      </c>
      <c r="I136" s="406">
        <f t="shared" si="32"/>
        <v>0</v>
      </c>
      <c r="J136" s="406">
        <f t="shared" si="32"/>
        <v>0</v>
      </c>
      <c r="K136" s="406">
        <f t="shared" si="32"/>
        <v>0</v>
      </c>
      <c r="L136" s="406">
        <f t="shared" si="32"/>
        <v>0</v>
      </c>
      <c r="M136" s="406">
        <f t="shared" si="32"/>
        <v>0</v>
      </c>
      <c r="N136" s="406"/>
    </row>
    <row r="137" spans="1:18" s="282" customFormat="1" outlineLevel="1">
      <c r="A137" s="276">
        <f>ROW()</f>
        <v>137</v>
      </c>
      <c r="B137" s="617"/>
      <c r="C137" s="618" t="s">
        <v>713</v>
      </c>
      <c r="D137" s="664">
        <v>0</v>
      </c>
      <c r="E137" s="1191"/>
      <c r="F137" s="1191"/>
      <c r="G137" s="406">
        <f t="shared" si="32"/>
        <v>0</v>
      </c>
      <c r="H137" s="406">
        <f t="shared" si="32"/>
        <v>0</v>
      </c>
      <c r="I137" s="406">
        <f t="shared" si="32"/>
        <v>0</v>
      </c>
      <c r="J137" s="406">
        <f t="shared" si="32"/>
        <v>0</v>
      </c>
      <c r="K137" s="406">
        <f t="shared" si="32"/>
        <v>0</v>
      </c>
      <c r="L137" s="406">
        <f t="shared" si="32"/>
        <v>0</v>
      </c>
      <c r="M137" s="406">
        <f t="shared" si="32"/>
        <v>0</v>
      </c>
      <c r="N137" s="406"/>
    </row>
    <row r="138" spans="1:18" s="282" customFormat="1" outlineLevel="1">
      <c r="A138" s="276">
        <f>ROW()</f>
        <v>138</v>
      </c>
      <c r="B138" s="617"/>
      <c r="C138" s="618" t="s">
        <v>713</v>
      </c>
      <c r="D138" s="664">
        <v>0</v>
      </c>
      <c r="E138" s="1191"/>
      <c r="F138" s="1191"/>
      <c r="G138" s="406">
        <f t="shared" si="32"/>
        <v>0</v>
      </c>
      <c r="H138" s="406">
        <f t="shared" si="32"/>
        <v>0</v>
      </c>
      <c r="I138" s="406">
        <f t="shared" si="32"/>
        <v>0</v>
      </c>
      <c r="J138" s="406">
        <f t="shared" si="32"/>
        <v>0</v>
      </c>
      <c r="K138" s="406">
        <f t="shared" si="32"/>
        <v>0</v>
      </c>
      <c r="L138" s="406">
        <f t="shared" si="32"/>
        <v>0</v>
      </c>
      <c r="M138" s="406">
        <f t="shared" si="32"/>
        <v>0</v>
      </c>
      <c r="N138" s="406"/>
    </row>
    <row r="139" spans="1:18" s="282" customFormat="1" outlineLevel="1">
      <c r="A139" s="276">
        <f>ROW()</f>
        <v>139</v>
      </c>
      <c r="B139" s="617"/>
      <c r="C139" s="618" t="s">
        <v>713</v>
      </c>
      <c r="D139" s="664">
        <v>0</v>
      </c>
      <c r="E139" s="1191"/>
      <c r="F139" s="1191"/>
      <c r="G139" s="406">
        <f t="shared" si="32"/>
        <v>0</v>
      </c>
      <c r="H139" s="406">
        <f t="shared" si="32"/>
        <v>0</v>
      </c>
      <c r="I139" s="406">
        <f t="shared" si="32"/>
        <v>0</v>
      </c>
      <c r="J139" s="406">
        <f t="shared" si="32"/>
        <v>0</v>
      </c>
      <c r="K139" s="406">
        <f t="shared" si="32"/>
        <v>0</v>
      </c>
      <c r="L139" s="406">
        <f t="shared" si="32"/>
        <v>0</v>
      </c>
      <c r="M139" s="406">
        <f t="shared" si="32"/>
        <v>0</v>
      </c>
      <c r="N139" s="406"/>
    </row>
    <row r="140" spans="1:18" s="282" customFormat="1">
      <c r="A140" s="276"/>
      <c r="B140" s="362" t="s">
        <v>623</v>
      </c>
      <c r="C140" s="362"/>
      <c r="D140" s="545"/>
      <c r="E140" s="545"/>
      <c r="F140" s="545"/>
      <c r="G140" s="703">
        <f t="shared" ref="G140:M140" si="33">SUM(G131:G139)</f>
        <v>0</v>
      </c>
      <c r="H140" s="703">
        <f t="shared" si="33"/>
        <v>1</v>
      </c>
      <c r="I140" s="372">
        <f t="shared" si="33"/>
        <v>2</v>
      </c>
      <c r="J140" s="372">
        <f t="shared" si="33"/>
        <v>2</v>
      </c>
      <c r="K140" s="372">
        <f t="shared" si="33"/>
        <v>3</v>
      </c>
      <c r="L140" s="372">
        <f t="shared" si="33"/>
        <v>3</v>
      </c>
      <c r="M140" s="372">
        <f t="shared" si="33"/>
        <v>4</v>
      </c>
      <c r="N140" s="406"/>
    </row>
    <row r="141" spans="1:18" s="282" customFormat="1">
      <c r="A141" s="276"/>
      <c r="B141" s="714"/>
      <c r="C141" s="714"/>
      <c r="D141" s="714"/>
      <c r="E141" s="714"/>
      <c r="F141" s="714"/>
      <c r="G141" s="728"/>
      <c r="H141" s="728"/>
      <c r="I141" s="729"/>
      <c r="J141" s="729"/>
      <c r="K141" s="729"/>
      <c r="L141" s="729"/>
      <c r="M141" s="729"/>
      <c r="N141" s="406"/>
    </row>
    <row r="142" spans="1:18" s="282" customFormat="1" ht="16">
      <c r="A142" s="276"/>
      <c r="B142" s="741" t="s">
        <v>709</v>
      </c>
      <c r="C142" s="289"/>
      <c r="D142" s="815"/>
      <c r="E142" s="815"/>
      <c r="F142" s="815"/>
      <c r="G142" s="461"/>
      <c r="H142" s="461"/>
      <c r="I142" s="461"/>
      <c r="J142" s="744"/>
      <c r="K142" s="744"/>
      <c r="L142" s="744"/>
      <c r="M142" s="744"/>
      <c r="N142" s="406"/>
    </row>
    <row r="143" spans="1:18" s="282" customFormat="1" outlineLevel="2">
      <c r="A143" s="276">
        <f>ROW()</f>
        <v>143</v>
      </c>
      <c r="B143" s="817" t="s">
        <v>968</v>
      </c>
      <c r="C143" s="818">
        <v>2022</v>
      </c>
      <c r="D143" s="819">
        <v>45000</v>
      </c>
      <c r="E143" s="1192"/>
      <c r="F143" s="1192"/>
      <c r="G143" s="406">
        <f t="shared" ref="G143:M151" si="34">IF($C143&lt;=G$81,1,0)</f>
        <v>0</v>
      </c>
      <c r="H143" s="406">
        <f t="shared" si="34"/>
        <v>1</v>
      </c>
      <c r="I143" s="406">
        <f t="shared" si="34"/>
        <v>1</v>
      </c>
      <c r="J143" s="406">
        <f t="shared" si="34"/>
        <v>1</v>
      </c>
      <c r="K143" s="406">
        <f t="shared" si="34"/>
        <v>1</v>
      </c>
      <c r="L143" s="406">
        <f t="shared" si="34"/>
        <v>1</v>
      </c>
      <c r="M143" s="406">
        <f t="shared" si="34"/>
        <v>1</v>
      </c>
      <c r="N143" s="406"/>
    </row>
    <row r="144" spans="1:18" s="282" customFormat="1" outlineLevel="2">
      <c r="A144" s="276">
        <f>ROW()</f>
        <v>144</v>
      </c>
      <c r="B144" s="817" t="s">
        <v>960</v>
      </c>
      <c r="C144" s="618">
        <v>2024</v>
      </c>
      <c r="D144" s="664">
        <v>45000</v>
      </c>
      <c r="E144" s="1191"/>
      <c r="F144" s="1191"/>
      <c r="G144" s="406">
        <f t="shared" si="34"/>
        <v>0</v>
      </c>
      <c r="H144" s="406">
        <f t="shared" si="34"/>
        <v>0</v>
      </c>
      <c r="I144" s="406">
        <f t="shared" si="34"/>
        <v>0</v>
      </c>
      <c r="J144" s="406">
        <f t="shared" si="34"/>
        <v>1</v>
      </c>
      <c r="K144" s="406">
        <f t="shared" si="34"/>
        <v>1</v>
      </c>
      <c r="L144" s="406">
        <f t="shared" si="34"/>
        <v>1</v>
      </c>
      <c r="M144" s="406">
        <f t="shared" si="34"/>
        <v>1</v>
      </c>
      <c r="N144" s="406"/>
    </row>
    <row r="145" spans="1:14" s="282" customFormat="1" outlineLevel="2">
      <c r="A145" s="276">
        <f>ROW()</f>
        <v>145</v>
      </c>
      <c r="B145" s="817" t="s">
        <v>960</v>
      </c>
      <c r="C145" s="618">
        <v>2026</v>
      </c>
      <c r="D145" s="664">
        <v>45000</v>
      </c>
      <c r="E145" s="1191"/>
      <c r="F145" s="1191"/>
      <c r="G145" s="406">
        <f t="shared" si="34"/>
        <v>0</v>
      </c>
      <c r="H145" s="406">
        <f t="shared" si="34"/>
        <v>0</v>
      </c>
      <c r="I145" s="406">
        <f t="shared" si="34"/>
        <v>0</v>
      </c>
      <c r="J145" s="406">
        <f t="shared" si="34"/>
        <v>0</v>
      </c>
      <c r="K145" s="406">
        <f t="shared" si="34"/>
        <v>0</v>
      </c>
      <c r="L145" s="406">
        <f t="shared" si="34"/>
        <v>1</v>
      </c>
      <c r="M145" s="406">
        <f t="shared" si="34"/>
        <v>1</v>
      </c>
      <c r="N145" s="406"/>
    </row>
    <row r="146" spans="1:14" s="282" customFormat="1" outlineLevel="2">
      <c r="A146" s="276">
        <f>ROW()</f>
        <v>146</v>
      </c>
      <c r="B146" s="617"/>
      <c r="C146" s="618" t="s">
        <v>713</v>
      </c>
      <c r="D146" s="664">
        <v>0</v>
      </c>
      <c r="E146" s="1191"/>
      <c r="F146" s="1191"/>
      <c r="G146" s="406">
        <f t="shared" si="34"/>
        <v>0</v>
      </c>
      <c r="H146" s="406">
        <f t="shared" si="34"/>
        <v>0</v>
      </c>
      <c r="I146" s="406">
        <f t="shared" si="34"/>
        <v>0</v>
      </c>
      <c r="J146" s="406">
        <f t="shared" si="34"/>
        <v>0</v>
      </c>
      <c r="K146" s="406">
        <f t="shared" si="34"/>
        <v>0</v>
      </c>
      <c r="L146" s="406">
        <f t="shared" si="34"/>
        <v>0</v>
      </c>
      <c r="M146" s="406">
        <f t="shared" si="34"/>
        <v>0</v>
      </c>
      <c r="N146" s="406"/>
    </row>
    <row r="147" spans="1:14" s="282" customFormat="1" outlineLevel="2">
      <c r="A147" s="276">
        <f>ROW()</f>
        <v>147</v>
      </c>
      <c r="B147" s="617"/>
      <c r="C147" s="618" t="s">
        <v>713</v>
      </c>
      <c r="D147" s="664">
        <v>0</v>
      </c>
      <c r="E147" s="1191"/>
      <c r="F147" s="1191"/>
      <c r="G147" s="406">
        <f t="shared" si="34"/>
        <v>0</v>
      </c>
      <c r="H147" s="406">
        <f t="shared" si="34"/>
        <v>0</v>
      </c>
      <c r="I147" s="406">
        <f t="shared" si="34"/>
        <v>0</v>
      </c>
      <c r="J147" s="406">
        <f t="shared" si="34"/>
        <v>0</v>
      </c>
      <c r="K147" s="406">
        <f t="shared" si="34"/>
        <v>0</v>
      </c>
      <c r="L147" s="406">
        <f t="shared" si="34"/>
        <v>0</v>
      </c>
      <c r="M147" s="406">
        <f t="shared" si="34"/>
        <v>0</v>
      </c>
      <c r="N147" s="406"/>
    </row>
    <row r="148" spans="1:14" s="282" customFormat="1" outlineLevel="2">
      <c r="A148" s="276">
        <f>ROW()</f>
        <v>148</v>
      </c>
      <c r="B148" s="617"/>
      <c r="C148" s="618" t="s">
        <v>713</v>
      </c>
      <c r="D148" s="664">
        <v>0</v>
      </c>
      <c r="E148" s="1191"/>
      <c r="F148" s="1191"/>
      <c r="G148" s="406">
        <f t="shared" si="34"/>
        <v>0</v>
      </c>
      <c r="H148" s="406">
        <f t="shared" si="34"/>
        <v>0</v>
      </c>
      <c r="I148" s="406">
        <f t="shared" si="34"/>
        <v>0</v>
      </c>
      <c r="J148" s="406">
        <f t="shared" si="34"/>
        <v>0</v>
      </c>
      <c r="K148" s="406">
        <f t="shared" si="34"/>
        <v>0</v>
      </c>
      <c r="L148" s="406">
        <f t="shared" si="34"/>
        <v>0</v>
      </c>
      <c r="M148" s="406">
        <f t="shared" si="34"/>
        <v>0</v>
      </c>
      <c r="N148" s="406"/>
    </row>
    <row r="149" spans="1:14" s="282" customFormat="1" outlineLevel="2">
      <c r="A149" s="276">
        <f>ROW()</f>
        <v>149</v>
      </c>
      <c r="B149" s="617"/>
      <c r="C149" s="618" t="s">
        <v>713</v>
      </c>
      <c r="D149" s="664">
        <v>0</v>
      </c>
      <c r="E149" s="1191"/>
      <c r="F149" s="1191"/>
      <c r="G149" s="406">
        <f t="shared" si="34"/>
        <v>0</v>
      </c>
      <c r="H149" s="406">
        <f t="shared" si="34"/>
        <v>0</v>
      </c>
      <c r="I149" s="406">
        <f t="shared" si="34"/>
        <v>0</v>
      </c>
      <c r="J149" s="406">
        <f t="shared" si="34"/>
        <v>0</v>
      </c>
      <c r="K149" s="406">
        <f t="shared" si="34"/>
        <v>0</v>
      </c>
      <c r="L149" s="406">
        <f t="shared" si="34"/>
        <v>0</v>
      </c>
      <c r="M149" s="406">
        <f t="shared" si="34"/>
        <v>0</v>
      </c>
      <c r="N149" s="406"/>
    </row>
    <row r="150" spans="1:14" s="282" customFormat="1" outlineLevel="2">
      <c r="A150" s="276">
        <f>ROW()</f>
        <v>150</v>
      </c>
      <c r="B150" s="617"/>
      <c r="C150" s="618" t="s">
        <v>713</v>
      </c>
      <c r="D150" s="664">
        <v>0</v>
      </c>
      <c r="E150" s="1191"/>
      <c r="F150" s="1191"/>
      <c r="G150" s="406">
        <f t="shared" si="34"/>
        <v>0</v>
      </c>
      <c r="H150" s="406">
        <f t="shared" si="34"/>
        <v>0</v>
      </c>
      <c r="I150" s="406">
        <f t="shared" si="34"/>
        <v>0</v>
      </c>
      <c r="J150" s="406">
        <f t="shared" si="34"/>
        <v>0</v>
      </c>
      <c r="K150" s="406">
        <f t="shared" si="34"/>
        <v>0</v>
      </c>
      <c r="L150" s="406">
        <f t="shared" si="34"/>
        <v>0</v>
      </c>
      <c r="M150" s="406">
        <f t="shared" si="34"/>
        <v>0</v>
      </c>
      <c r="N150" s="406"/>
    </row>
    <row r="151" spans="1:14" s="282" customFormat="1" outlineLevel="2">
      <c r="A151" s="276">
        <f>ROW()</f>
        <v>151</v>
      </c>
      <c r="B151" s="617"/>
      <c r="C151" s="618" t="s">
        <v>713</v>
      </c>
      <c r="D151" s="664"/>
      <c r="E151" s="1191"/>
      <c r="F151" s="1191"/>
      <c r="G151" s="406">
        <f t="shared" si="34"/>
        <v>0</v>
      </c>
      <c r="H151" s="406">
        <f t="shared" si="34"/>
        <v>0</v>
      </c>
      <c r="I151" s="406">
        <f t="shared" si="34"/>
        <v>0</v>
      </c>
      <c r="J151" s="406">
        <f t="shared" si="34"/>
        <v>0</v>
      </c>
      <c r="K151" s="406">
        <f t="shared" si="34"/>
        <v>0</v>
      </c>
      <c r="L151" s="406">
        <f t="shared" si="34"/>
        <v>0</v>
      </c>
      <c r="M151" s="406">
        <f t="shared" si="34"/>
        <v>0</v>
      </c>
      <c r="N151" s="406"/>
    </row>
    <row r="152" spans="1:14" s="282" customFormat="1" outlineLevel="1">
      <c r="A152" s="276"/>
      <c r="B152" s="362" t="s">
        <v>710</v>
      </c>
      <c r="C152" s="362"/>
      <c r="D152" s="545"/>
      <c r="E152" s="545"/>
      <c r="F152" s="545"/>
      <c r="G152" s="703">
        <f t="shared" ref="G152:M152" si="35">SUM(G143:G151)</f>
        <v>0</v>
      </c>
      <c r="H152" s="703">
        <f t="shared" si="35"/>
        <v>1</v>
      </c>
      <c r="I152" s="372">
        <f t="shared" si="35"/>
        <v>1</v>
      </c>
      <c r="J152" s="372">
        <f t="shared" si="35"/>
        <v>2</v>
      </c>
      <c r="K152" s="372">
        <f t="shared" si="35"/>
        <v>2</v>
      </c>
      <c r="L152" s="372">
        <f t="shared" si="35"/>
        <v>3</v>
      </c>
      <c r="M152" s="372">
        <f t="shared" si="35"/>
        <v>3</v>
      </c>
      <c r="N152" s="406"/>
    </row>
    <row r="153" spans="1:14" s="282" customFormat="1" outlineLevel="1">
      <c r="A153" s="276"/>
      <c r="B153" s="714"/>
      <c r="C153" s="714"/>
      <c r="D153" s="714"/>
      <c r="E153" s="714"/>
      <c r="F153" s="714"/>
      <c r="G153" s="728"/>
      <c r="H153" s="728"/>
      <c r="I153" s="728"/>
      <c r="J153" s="728"/>
      <c r="K153" s="728"/>
      <c r="L153" s="728"/>
      <c r="M153" s="728"/>
      <c r="N153" s="406"/>
    </row>
    <row r="154" spans="1:14" s="282" customFormat="1" ht="16" outlineLevel="1">
      <c r="A154" s="276"/>
      <c r="B154" s="741" t="s">
        <v>718</v>
      </c>
      <c r="C154" s="289"/>
      <c r="D154" s="815"/>
      <c r="E154" s="815"/>
      <c r="F154" s="815"/>
      <c r="G154" s="816"/>
      <c r="H154" s="816"/>
      <c r="I154" s="816"/>
      <c r="J154" s="816"/>
      <c r="K154" s="816"/>
      <c r="L154" s="816"/>
      <c r="M154" s="816"/>
      <c r="N154" s="406"/>
    </row>
    <row r="155" spans="1:14" s="282" customFormat="1" outlineLevel="1">
      <c r="A155" s="276">
        <f>ROW()</f>
        <v>155</v>
      </c>
      <c r="B155" s="817" t="s">
        <v>951</v>
      </c>
      <c r="C155" s="818">
        <v>2023</v>
      </c>
      <c r="D155" s="819">
        <v>50000</v>
      </c>
      <c r="E155" s="1191"/>
      <c r="F155" s="1191"/>
      <c r="G155" s="406">
        <f t="shared" ref="G155:M163" si="36">IF($C155&lt;=G$81,1,0)</f>
        <v>0</v>
      </c>
      <c r="H155" s="406">
        <f t="shared" si="36"/>
        <v>0</v>
      </c>
      <c r="I155" s="406">
        <f t="shared" si="36"/>
        <v>1</v>
      </c>
      <c r="J155" s="406">
        <f t="shared" si="36"/>
        <v>1</v>
      </c>
      <c r="K155" s="406">
        <f t="shared" si="36"/>
        <v>1</v>
      </c>
      <c r="L155" s="406">
        <f t="shared" si="36"/>
        <v>1</v>
      </c>
      <c r="M155" s="406">
        <f t="shared" si="36"/>
        <v>1</v>
      </c>
      <c r="N155" s="406"/>
    </row>
    <row r="156" spans="1:14" s="282" customFormat="1" outlineLevel="1">
      <c r="A156" s="276">
        <f>ROW()</f>
        <v>156</v>
      </c>
      <c r="B156" s="617" t="s">
        <v>951</v>
      </c>
      <c r="C156" s="618">
        <v>2024</v>
      </c>
      <c r="D156" s="664">
        <v>50000</v>
      </c>
      <c r="E156" s="1191"/>
      <c r="F156" s="1191"/>
      <c r="G156" s="406">
        <f t="shared" si="36"/>
        <v>0</v>
      </c>
      <c r="H156" s="406">
        <f t="shared" si="36"/>
        <v>0</v>
      </c>
      <c r="I156" s="406">
        <f t="shared" si="36"/>
        <v>0</v>
      </c>
      <c r="J156" s="406">
        <f t="shared" si="36"/>
        <v>1</v>
      </c>
      <c r="K156" s="406">
        <f t="shared" si="36"/>
        <v>1</v>
      </c>
      <c r="L156" s="406">
        <f t="shared" si="36"/>
        <v>1</v>
      </c>
      <c r="M156" s="406">
        <f t="shared" si="36"/>
        <v>1</v>
      </c>
      <c r="N156" s="406"/>
    </row>
    <row r="157" spans="1:14" s="282" customFormat="1" outlineLevel="1">
      <c r="A157" s="276">
        <f>ROW()</f>
        <v>157</v>
      </c>
      <c r="B157" s="617" t="s">
        <v>952</v>
      </c>
      <c r="C157" s="618">
        <v>2022</v>
      </c>
      <c r="D157" s="664">
        <v>30000</v>
      </c>
      <c r="E157" s="1191"/>
      <c r="F157" s="1191"/>
      <c r="G157" s="406">
        <f t="shared" si="36"/>
        <v>0</v>
      </c>
      <c r="H157" s="406">
        <f t="shared" si="36"/>
        <v>1</v>
      </c>
      <c r="I157" s="406">
        <f t="shared" si="36"/>
        <v>1</v>
      </c>
      <c r="J157" s="406">
        <f t="shared" si="36"/>
        <v>1</v>
      </c>
      <c r="K157" s="406">
        <f t="shared" si="36"/>
        <v>1</v>
      </c>
      <c r="L157" s="406">
        <f t="shared" si="36"/>
        <v>1</v>
      </c>
      <c r="M157" s="406">
        <f t="shared" si="36"/>
        <v>1</v>
      </c>
      <c r="N157" s="406"/>
    </row>
    <row r="158" spans="1:14" s="282" customFormat="1" outlineLevel="1">
      <c r="A158" s="276">
        <f>ROW()</f>
        <v>158</v>
      </c>
      <c r="B158" s="617" t="s">
        <v>952</v>
      </c>
      <c r="C158" s="618">
        <v>2024</v>
      </c>
      <c r="D158" s="664">
        <v>30000</v>
      </c>
      <c r="E158" s="1191"/>
      <c r="F158" s="1191"/>
      <c r="G158" s="406">
        <f t="shared" si="36"/>
        <v>0</v>
      </c>
      <c r="H158" s="406">
        <f t="shared" si="36"/>
        <v>0</v>
      </c>
      <c r="I158" s="406">
        <f t="shared" si="36"/>
        <v>0</v>
      </c>
      <c r="J158" s="406">
        <f t="shared" si="36"/>
        <v>1</v>
      </c>
      <c r="K158" s="406">
        <f t="shared" si="36"/>
        <v>1</v>
      </c>
      <c r="L158" s="406">
        <f t="shared" si="36"/>
        <v>1</v>
      </c>
      <c r="M158" s="406">
        <f t="shared" si="36"/>
        <v>1</v>
      </c>
      <c r="N158" s="406"/>
    </row>
    <row r="159" spans="1:14" s="282" customFormat="1" outlineLevel="1">
      <c r="A159" s="276">
        <f>ROW()</f>
        <v>159</v>
      </c>
      <c r="B159" s="617"/>
      <c r="C159" s="618" t="s">
        <v>713</v>
      </c>
      <c r="D159" s="664"/>
      <c r="E159" s="1191"/>
      <c r="F159" s="1191"/>
      <c r="G159" s="406">
        <f t="shared" si="36"/>
        <v>0</v>
      </c>
      <c r="H159" s="406">
        <f t="shared" si="36"/>
        <v>0</v>
      </c>
      <c r="I159" s="406">
        <f t="shared" si="36"/>
        <v>0</v>
      </c>
      <c r="J159" s="406">
        <f t="shared" si="36"/>
        <v>0</v>
      </c>
      <c r="K159" s="406">
        <f t="shared" si="36"/>
        <v>0</v>
      </c>
      <c r="L159" s="406">
        <f t="shared" si="36"/>
        <v>0</v>
      </c>
      <c r="M159" s="406">
        <f t="shared" si="36"/>
        <v>0</v>
      </c>
      <c r="N159" s="406"/>
    </row>
    <row r="160" spans="1:14" s="282" customFormat="1" outlineLevel="1">
      <c r="A160" s="276">
        <f>ROW()</f>
        <v>160</v>
      </c>
      <c r="B160" s="617" t="s">
        <v>953</v>
      </c>
      <c r="C160" s="618">
        <v>2027</v>
      </c>
      <c r="D160" s="664">
        <v>50000</v>
      </c>
      <c r="E160" s="1191"/>
      <c r="F160" s="1191"/>
      <c r="G160" s="406">
        <f t="shared" si="36"/>
        <v>0</v>
      </c>
      <c r="H160" s="406">
        <f t="shared" si="36"/>
        <v>0</v>
      </c>
      <c r="I160" s="406">
        <f t="shared" si="36"/>
        <v>0</v>
      </c>
      <c r="J160" s="406">
        <f t="shared" si="36"/>
        <v>0</v>
      </c>
      <c r="K160" s="406">
        <f t="shared" si="36"/>
        <v>0</v>
      </c>
      <c r="L160" s="406">
        <f t="shared" si="36"/>
        <v>0</v>
      </c>
      <c r="M160" s="406">
        <f t="shared" si="36"/>
        <v>1</v>
      </c>
      <c r="N160" s="406"/>
    </row>
    <row r="161" spans="1:17" s="282" customFormat="1" outlineLevel="1">
      <c r="A161" s="276">
        <f>ROW()</f>
        <v>161</v>
      </c>
      <c r="B161" s="617" t="s">
        <v>954</v>
      </c>
      <c r="C161" s="618">
        <v>2022</v>
      </c>
      <c r="D161" s="664">
        <v>30000</v>
      </c>
      <c r="E161" s="1191"/>
      <c r="F161" s="1191"/>
      <c r="G161" s="406">
        <f t="shared" si="36"/>
        <v>0</v>
      </c>
      <c r="H161" s="406">
        <f t="shared" si="36"/>
        <v>1</v>
      </c>
      <c r="I161" s="406">
        <f t="shared" si="36"/>
        <v>1</v>
      </c>
      <c r="J161" s="406">
        <f t="shared" si="36"/>
        <v>1</v>
      </c>
      <c r="K161" s="406">
        <f t="shared" si="36"/>
        <v>1</v>
      </c>
      <c r="L161" s="406">
        <f t="shared" si="36"/>
        <v>1</v>
      </c>
      <c r="M161" s="406">
        <f t="shared" si="36"/>
        <v>1</v>
      </c>
      <c r="N161" s="406"/>
    </row>
    <row r="162" spans="1:17" s="282" customFormat="1" outlineLevel="1">
      <c r="A162" s="276">
        <f>ROW()</f>
        <v>162</v>
      </c>
      <c r="B162" s="617" t="s">
        <v>954</v>
      </c>
      <c r="C162" s="618">
        <v>2024</v>
      </c>
      <c r="D162" s="664">
        <v>30000</v>
      </c>
      <c r="E162" s="1191"/>
      <c r="F162" s="1191"/>
      <c r="G162" s="406">
        <f t="shared" si="36"/>
        <v>0</v>
      </c>
      <c r="H162" s="406">
        <f t="shared" si="36"/>
        <v>0</v>
      </c>
      <c r="I162" s="406">
        <f t="shared" si="36"/>
        <v>0</v>
      </c>
      <c r="J162" s="406">
        <f t="shared" si="36"/>
        <v>1</v>
      </c>
      <c r="K162" s="406">
        <f t="shared" si="36"/>
        <v>1</v>
      </c>
      <c r="L162" s="406">
        <f t="shared" si="36"/>
        <v>1</v>
      </c>
      <c r="M162" s="406">
        <f t="shared" si="36"/>
        <v>1</v>
      </c>
      <c r="N162" s="406"/>
    </row>
    <row r="163" spans="1:17" s="282" customFormat="1" outlineLevel="1">
      <c r="A163" s="276">
        <f>ROW()</f>
        <v>163</v>
      </c>
      <c r="B163" s="617" t="s">
        <v>955</v>
      </c>
      <c r="C163" s="618">
        <v>2023</v>
      </c>
      <c r="D163" s="664">
        <v>35000</v>
      </c>
      <c r="E163" s="1191"/>
      <c r="F163" s="1191"/>
      <c r="G163" s="406">
        <f t="shared" si="36"/>
        <v>0</v>
      </c>
      <c r="H163" s="406">
        <f t="shared" si="36"/>
        <v>0</v>
      </c>
      <c r="I163" s="406">
        <f t="shared" si="36"/>
        <v>1</v>
      </c>
      <c r="J163" s="406">
        <f t="shared" si="36"/>
        <v>1</v>
      </c>
      <c r="K163" s="406">
        <f t="shared" si="36"/>
        <v>1</v>
      </c>
      <c r="L163" s="406">
        <f t="shared" si="36"/>
        <v>1</v>
      </c>
      <c r="M163" s="406">
        <f t="shared" si="36"/>
        <v>1</v>
      </c>
      <c r="N163" s="406"/>
    </row>
    <row r="164" spans="1:17" s="282" customFormat="1" outlineLevel="1">
      <c r="A164" s="276">
        <f>ROW()</f>
        <v>164</v>
      </c>
      <c r="B164" s="362" t="s">
        <v>712</v>
      </c>
      <c r="C164" s="362"/>
      <c r="D164" s="545"/>
      <c r="E164" s="545"/>
      <c r="F164" s="545"/>
      <c r="G164" s="703">
        <f t="shared" ref="G164:M164" si="37">SUM(G155:G163)</f>
        <v>0</v>
      </c>
      <c r="H164" s="703">
        <f t="shared" si="37"/>
        <v>2</v>
      </c>
      <c r="I164" s="372">
        <f t="shared" si="37"/>
        <v>4</v>
      </c>
      <c r="J164" s="372">
        <f t="shared" si="37"/>
        <v>7</v>
      </c>
      <c r="K164" s="372">
        <f t="shared" si="37"/>
        <v>7</v>
      </c>
      <c r="L164" s="372">
        <f t="shared" si="37"/>
        <v>7</v>
      </c>
      <c r="M164" s="372">
        <f t="shared" si="37"/>
        <v>8</v>
      </c>
      <c r="N164" s="406"/>
    </row>
    <row r="165" spans="1:17" s="282" customFormat="1">
      <c r="A165" s="276">
        <f>ROW()</f>
        <v>165</v>
      </c>
      <c r="B165" s="221"/>
      <c r="C165" s="221"/>
      <c r="D165" s="221"/>
      <c r="E165" s="221"/>
      <c r="F165" s="221"/>
      <c r="G165" s="406"/>
      <c r="H165" s="406"/>
      <c r="I165" s="406"/>
      <c r="J165" s="406"/>
      <c r="K165" s="406"/>
      <c r="L165" s="406"/>
      <c r="M165" s="406"/>
      <c r="N165" s="406"/>
    </row>
    <row r="166" spans="1:17" s="282" customFormat="1">
      <c r="A166" s="276">
        <f>ROW()</f>
        <v>166</v>
      </c>
      <c r="B166" s="362" t="s">
        <v>711</v>
      </c>
      <c r="C166" s="362"/>
      <c r="D166" s="545"/>
      <c r="E166" s="545"/>
      <c r="F166" s="545"/>
      <c r="G166" s="703">
        <f t="shared" ref="G166:M166" si="38">+G140+G152+G164</f>
        <v>0</v>
      </c>
      <c r="H166" s="703">
        <f t="shared" si="38"/>
        <v>4</v>
      </c>
      <c r="I166" s="372">
        <f t="shared" si="38"/>
        <v>7</v>
      </c>
      <c r="J166" s="372">
        <f t="shared" si="38"/>
        <v>11</v>
      </c>
      <c r="K166" s="372">
        <f t="shared" si="38"/>
        <v>12</v>
      </c>
      <c r="L166" s="372">
        <f t="shared" si="38"/>
        <v>13</v>
      </c>
      <c r="M166" s="372">
        <f t="shared" si="38"/>
        <v>15</v>
      </c>
      <c r="N166" s="406"/>
    </row>
    <row r="167" spans="1:17" s="282" customFormat="1">
      <c r="A167" s="276">
        <f>ROW()</f>
        <v>167</v>
      </c>
      <c r="B167" s="710"/>
      <c r="C167" s="710"/>
      <c r="D167" s="710"/>
      <c r="E167" s="710"/>
      <c r="F167" s="710"/>
      <c r="G167" s="714"/>
      <c r="H167" s="712"/>
      <c r="I167" s="712"/>
      <c r="J167" s="712"/>
      <c r="K167" s="712"/>
      <c r="L167" s="712"/>
      <c r="M167" s="713"/>
      <c r="N167" s="406"/>
      <c r="O167" s="406"/>
      <c r="P167" s="406"/>
      <c r="Q167" s="406"/>
    </row>
    <row r="168" spans="1:17" s="282" customFormat="1" ht="16">
      <c r="A168" s="276">
        <f>ROW()</f>
        <v>168</v>
      </c>
      <c r="B168" s="741" t="s">
        <v>624</v>
      </c>
      <c r="C168" s="289"/>
      <c r="D168" s="289"/>
      <c r="E168" s="289"/>
      <c r="F168" s="289"/>
      <c r="G168" s="727"/>
      <c r="H168" s="461"/>
      <c r="I168" s="461"/>
      <c r="J168" s="461"/>
      <c r="K168" s="461"/>
      <c r="L168" s="461"/>
      <c r="M168" s="744"/>
      <c r="N168" s="406"/>
      <c r="O168" s="406"/>
      <c r="P168" s="406"/>
      <c r="Q168" s="406"/>
    </row>
    <row r="169" spans="1:17" s="282" customFormat="1" ht="30">
      <c r="A169" s="276">
        <f>ROW()</f>
        <v>169</v>
      </c>
      <c r="B169" s="373" t="s">
        <v>96</v>
      </c>
      <c r="C169" s="278" t="s">
        <v>342</v>
      </c>
      <c r="D169" s="278" t="s">
        <v>921</v>
      </c>
      <c r="E169" s="229" t="s">
        <v>192</v>
      </c>
      <c r="F169" s="373" t="s">
        <v>343</v>
      </c>
      <c r="G169" s="373" t="s">
        <v>341</v>
      </c>
      <c r="H169" s="411" t="s">
        <v>23</v>
      </c>
      <c r="I169" s="373"/>
      <c r="J169" s="373"/>
      <c r="L169" s="406"/>
      <c r="N169" s="406"/>
      <c r="O169" s="406"/>
      <c r="P169" s="406"/>
      <c r="Q169" s="406"/>
    </row>
    <row r="170" spans="1:17" s="282" customFormat="1">
      <c r="A170" s="276">
        <f>ROW()</f>
        <v>170</v>
      </c>
      <c r="B170" s="302" t="s">
        <v>426</v>
      </c>
      <c r="C170" s="230"/>
      <c r="D170" s="230">
        <f>$H$10</f>
        <v>2021</v>
      </c>
      <c r="E170" s="727"/>
      <c r="F170" s="727"/>
      <c r="G170" s="289"/>
      <c r="H170" s="289"/>
      <c r="I170" s="633"/>
      <c r="J170" s="633"/>
      <c r="K170" s="633"/>
      <c r="L170" s="744"/>
      <c r="M170" s="289"/>
      <c r="N170" s="406"/>
      <c r="O170" s="406"/>
      <c r="P170" s="406"/>
      <c r="Q170" s="406"/>
    </row>
    <row r="171" spans="1:17" s="282" customFormat="1" ht="15" customHeight="1">
      <c r="A171" s="276">
        <f>ROW()</f>
        <v>171</v>
      </c>
      <c r="C171" s="232"/>
      <c r="D171" s="720"/>
      <c r="E171" s="244"/>
      <c r="F171" s="585"/>
      <c r="G171" s="221"/>
      <c r="I171" s="221"/>
      <c r="J171" s="221"/>
      <c r="K171" s="221"/>
      <c r="L171" s="406"/>
      <c r="N171" s="406"/>
      <c r="O171" s="406"/>
      <c r="P171" s="406"/>
      <c r="Q171" s="406"/>
    </row>
    <row r="172" spans="1:17" s="282" customFormat="1" ht="15" customHeight="1" outlineLevel="1">
      <c r="A172" s="276">
        <f>ROW()</f>
        <v>172</v>
      </c>
      <c r="B172" s="704"/>
      <c r="C172" s="611" t="s">
        <v>713</v>
      </c>
      <c r="D172" s="611" t="s">
        <v>713</v>
      </c>
      <c r="E172" s="947">
        <v>0</v>
      </c>
      <c r="F172" s="612" t="s">
        <v>727</v>
      </c>
      <c r="G172" s="1051">
        <f t="shared" ref="G172:M174" si="39">IF($D172&lt;=G$81,1,0)</f>
        <v>0</v>
      </c>
      <c r="H172" s="1051">
        <f t="shared" si="39"/>
        <v>0</v>
      </c>
      <c r="I172" s="1051">
        <f t="shared" si="39"/>
        <v>0</v>
      </c>
      <c r="J172" s="1051">
        <f t="shared" si="39"/>
        <v>0</v>
      </c>
      <c r="K172" s="1051">
        <f t="shared" si="39"/>
        <v>0</v>
      </c>
      <c r="L172" s="1051">
        <f t="shared" si="39"/>
        <v>0</v>
      </c>
      <c r="M172" s="1051">
        <f t="shared" si="39"/>
        <v>0</v>
      </c>
      <c r="O172" s="406"/>
    </row>
    <row r="173" spans="1:17" s="282" customFormat="1" ht="15" customHeight="1" outlineLevel="1">
      <c r="A173" s="276">
        <f>ROW()</f>
        <v>173</v>
      </c>
      <c r="B173" s="704"/>
      <c r="C173" s="611" t="s">
        <v>713</v>
      </c>
      <c r="D173" s="611" t="s">
        <v>713</v>
      </c>
      <c r="E173" s="664">
        <v>0</v>
      </c>
      <c r="F173" s="612" t="s">
        <v>727</v>
      </c>
      <c r="G173" s="1051">
        <f t="shared" si="39"/>
        <v>0</v>
      </c>
      <c r="H173" s="1051">
        <f t="shared" si="39"/>
        <v>0</v>
      </c>
      <c r="I173" s="1051">
        <f t="shared" si="39"/>
        <v>0</v>
      </c>
      <c r="J173" s="1051">
        <f t="shared" si="39"/>
        <v>0</v>
      </c>
      <c r="K173" s="1051">
        <f t="shared" si="39"/>
        <v>0</v>
      </c>
      <c r="L173" s="1051">
        <f t="shared" si="39"/>
        <v>0</v>
      </c>
      <c r="M173" s="1051">
        <f t="shared" si="39"/>
        <v>0</v>
      </c>
      <c r="O173" s="406"/>
    </row>
    <row r="174" spans="1:17" s="282" customFormat="1" ht="15" customHeight="1" outlineLevel="1">
      <c r="A174" s="276">
        <f>ROW()</f>
        <v>174</v>
      </c>
      <c r="B174" s="704"/>
      <c r="C174" s="611" t="s">
        <v>713</v>
      </c>
      <c r="D174" s="611" t="s">
        <v>713</v>
      </c>
      <c r="E174" s="664">
        <v>0</v>
      </c>
      <c r="F174" s="612" t="s">
        <v>727</v>
      </c>
      <c r="G174" s="1051">
        <f t="shared" si="39"/>
        <v>0</v>
      </c>
      <c r="H174" s="1051">
        <f t="shared" si="39"/>
        <v>0</v>
      </c>
      <c r="I174" s="1051">
        <f t="shared" si="39"/>
        <v>0</v>
      </c>
      <c r="J174" s="1051">
        <f t="shared" si="39"/>
        <v>0</v>
      </c>
      <c r="K174" s="1051">
        <f t="shared" si="39"/>
        <v>0</v>
      </c>
      <c r="L174" s="1051">
        <f t="shared" si="39"/>
        <v>0</v>
      </c>
      <c r="M174" s="1051">
        <f t="shared" si="39"/>
        <v>0</v>
      </c>
      <c r="O174" s="406"/>
    </row>
    <row r="175" spans="1:17" s="282" customFormat="1" ht="15" customHeight="1" outlineLevel="1">
      <c r="A175" s="276">
        <f>ROW()</f>
        <v>175</v>
      </c>
      <c r="B175" s="603"/>
      <c r="C175" s="614"/>
      <c r="D175" s="614"/>
      <c r="E175" s="1372"/>
      <c r="F175" s="613"/>
      <c r="G175" s="1051"/>
      <c r="H175" s="1051"/>
      <c r="I175" s="1051"/>
      <c r="J175" s="1051"/>
      <c r="K175" s="1051"/>
      <c r="L175" s="1051"/>
      <c r="M175" s="1051"/>
      <c r="O175" s="406"/>
    </row>
    <row r="176" spans="1:17" s="282" customFormat="1" ht="15" customHeight="1" outlineLevel="1">
      <c r="A176" s="276">
        <f>ROW()</f>
        <v>176</v>
      </c>
      <c r="B176" s="704" t="s">
        <v>924</v>
      </c>
      <c r="C176" s="611" t="s">
        <v>161</v>
      </c>
      <c r="D176" s="611">
        <v>2022</v>
      </c>
      <c r="E176" s="947">
        <v>47500</v>
      </c>
      <c r="F176" s="612" t="s">
        <v>727</v>
      </c>
      <c r="G176" s="1051">
        <f t="shared" ref="G176:M180" si="40">IF($D176&lt;=G$81,1,0)</f>
        <v>0</v>
      </c>
      <c r="H176" s="1051">
        <f t="shared" si="40"/>
        <v>1</v>
      </c>
      <c r="I176" s="1051">
        <f t="shared" si="40"/>
        <v>1</v>
      </c>
      <c r="J176" s="1051">
        <f t="shared" si="40"/>
        <v>1</v>
      </c>
      <c r="K176" s="1051">
        <f t="shared" si="40"/>
        <v>1</v>
      </c>
      <c r="L176" s="1051">
        <f t="shared" si="40"/>
        <v>1</v>
      </c>
      <c r="M176" s="1051">
        <f t="shared" si="40"/>
        <v>1</v>
      </c>
      <c r="O176" s="406"/>
    </row>
    <row r="177" spans="1:27" s="282" customFormat="1" ht="15" customHeight="1" outlineLevel="1">
      <c r="A177" s="276">
        <f>ROW()</f>
        <v>177</v>
      </c>
      <c r="B177" s="704" t="s">
        <v>924</v>
      </c>
      <c r="C177" s="611" t="s">
        <v>161</v>
      </c>
      <c r="D177" s="611">
        <v>2022</v>
      </c>
      <c r="E177" s="664">
        <v>47500</v>
      </c>
      <c r="F177" s="612" t="s">
        <v>727</v>
      </c>
      <c r="G177" s="1051">
        <f t="shared" si="40"/>
        <v>0</v>
      </c>
      <c r="H177" s="1051">
        <f t="shared" si="40"/>
        <v>1</v>
      </c>
      <c r="I177" s="1051">
        <f t="shared" si="40"/>
        <v>1</v>
      </c>
      <c r="J177" s="1051">
        <f t="shared" si="40"/>
        <v>1</v>
      </c>
      <c r="K177" s="1051">
        <f t="shared" si="40"/>
        <v>1</v>
      </c>
      <c r="L177" s="1051">
        <f t="shared" si="40"/>
        <v>1</v>
      </c>
      <c r="M177" s="1051">
        <f t="shared" si="40"/>
        <v>1</v>
      </c>
      <c r="O177" s="406"/>
    </row>
    <row r="178" spans="1:27" s="282" customFormat="1" ht="15" customHeight="1" outlineLevel="1">
      <c r="A178" s="276">
        <f>ROW()</f>
        <v>178</v>
      </c>
      <c r="B178" s="704" t="s">
        <v>924</v>
      </c>
      <c r="C178" s="611" t="s">
        <v>161</v>
      </c>
      <c r="D178" s="611">
        <v>2022</v>
      </c>
      <c r="E178" s="664">
        <v>47500</v>
      </c>
      <c r="F178" s="612" t="s">
        <v>727</v>
      </c>
      <c r="G178" s="1051">
        <f t="shared" si="40"/>
        <v>0</v>
      </c>
      <c r="H178" s="1051">
        <f t="shared" si="40"/>
        <v>1</v>
      </c>
      <c r="I178" s="1051">
        <f t="shared" si="40"/>
        <v>1</v>
      </c>
      <c r="J178" s="1051">
        <f t="shared" si="40"/>
        <v>1</v>
      </c>
      <c r="K178" s="1051">
        <f t="shared" si="40"/>
        <v>1</v>
      </c>
      <c r="L178" s="1051">
        <f t="shared" si="40"/>
        <v>1</v>
      </c>
      <c r="M178" s="1051">
        <f t="shared" si="40"/>
        <v>1</v>
      </c>
      <c r="O178" s="406"/>
    </row>
    <row r="179" spans="1:27" s="282" customFormat="1" ht="15" customHeight="1" outlineLevel="1">
      <c r="A179" s="276">
        <f>ROW()</f>
        <v>179</v>
      </c>
      <c r="B179" s="704"/>
      <c r="C179" s="611" t="s">
        <v>713</v>
      </c>
      <c r="D179" s="611" t="s">
        <v>713</v>
      </c>
      <c r="E179" s="664">
        <v>0</v>
      </c>
      <c r="F179" s="612" t="s">
        <v>727</v>
      </c>
      <c r="G179" s="1051">
        <f t="shared" si="40"/>
        <v>0</v>
      </c>
      <c r="H179" s="1051">
        <f t="shared" si="40"/>
        <v>0</v>
      </c>
      <c r="I179" s="1051">
        <f t="shared" si="40"/>
        <v>0</v>
      </c>
      <c r="J179" s="1051">
        <f t="shared" si="40"/>
        <v>0</v>
      </c>
      <c r="K179" s="1051">
        <f t="shared" si="40"/>
        <v>0</v>
      </c>
      <c r="L179" s="1051">
        <f t="shared" si="40"/>
        <v>0</v>
      </c>
      <c r="M179" s="1051">
        <f t="shared" si="40"/>
        <v>0</v>
      </c>
      <c r="O179" s="406"/>
    </row>
    <row r="180" spans="1:27" ht="15" customHeight="1" outlineLevel="1">
      <c r="A180" s="276">
        <f>ROW()</f>
        <v>180</v>
      </c>
      <c r="B180" s="704"/>
      <c r="C180" s="611" t="s">
        <v>713</v>
      </c>
      <c r="D180" s="611" t="s">
        <v>713</v>
      </c>
      <c r="E180" s="664">
        <v>0</v>
      </c>
      <c r="F180" s="612"/>
      <c r="G180" s="1051">
        <f t="shared" si="40"/>
        <v>0</v>
      </c>
      <c r="H180" s="1051">
        <f t="shared" si="40"/>
        <v>0</v>
      </c>
      <c r="I180" s="1051">
        <f t="shared" si="40"/>
        <v>0</v>
      </c>
      <c r="J180" s="1051">
        <f t="shared" si="40"/>
        <v>0</v>
      </c>
      <c r="K180" s="1051">
        <f t="shared" si="40"/>
        <v>0</v>
      </c>
      <c r="L180" s="1051">
        <f t="shared" si="40"/>
        <v>0</v>
      </c>
      <c r="M180" s="1051">
        <f t="shared" si="40"/>
        <v>0</v>
      </c>
      <c r="O180" s="406"/>
      <c r="R180" s="282"/>
      <c r="S180" s="282"/>
      <c r="T180" s="282"/>
      <c r="U180" s="282"/>
      <c r="V180" s="282"/>
      <c r="W180" s="282"/>
      <c r="X180" s="282"/>
      <c r="Y180" s="282"/>
      <c r="Z180" s="282"/>
      <c r="AA180" s="282"/>
    </row>
    <row r="181" spans="1:27" ht="15" customHeight="1" outlineLevel="1">
      <c r="A181" s="276">
        <f>ROW()</f>
        <v>181</v>
      </c>
      <c r="B181" s="603"/>
      <c r="C181" s="614"/>
      <c r="D181" s="721"/>
      <c r="E181" s="616"/>
      <c r="F181" s="616"/>
      <c r="G181" s="1051"/>
      <c r="H181" s="1051"/>
      <c r="I181" s="1051"/>
      <c r="J181" s="1051"/>
      <c r="K181" s="1051"/>
      <c r="L181" s="1051"/>
      <c r="M181" s="1051"/>
      <c r="O181" s="406"/>
      <c r="R181" s="282"/>
      <c r="S181" s="282"/>
      <c r="T181" s="282"/>
      <c r="U181" s="282"/>
      <c r="V181" s="282"/>
      <c r="W181" s="282"/>
      <c r="X181" s="282"/>
      <c r="Y181" s="282"/>
      <c r="Z181" s="282"/>
      <c r="AA181" s="282"/>
    </row>
    <row r="182" spans="1:27" s="282" customFormat="1" ht="15" customHeight="1" outlineLevel="1">
      <c r="A182" s="276">
        <f>ROW()</f>
        <v>182</v>
      </c>
      <c r="B182" s="704" t="s">
        <v>925</v>
      </c>
      <c r="C182" s="611">
        <v>1</v>
      </c>
      <c r="D182" s="611">
        <v>2022</v>
      </c>
      <c r="E182" s="947">
        <v>47500</v>
      </c>
      <c r="F182" s="612" t="s">
        <v>727</v>
      </c>
      <c r="G182" s="1051">
        <f t="shared" ref="G182:M186" si="41">IF($D182&lt;=G$81,1,0)</f>
        <v>0</v>
      </c>
      <c r="H182" s="1051">
        <f t="shared" si="41"/>
        <v>1</v>
      </c>
      <c r="I182" s="1051">
        <f t="shared" si="41"/>
        <v>1</v>
      </c>
      <c r="J182" s="1051">
        <f t="shared" si="41"/>
        <v>1</v>
      </c>
      <c r="K182" s="1051">
        <f t="shared" si="41"/>
        <v>1</v>
      </c>
      <c r="L182" s="1051">
        <f t="shared" si="41"/>
        <v>1</v>
      </c>
      <c r="M182" s="1051">
        <f t="shared" si="41"/>
        <v>1</v>
      </c>
      <c r="O182" s="406"/>
    </row>
    <row r="183" spans="1:27" s="282" customFormat="1" ht="15" customHeight="1" outlineLevel="1">
      <c r="A183" s="276">
        <f>ROW()</f>
        <v>183</v>
      </c>
      <c r="B183" s="704" t="s">
        <v>925</v>
      </c>
      <c r="C183" s="611">
        <v>1</v>
      </c>
      <c r="D183" s="611">
        <v>2022</v>
      </c>
      <c r="E183" s="664">
        <v>47500</v>
      </c>
      <c r="F183" s="612" t="s">
        <v>727</v>
      </c>
      <c r="G183" s="1051">
        <f t="shared" si="41"/>
        <v>0</v>
      </c>
      <c r="H183" s="1051">
        <f t="shared" si="41"/>
        <v>1</v>
      </c>
      <c r="I183" s="1051">
        <f t="shared" si="41"/>
        <v>1</v>
      </c>
      <c r="J183" s="1051">
        <f t="shared" si="41"/>
        <v>1</v>
      </c>
      <c r="K183" s="1051">
        <f t="shared" si="41"/>
        <v>1</v>
      </c>
      <c r="L183" s="1051">
        <f t="shared" si="41"/>
        <v>1</v>
      </c>
      <c r="M183" s="1051">
        <f t="shared" si="41"/>
        <v>1</v>
      </c>
      <c r="O183" s="406"/>
    </row>
    <row r="184" spans="1:27" s="282" customFormat="1" ht="15" customHeight="1" outlineLevel="1">
      <c r="A184" s="276">
        <f>ROW()</f>
        <v>184</v>
      </c>
      <c r="B184" s="704" t="s">
        <v>925</v>
      </c>
      <c r="C184" s="611">
        <v>1</v>
      </c>
      <c r="D184" s="611">
        <v>2023</v>
      </c>
      <c r="E184" s="664">
        <v>47500</v>
      </c>
      <c r="F184" s="612" t="s">
        <v>727</v>
      </c>
      <c r="G184" s="1051">
        <f t="shared" si="41"/>
        <v>0</v>
      </c>
      <c r="H184" s="1051">
        <f t="shared" si="41"/>
        <v>0</v>
      </c>
      <c r="I184" s="1051">
        <f t="shared" si="41"/>
        <v>1</v>
      </c>
      <c r="J184" s="1051">
        <f t="shared" si="41"/>
        <v>1</v>
      </c>
      <c r="K184" s="1051">
        <f t="shared" si="41"/>
        <v>1</v>
      </c>
      <c r="L184" s="1051">
        <f t="shared" si="41"/>
        <v>1</v>
      </c>
      <c r="M184" s="1051">
        <f t="shared" si="41"/>
        <v>1</v>
      </c>
      <c r="O184" s="406"/>
    </row>
    <row r="185" spans="1:27" s="282" customFormat="1" ht="15" customHeight="1" outlineLevel="1">
      <c r="A185" s="276">
        <f>ROW()</f>
        <v>185</v>
      </c>
      <c r="B185" s="704"/>
      <c r="C185" s="611" t="s">
        <v>713</v>
      </c>
      <c r="D185" s="611" t="s">
        <v>713</v>
      </c>
      <c r="E185" s="664">
        <v>0</v>
      </c>
      <c r="F185" s="612" t="s">
        <v>727</v>
      </c>
      <c r="G185" s="1051">
        <f t="shared" si="41"/>
        <v>0</v>
      </c>
      <c r="H185" s="1051">
        <f t="shared" si="41"/>
        <v>0</v>
      </c>
      <c r="I185" s="1051">
        <f t="shared" si="41"/>
        <v>0</v>
      </c>
      <c r="J185" s="1051">
        <f t="shared" si="41"/>
        <v>0</v>
      </c>
      <c r="K185" s="1051">
        <f t="shared" si="41"/>
        <v>0</v>
      </c>
      <c r="L185" s="1051">
        <f t="shared" si="41"/>
        <v>0</v>
      </c>
      <c r="M185" s="1051">
        <f t="shared" si="41"/>
        <v>0</v>
      </c>
      <c r="O185" s="406"/>
    </row>
    <row r="186" spans="1:27" s="282" customFormat="1" ht="15" customHeight="1" outlineLevel="1">
      <c r="A186" s="276">
        <f>ROW()</f>
        <v>186</v>
      </c>
      <c r="B186" s="704"/>
      <c r="C186" s="611" t="s">
        <v>713</v>
      </c>
      <c r="D186" s="611" t="s">
        <v>713</v>
      </c>
      <c r="E186" s="664">
        <v>0</v>
      </c>
      <c r="F186" s="612"/>
      <c r="G186" s="1051">
        <f t="shared" si="41"/>
        <v>0</v>
      </c>
      <c r="H186" s="1051">
        <f t="shared" si="41"/>
        <v>0</v>
      </c>
      <c r="I186" s="1051">
        <f t="shared" si="41"/>
        <v>0</v>
      </c>
      <c r="J186" s="1051">
        <f t="shared" si="41"/>
        <v>0</v>
      </c>
      <c r="K186" s="1051">
        <f t="shared" si="41"/>
        <v>0</v>
      </c>
      <c r="L186" s="1051">
        <f t="shared" si="41"/>
        <v>0</v>
      </c>
      <c r="M186" s="1051">
        <f t="shared" si="41"/>
        <v>0</v>
      </c>
      <c r="O186" s="406"/>
    </row>
    <row r="187" spans="1:27" s="282" customFormat="1" ht="15" customHeight="1" outlineLevel="1">
      <c r="A187" s="276">
        <f>ROW()</f>
        <v>187</v>
      </c>
      <c r="B187" s="603"/>
      <c r="C187" s="614"/>
      <c r="D187" s="613"/>
      <c r="E187" s="616"/>
      <c r="F187" s="616"/>
      <c r="G187" s="1051"/>
      <c r="H187" s="1051"/>
      <c r="I187" s="1051"/>
      <c r="J187" s="1051"/>
      <c r="K187" s="1051"/>
      <c r="L187" s="1051"/>
      <c r="M187" s="1051"/>
      <c r="O187" s="406"/>
    </row>
    <row r="188" spans="1:27" s="282" customFormat="1" ht="15" customHeight="1" outlineLevel="1">
      <c r="A188" s="276">
        <f>ROW()</f>
        <v>188</v>
      </c>
      <c r="B188" s="704" t="s">
        <v>926</v>
      </c>
      <c r="C188" s="611">
        <v>2</v>
      </c>
      <c r="D188" s="611">
        <v>2022</v>
      </c>
      <c r="E188" s="947">
        <v>47500</v>
      </c>
      <c r="F188" s="612" t="s">
        <v>727</v>
      </c>
      <c r="G188" s="1051">
        <f t="shared" ref="G188:M192" si="42">IF($D188&lt;=G$81,1,0)</f>
        <v>0</v>
      </c>
      <c r="H188" s="1051">
        <f t="shared" si="42"/>
        <v>1</v>
      </c>
      <c r="I188" s="1051">
        <f t="shared" si="42"/>
        <v>1</v>
      </c>
      <c r="J188" s="1051">
        <f t="shared" si="42"/>
        <v>1</v>
      </c>
      <c r="K188" s="1051">
        <f t="shared" si="42"/>
        <v>1</v>
      </c>
      <c r="L188" s="1051">
        <f t="shared" si="42"/>
        <v>1</v>
      </c>
      <c r="M188" s="1051">
        <f t="shared" si="42"/>
        <v>1</v>
      </c>
      <c r="O188" s="406"/>
    </row>
    <row r="189" spans="1:27" s="282" customFormat="1" ht="15" customHeight="1" outlineLevel="1">
      <c r="A189" s="276">
        <f>ROW()</f>
        <v>189</v>
      </c>
      <c r="B189" s="704" t="s">
        <v>926</v>
      </c>
      <c r="C189" s="611">
        <v>2</v>
      </c>
      <c r="D189" s="611">
        <v>2023</v>
      </c>
      <c r="E189" s="664">
        <v>47500</v>
      </c>
      <c r="F189" s="612" t="s">
        <v>727</v>
      </c>
      <c r="G189" s="1051">
        <f t="shared" si="42"/>
        <v>0</v>
      </c>
      <c r="H189" s="1051">
        <f t="shared" si="42"/>
        <v>0</v>
      </c>
      <c r="I189" s="1051">
        <f t="shared" si="42"/>
        <v>1</v>
      </c>
      <c r="J189" s="1051">
        <f t="shared" si="42"/>
        <v>1</v>
      </c>
      <c r="K189" s="1051">
        <f t="shared" si="42"/>
        <v>1</v>
      </c>
      <c r="L189" s="1051">
        <f t="shared" si="42"/>
        <v>1</v>
      </c>
      <c r="M189" s="1051">
        <f t="shared" si="42"/>
        <v>1</v>
      </c>
      <c r="O189" s="406"/>
    </row>
    <row r="190" spans="1:27" s="282" customFormat="1" ht="15" customHeight="1" outlineLevel="1">
      <c r="A190" s="276">
        <f>ROW()</f>
        <v>190</v>
      </c>
      <c r="B190" s="704" t="s">
        <v>926</v>
      </c>
      <c r="C190" s="611">
        <v>2</v>
      </c>
      <c r="D190" s="611">
        <v>2024</v>
      </c>
      <c r="E190" s="664">
        <v>47500</v>
      </c>
      <c r="F190" s="612" t="s">
        <v>727</v>
      </c>
      <c r="G190" s="1051">
        <f t="shared" si="42"/>
        <v>0</v>
      </c>
      <c r="H190" s="1051">
        <f t="shared" si="42"/>
        <v>0</v>
      </c>
      <c r="I190" s="1051">
        <f t="shared" si="42"/>
        <v>0</v>
      </c>
      <c r="J190" s="1051">
        <f t="shared" si="42"/>
        <v>1</v>
      </c>
      <c r="K190" s="1051">
        <f t="shared" si="42"/>
        <v>1</v>
      </c>
      <c r="L190" s="1051">
        <f t="shared" si="42"/>
        <v>1</v>
      </c>
      <c r="M190" s="1051">
        <f t="shared" si="42"/>
        <v>1</v>
      </c>
      <c r="O190" s="406"/>
    </row>
    <row r="191" spans="1:27" s="282" customFormat="1" ht="15" customHeight="1" outlineLevel="1">
      <c r="A191" s="276">
        <f>ROW()</f>
        <v>191</v>
      </c>
      <c r="B191" s="704"/>
      <c r="C191" s="611" t="s">
        <v>713</v>
      </c>
      <c r="D191" s="611" t="s">
        <v>713</v>
      </c>
      <c r="E191" s="664">
        <v>0</v>
      </c>
      <c r="F191" s="612" t="s">
        <v>727</v>
      </c>
      <c r="G191" s="1051">
        <f t="shared" si="42"/>
        <v>0</v>
      </c>
      <c r="H191" s="1051">
        <f t="shared" si="42"/>
        <v>0</v>
      </c>
      <c r="I191" s="1051">
        <f t="shared" si="42"/>
        <v>0</v>
      </c>
      <c r="J191" s="1051">
        <f t="shared" si="42"/>
        <v>0</v>
      </c>
      <c r="K191" s="1051">
        <f t="shared" si="42"/>
        <v>0</v>
      </c>
      <c r="L191" s="1051">
        <f t="shared" si="42"/>
        <v>0</v>
      </c>
      <c r="M191" s="1051">
        <f t="shared" si="42"/>
        <v>0</v>
      </c>
      <c r="O191" s="406"/>
    </row>
    <row r="192" spans="1:27" ht="15" customHeight="1" outlineLevel="1">
      <c r="A192" s="276">
        <f>ROW()</f>
        <v>192</v>
      </c>
      <c r="B192" s="704"/>
      <c r="C192" s="611" t="s">
        <v>713</v>
      </c>
      <c r="D192" s="611" t="s">
        <v>713</v>
      </c>
      <c r="E192" s="664">
        <v>0</v>
      </c>
      <c r="F192" s="612"/>
      <c r="G192" s="1051">
        <f t="shared" si="42"/>
        <v>0</v>
      </c>
      <c r="H192" s="1051">
        <f t="shared" si="42"/>
        <v>0</v>
      </c>
      <c r="I192" s="1051">
        <f t="shared" si="42"/>
        <v>0</v>
      </c>
      <c r="J192" s="1051">
        <f t="shared" si="42"/>
        <v>0</v>
      </c>
      <c r="K192" s="1051">
        <f t="shared" si="42"/>
        <v>0</v>
      </c>
      <c r="L192" s="1051">
        <f t="shared" si="42"/>
        <v>0</v>
      </c>
      <c r="M192" s="1051">
        <f t="shared" si="42"/>
        <v>0</v>
      </c>
      <c r="O192" s="406"/>
      <c r="R192" s="282"/>
      <c r="S192" s="282"/>
      <c r="T192" s="282"/>
      <c r="U192" s="282"/>
      <c r="V192" s="282"/>
      <c r="W192" s="282"/>
      <c r="X192" s="282"/>
      <c r="Y192" s="282"/>
      <c r="Z192" s="282"/>
      <c r="AA192" s="282"/>
    </row>
    <row r="193" spans="1:27" ht="15" customHeight="1" outlineLevel="1">
      <c r="A193" s="276">
        <f>ROW()</f>
        <v>193</v>
      </c>
      <c r="B193" s="603"/>
      <c r="C193" s="614"/>
      <c r="D193" s="614"/>
      <c r="E193" s="615"/>
      <c r="F193" s="615"/>
      <c r="G193" s="1051"/>
      <c r="H193" s="1051"/>
      <c r="I193" s="1051"/>
      <c r="J193" s="1051"/>
      <c r="K193" s="1051"/>
      <c r="L193" s="1051"/>
      <c r="M193" s="1051"/>
      <c r="O193" s="406"/>
      <c r="R193" s="282"/>
      <c r="S193" s="282"/>
      <c r="T193" s="282"/>
      <c r="U193" s="282"/>
      <c r="V193" s="282"/>
      <c r="W193" s="282"/>
      <c r="X193" s="282"/>
      <c r="Y193" s="282"/>
      <c r="Z193" s="282"/>
      <c r="AA193" s="282"/>
    </row>
    <row r="194" spans="1:27" s="282" customFormat="1" ht="15" customHeight="1" outlineLevel="1">
      <c r="A194" s="276">
        <f>ROW()</f>
        <v>194</v>
      </c>
      <c r="B194" s="704" t="s">
        <v>927</v>
      </c>
      <c r="C194" s="611">
        <v>3</v>
      </c>
      <c r="D194" s="611">
        <v>2022</v>
      </c>
      <c r="E194" s="947">
        <v>47500</v>
      </c>
      <c r="F194" s="612" t="s">
        <v>727</v>
      </c>
      <c r="G194" s="1051">
        <f t="shared" ref="G194:M198" si="43">IF($D194&lt;=G$81,1,0)</f>
        <v>0</v>
      </c>
      <c r="H194" s="1051">
        <f t="shared" si="43"/>
        <v>1</v>
      </c>
      <c r="I194" s="1051">
        <f t="shared" si="43"/>
        <v>1</v>
      </c>
      <c r="J194" s="1051">
        <f t="shared" si="43"/>
        <v>1</v>
      </c>
      <c r="K194" s="1051">
        <f t="shared" si="43"/>
        <v>1</v>
      </c>
      <c r="L194" s="1051">
        <f t="shared" si="43"/>
        <v>1</v>
      </c>
      <c r="M194" s="1051">
        <f t="shared" si="43"/>
        <v>1</v>
      </c>
      <c r="O194" s="406"/>
    </row>
    <row r="195" spans="1:27" s="282" customFormat="1" ht="15" customHeight="1" outlineLevel="1">
      <c r="A195" s="276">
        <f>ROW()</f>
        <v>195</v>
      </c>
      <c r="B195" s="704" t="s">
        <v>927</v>
      </c>
      <c r="C195" s="611">
        <v>3</v>
      </c>
      <c r="D195" s="611">
        <v>2024</v>
      </c>
      <c r="E195" s="664">
        <v>47500</v>
      </c>
      <c r="F195" s="612" t="s">
        <v>727</v>
      </c>
      <c r="G195" s="1051">
        <f t="shared" si="43"/>
        <v>0</v>
      </c>
      <c r="H195" s="1051">
        <f t="shared" si="43"/>
        <v>0</v>
      </c>
      <c r="I195" s="1051">
        <f t="shared" si="43"/>
        <v>0</v>
      </c>
      <c r="J195" s="1051">
        <f t="shared" si="43"/>
        <v>1</v>
      </c>
      <c r="K195" s="1051">
        <f t="shared" si="43"/>
        <v>1</v>
      </c>
      <c r="L195" s="1051">
        <f t="shared" si="43"/>
        <v>1</v>
      </c>
      <c r="M195" s="1051">
        <f t="shared" si="43"/>
        <v>1</v>
      </c>
      <c r="O195" s="406"/>
    </row>
    <row r="196" spans="1:27" s="282" customFormat="1" ht="15" customHeight="1" outlineLevel="1">
      <c r="A196" s="276">
        <f>ROW()</f>
        <v>196</v>
      </c>
      <c r="B196" s="704" t="s">
        <v>927</v>
      </c>
      <c r="C196" s="611">
        <v>3</v>
      </c>
      <c r="D196" s="611">
        <v>2025</v>
      </c>
      <c r="E196" s="664">
        <v>47500</v>
      </c>
      <c r="F196" s="612" t="s">
        <v>727</v>
      </c>
      <c r="G196" s="1051">
        <f t="shared" si="43"/>
        <v>0</v>
      </c>
      <c r="H196" s="1051">
        <f t="shared" si="43"/>
        <v>0</v>
      </c>
      <c r="I196" s="1051">
        <f t="shared" si="43"/>
        <v>0</v>
      </c>
      <c r="J196" s="1051">
        <f t="shared" si="43"/>
        <v>0</v>
      </c>
      <c r="K196" s="1051">
        <f t="shared" si="43"/>
        <v>1</v>
      </c>
      <c r="L196" s="1051">
        <f t="shared" si="43"/>
        <v>1</v>
      </c>
      <c r="M196" s="1051">
        <f t="shared" si="43"/>
        <v>1</v>
      </c>
      <c r="O196" s="406"/>
    </row>
    <row r="197" spans="1:27" s="282" customFormat="1" ht="15" customHeight="1" outlineLevel="1">
      <c r="A197" s="276">
        <f>ROW()</f>
        <v>197</v>
      </c>
      <c r="B197" s="704"/>
      <c r="C197" s="611" t="s">
        <v>713</v>
      </c>
      <c r="D197" s="611" t="s">
        <v>713</v>
      </c>
      <c r="E197" s="664">
        <v>0</v>
      </c>
      <c r="F197" s="612" t="s">
        <v>727</v>
      </c>
      <c r="G197" s="1051">
        <f t="shared" si="43"/>
        <v>0</v>
      </c>
      <c r="H197" s="1051">
        <f t="shared" si="43"/>
        <v>0</v>
      </c>
      <c r="I197" s="1051">
        <f t="shared" si="43"/>
        <v>0</v>
      </c>
      <c r="J197" s="1051">
        <f t="shared" si="43"/>
        <v>0</v>
      </c>
      <c r="K197" s="1051">
        <f t="shared" si="43"/>
        <v>0</v>
      </c>
      <c r="L197" s="1051">
        <f t="shared" si="43"/>
        <v>0</v>
      </c>
      <c r="M197" s="1051">
        <f t="shared" si="43"/>
        <v>0</v>
      </c>
      <c r="O197" s="406"/>
    </row>
    <row r="198" spans="1:27" s="282" customFormat="1" ht="15" customHeight="1" outlineLevel="1">
      <c r="A198" s="276">
        <f>ROW()</f>
        <v>198</v>
      </c>
      <c r="B198" s="704"/>
      <c r="C198" s="611" t="s">
        <v>713</v>
      </c>
      <c r="D198" s="611" t="s">
        <v>713</v>
      </c>
      <c r="E198" s="664">
        <v>0</v>
      </c>
      <c r="F198" s="612"/>
      <c r="G198" s="1051">
        <f t="shared" si="43"/>
        <v>0</v>
      </c>
      <c r="H198" s="1051">
        <f t="shared" si="43"/>
        <v>0</v>
      </c>
      <c r="I198" s="1051">
        <f t="shared" si="43"/>
        <v>0</v>
      </c>
      <c r="J198" s="1051">
        <f t="shared" si="43"/>
        <v>0</v>
      </c>
      <c r="K198" s="1051">
        <f t="shared" si="43"/>
        <v>0</v>
      </c>
      <c r="L198" s="1051">
        <f t="shared" si="43"/>
        <v>0</v>
      </c>
      <c r="M198" s="1051">
        <f t="shared" si="43"/>
        <v>0</v>
      </c>
      <c r="O198" s="406"/>
    </row>
    <row r="199" spans="1:27" s="282" customFormat="1" ht="15" customHeight="1" outlineLevel="1">
      <c r="A199" s="276">
        <f>ROW()</f>
        <v>199</v>
      </c>
      <c r="B199" s="603"/>
      <c r="C199" s="614"/>
      <c r="D199" s="613"/>
      <c r="E199" s="616"/>
      <c r="F199" s="615"/>
      <c r="G199" s="1051"/>
      <c r="H199" s="1051"/>
      <c r="I199" s="1051"/>
      <c r="J199" s="1051"/>
      <c r="K199" s="1051"/>
      <c r="L199" s="1051"/>
      <c r="M199" s="1051"/>
      <c r="O199" s="406"/>
    </row>
    <row r="200" spans="1:27" s="282" customFormat="1" ht="15" customHeight="1" outlineLevel="1">
      <c r="A200" s="276">
        <f>ROW()</f>
        <v>200</v>
      </c>
      <c r="B200" s="704" t="s">
        <v>928</v>
      </c>
      <c r="C200" s="611">
        <v>4</v>
      </c>
      <c r="D200" s="611">
        <v>2022</v>
      </c>
      <c r="E200" s="947">
        <v>47500</v>
      </c>
      <c r="F200" s="612" t="s">
        <v>727</v>
      </c>
      <c r="G200" s="1051">
        <f t="shared" ref="G200:M204" si="44">IF($D200&lt;=G$81,1,0)</f>
        <v>0</v>
      </c>
      <c r="H200" s="1051">
        <f t="shared" si="44"/>
        <v>1</v>
      </c>
      <c r="I200" s="1051">
        <f t="shared" si="44"/>
        <v>1</v>
      </c>
      <c r="J200" s="1051">
        <f t="shared" si="44"/>
        <v>1</v>
      </c>
      <c r="K200" s="1051">
        <f t="shared" si="44"/>
        <v>1</v>
      </c>
      <c r="L200" s="1051">
        <f t="shared" si="44"/>
        <v>1</v>
      </c>
      <c r="M200" s="1051">
        <f t="shared" si="44"/>
        <v>1</v>
      </c>
      <c r="O200" s="406"/>
    </row>
    <row r="201" spans="1:27" s="282" customFormat="1" ht="15" customHeight="1" outlineLevel="1">
      <c r="A201" s="276">
        <f>ROW()</f>
        <v>201</v>
      </c>
      <c r="B201" s="704" t="s">
        <v>928</v>
      </c>
      <c r="C201" s="611">
        <v>4</v>
      </c>
      <c r="D201" s="611">
        <v>2025</v>
      </c>
      <c r="E201" s="664">
        <v>47500</v>
      </c>
      <c r="F201" s="612" t="s">
        <v>727</v>
      </c>
      <c r="G201" s="1051">
        <f t="shared" si="44"/>
        <v>0</v>
      </c>
      <c r="H201" s="1051">
        <f t="shared" si="44"/>
        <v>0</v>
      </c>
      <c r="I201" s="1051">
        <f t="shared" si="44"/>
        <v>0</v>
      </c>
      <c r="J201" s="1051">
        <f t="shared" si="44"/>
        <v>0</v>
      </c>
      <c r="K201" s="1051">
        <f t="shared" si="44"/>
        <v>1</v>
      </c>
      <c r="L201" s="1051">
        <f t="shared" si="44"/>
        <v>1</v>
      </c>
      <c r="M201" s="1051">
        <f t="shared" si="44"/>
        <v>1</v>
      </c>
      <c r="O201" s="406"/>
    </row>
    <row r="202" spans="1:27" s="282" customFormat="1" ht="15" customHeight="1" outlineLevel="1">
      <c r="A202" s="276">
        <f>ROW()</f>
        <v>202</v>
      </c>
      <c r="B202" s="704" t="s">
        <v>928</v>
      </c>
      <c r="C202" s="611">
        <v>4</v>
      </c>
      <c r="D202" s="611">
        <v>2026</v>
      </c>
      <c r="E202" s="664">
        <v>47500</v>
      </c>
      <c r="F202" s="612" t="s">
        <v>727</v>
      </c>
      <c r="G202" s="1051">
        <f t="shared" si="44"/>
        <v>0</v>
      </c>
      <c r="H202" s="1051">
        <f t="shared" si="44"/>
        <v>0</v>
      </c>
      <c r="I202" s="1051">
        <f t="shared" si="44"/>
        <v>0</v>
      </c>
      <c r="J202" s="1051">
        <f t="shared" si="44"/>
        <v>0</v>
      </c>
      <c r="K202" s="1051">
        <f t="shared" si="44"/>
        <v>0</v>
      </c>
      <c r="L202" s="1051">
        <f t="shared" si="44"/>
        <v>1</v>
      </c>
      <c r="M202" s="1051">
        <f t="shared" si="44"/>
        <v>1</v>
      </c>
      <c r="O202" s="406"/>
    </row>
    <row r="203" spans="1:27" s="282" customFormat="1" ht="15" customHeight="1" outlineLevel="1">
      <c r="A203" s="276">
        <f>ROW()</f>
        <v>203</v>
      </c>
      <c r="B203" s="704"/>
      <c r="C203" s="611" t="s">
        <v>713</v>
      </c>
      <c r="D203" s="611" t="s">
        <v>713</v>
      </c>
      <c r="E203" s="664">
        <v>0</v>
      </c>
      <c r="F203" s="612" t="s">
        <v>727</v>
      </c>
      <c r="G203" s="1051">
        <f t="shared" si="44"/>
        <v>0</v>
      </c>
      <c r="H203" s="1051">
        <f t="shared" si="44"/>
        <v>0</v>
      </c>
      <c r="I203" s="1051">
        <f t="shared" si="44"/>
        <v>0</v>
      </c>
      <c r="J203" s="1051">
        <f t="shared" si="44"/>
        <v>0</v>
      </c>
      <c r="K203" s="1051">
        <f t="shared" si="44"/>
        <v>0</v>
      </c>
      <c r="L203" s="1051">
        <f t="shared" si="44"/>
        <v>0</v>
      </c>
      <c r="M203" s="1051">
        <f t="shared" si="44"/>
        <v>0</v>
      </c>
      <c r="O203" s="406"/>
    </row>
    <row r="204" spans="1:27" ht="15" customHeight="1" outlineLevel="1">
      <c r="A204" s="276">
        <f>ROW()</f>
        <v>204</v>
      </c>
      <c r="B204" s="704"/>
      <c r="C204" s="611" t="s">
        <v>713</v>
      </c>
      <c r="D204" s="611" t="s">
        <v>713</v>
      </c>
      <c r="E204" s="664">
        <v>0</v>
      </c>
      <c r="F204" s="612"/>
      <c r="G204" s="1051">
        <f t="shared" si="44"/>
        <v>0</v>
      </c>
      <c r="H204" s="1051">
        <f t="shared" si="44"/>
        <v>0</v>
      </c>
      <c r="I204" s="1051">
        <f t="shared" si="44"/>
        <v>0</v>
      </c>
      <c r="J204" s="1051">
        <f t="shared" si="44"/>
        <v>0</v>
      </c>
      <c r="K204" s="1051">
        <f t="shared" si="44"/>
        <v>0</v>
      </c>
      <c r="L204" s="1051">
        <f t="shared" si="44"/>
        <v>0</v>
      </c>
      <c r="M204" s="1051">
        <f t="shared" si="44"/>
        <v>0</v>
      </c>
      <c r="O204" s="406"/>
      <c r="R204" s="282"/>
      <c r="S204" s="282"/>
      <c r="T204" s="282"/>
      <c r="U204" s="282"/>
      <c r="V204" s="282"/>
      <c r="W204" s="282"/>
      <c r="X204" s="282"/>
      <c r="Y204" s="282"/>
      <c r="Z204" s="282"/>
      <c r="AA204" s="282"/>
    </row>
    <row r="205" spans="1:27" ht="15" customHeight="1" outlineLevel="1">
      <c r="A205" s="276">
        <f>ROW()</f>
        <v>205</v>
      </c>
      <c r="B205" s="603"/>
      <c r="C205" s="614"/>
      <c r="D205" s="721"/>
      <c r="E205" s="616"/>
      <c r="F205" s="615"/>
      <c r="G205" s="1051"/>
      <c r="H205" s="1051"/>
      <c r="I205" s="1051"/>
      <c r="J205" s="1051"/>
      <c r="K205" s="1051"/>
      <c r="L205" s="1051"/>
      <c r="M205" s="1051"/>
      <c r="O205" s="406"/>
      <c r="R205" s="282"/>
      <c r="S205" s="282"/>
      <c r="T205" s="282"/>
      <c r="U205" s="282"/>
      <c r="V205" s="282"/>
      <c r="W205" s="282"/>
      <c r="X205" s="282"/>
      <c r="Y205" s="282"/>
      <c r="Z205" s="282"/>
      <c r="AA205" s="282"/>
    </row>
    <row r="206" spans="1:27" s="282" customFormat="1" ht="15" customHeight="1" outlineLevel="1">
      <c r="A206" s="276">
        <f>ROW()</f>
        <v>206</v>
      </c>
      <c r="B206" s="704" t="s">
        <v>929</v>
      </c>
      <c r="C206" s="611">
        <v>5</v>
      </c>
      <c r="D206" s="611">
        <v>2022</v>
      </c>
      <c r="E206" s="947">
        <v>47500</v>
      </c>
      <c r="F206" s="612" t="s">
        <v>727</v>
      </c>
      <c r="G206" s="1051">
        <f t="shared" ref="G206:M210" si="45">IF($D206&lt;=G$81,1,0)</f>
        <v>0</v>
      </c>
      <c r="H206" s="1051">
        <f t="shared" si="45"/>
        <v>1</v>
      </c>
      <c r="I206" s="1051">
        <f t="shared" si="45"/>
        <v>1</v>
      </c>
      <c r="J206" s="1051">
        <f t="shared" si="45"/>
        <v>1</v>
      </c>
      <c r="K206" s="1051">
        <f t="shared" si="45"/>
        <v>1</v>
      </c>
      <c r="L206" s="1051">
        <f t="shared" si="45"/>
        <v>1</v>
      </c>
      <c r="M206" s="1051">
        <f t="shared" si="45"/>
        <v>1</v>
      </c>
      <c r="O206" s="406"/>
    </row>
    <row r="207" spans="1:27" s="282" customFormat="1" ht="15" customHeight="1" outlineLevel="1">
      <c r="A207" s="276">
        <f>ROW()</f>
        <v>207</v>
      </c>
      <c r="B207" s="704" t="s">
        <v>929</v>
      </c>
      <c r="C207" s="611">
        <v>5</v>
      </c>
      <c r="D207" s="611">
        <v>2026</v>
      </c>
      <c r="E207" s="664">
        <v>47500</v>
      </c>
      <c r="F207" s="612" t="s">
        <v>727</v>
      </c>
      <c r="G207" s="1051">
        <f t="shared" si="45"/>
        <v>0</v>
      </c>
      <c r="H207" s="1051">
        <f t="shared" si="45"/>
        <v>0</v>
      </c>
      <c r="I207" s="1051">
        <f t="shared" si="45"/>
        <v>0</v>
      </c>
      <c r="J207" s="1051">
        <f t="shared" si="45"/>
        <v>0</v>
      </c>
      <c r="K207" s="1051">
        <f t="shared" si="45"/>
        <v>0</v>
      </c>
      <c r="L207" s="1051">
        <f t="shared" si="45"/>
        <v>1</v>
      </c>
      <c r="M207" s="1051">
        <f t="shared" si="45"/>
        <v>1</v>
      </c>
      <c r="O207" s="406"/>
    </row>
    <row r="208" spans="1:27" s="282" customFormat="1" ht="15" customHeight="1" outlineLevel="1">
      <c r="A208" s="276">
        <f>ROW()</f>
        <v>208</v>
      </c>
      <c r="B208" s="704" t="s">
        <v>929</v>
      </c>
      <c r="C208" s="611">
        <v>5</v>
      </c>
      <c r="D208" s="611">
        <v>2027</v>
      </c>
      <c r="E208" s="664">
        <v>47500</v>
      </c>
      <c r="F208" s="612" t="s">
        <v>727</v>
      </c>
      <c r="G208" s="1051">
        <f t="shared" si="45"/>
        <v>0</v>
      </c>
      <c r="H208" s="1051">
        <f t="shared" si="45"/>
        <v>0</v>
      </c>
      <c r="I208" s="1051">
        <f t="shared" si="45"/>
        <v>0</v>
      </c>
      <c r="J208" s="1051">
        <f t="shared" si="45"/>
        <v>0</v>
      </c>
      <c r="K208" s="1051">
        <f t="shared" si="45"/>
        <v>0</v>
      </c>
      <c r="L208" s="1051">
        <f t="shared" si="45"/>
        <v>0</v>
      </c>
      <c r="M208" s="1051">
        <f t="shared" si="45"/>
        <v>1</v>
      </c>
      <c r="O208" s="406"/>
    </row>
    <row r="209" spans="1:27" s="282" customFormat="1" ht="15" customHeight="1" outlineLevel="1">
      <c r="A209" s="276">
        <f>ROW()</f>
        <v>209</v>
      </c>
      <c r="B209" s="704"/>
      <c r="C209" s="611" t="s">
        <v>713</v>
      </c>
      <c r="D209" s="611" t="s">
        <v>713</v>
      </c>
      <c r="E209" s="664">
        <v>0</v>
      </c>
      <c r="F209" s="612" t="s">
        <v>727</v>
      </c>
      <c r="G209" s="1051">
        <f t="shared" si="45"/>
        <v>0</v>
      </c>
      <c r="H209" s="1051">
        <f t="shared" si="45"/>
        <v>0</v>
      </c>
      <c r="I209" s="1051">
        <f t="shared" si="45"/>
        <v>0</v>
      </c>
      <c r="J209" s="1051">
        <f t="shared" si="45"/>
        <v>0</v>
      </c>
      <c r="K209" s="1051">
        <f t="shared" si="45"/>
        <v>0</v>
      </c>
      <c r="L209" s="1051">
        <f t="shared" si="45"/>
        <v>0</v>
      </c>
      <c r="M209" s="1051">
        <f t="shared" si="45"/>
        <v>0</v>
      </c>
      <c r="O209" s="406"/>
    </row>
    <row r="210" spans="1:27" s="282" customFormat="1" ht="15" customHeight="1" outlineLevel="1">
      <c r="A210" s="276">
        <f>ROW()</f>
        <v>210</v>
      </c>
      <c r="B210" s="704"/>
      <c r="C210" s="611" t="s">
        <v>713</v>
      </c>
      <c r="D210" s="611" t="s">
        <v>713</v>
      </c>
      <c r="E210" s="664">
        <v>0</v>
      </c>
      <c r="F210" s="612"/>
      <c r="G210" s="1051">
        <f t="shared" si="45"/>
        <v>0</v>
      </c>
      <c r="H210" s="1051">
        <f t="shared" si="45"/>
        <v>0</v>
      </c>
      <c r="I210" s="1051">
        <f t="shared" si="45"/>
        <v>0</v>
      </c>
      <c r="J210" s="1051">
        <f t="shared" si="45"/>
        <v>0</v>
      </c>
      <c r="K210" s="1051">
        <f t="shared" si="45"/>
        <v>0</v>
      </c>
      <c r="L210" s="1051">
        <f t="shared" si="45"/>
        <v>0</v>
      </c>
      <c r="M210" s="1051">
        <f t="shared" si="45"/>
        <v>0</v>
      </c>
      <c r="O210" s="406"/>
    </row>
    <row r="211" spans="1:27" s="282" customFormat="1" ht="15" customHeight="1" outlineLevel="1">
      <c r="A211" s="276">
        <f>ROW()</f>
        <v>211</v>
      </c>
      <c r="B211" s="603"/>
      <c r="C211" s="592"/>
      <c r="D211" s="613"/>
      <c r="E211" s="616"/>
      <c r="F211" s="615"/>
      <c r="G211" s="1051"/>
      <c r="H211" s="1051"/>
      <c r="I211" s="1051"/>
      <c r="J211" s="1051"/>
      <c r="K211" s="1051"/>
      <c r="L211" s="1051"/>
      <c r="M211" s="1051"/>
      <c r="O211" s="406"/>
    </row>
    <row r="212" spans="1:27" s="282" customFormat="1" ht="15" customHeight="1" outlineLevel="1">
      <c r="A212" s="276">
        <f>ROW()</f>
        <v>212</v>
      </c>
      <c r="B212" s="704" t="s">
        <v>930</v>
      </c>
      <c r="C212" s="611">
        <v>6</v>
      </c>
      <c r="D212" s="611">
        <v>2022</v>
      </c>
      <c r="E212" s="947">
        <v>47500</v>
      </c>
      <c r="F212" s="612" t="s">
        <v>727</v>
      </c>
      <c r="G212" s="1051">
        <f t="shared" ref="G212:M216" si="46">IF($D212&lt;=G$81,1,0)</f>
        <v>0</v>
      </c>
      <c r="H212" s="1051">
        <f t="shared" si="46"/>
        <v>1</v>
      </c>
      <c r="I212" s="1051">
        <f t="shared" si="46"/>
        <v>1</v>
      </c>
      <c r="J212" s="1051">
        <f t="shared" si="46"/>
        <v>1</v>
      </c>
      <c r="K212" s="1051">
        <f t="shared" si="46"/>
        <v>1</v>
      </c>
      <c r="L212" s="1051">
        <f t="shared" si="46"/>
        <v>1</v>
      </c>
      <c r="M212" s="1051">
        <f t="shared" si="46"/>
        <v>1</v>
      </c>
      <c r="O212" s="406"/>
    </row>
    <row r="213" spans="1:27" s="282" customFormat="1" ht="15" customHeight="1" outlineLevel="1">
      <c r="A213" s="276">
        <f>ROW()</f>
        <v>213</v>
      </c>
      <c r="B213" s="704" t="s">
        <v>930</v>
      </c>
      <c r="C213" s="611">
        <v>6</v>
      </c>
      <c r="D213" s="611">
        <v>2022</v>
      </c>
      <c r="E213" s="664">
        <v>47500</v>
      </c>
      <c r="F213" s="612" t="s">
        <v>727</v>
      </c>
      <c r="G213" s="1051">
        <f t="shared" si="46"/>
        <v>0</v>
      </c>
      <c r="H213" s="1051">
        <f t="shared" si="46"/>
        <v>1</v>
      </c>
      <c r="I213" s="1051">
        <f t="shared" si="46"/>
        <v>1</v>
      </c>
      <c r="J213" s="1051">
        <f t="shared" si="46"/>
        <v>1</v>
      </c>
      <c r="K213" s="1051">
        <f t="shared" si="46"/>
        <v>1</v>
      </c>
      <c r="L213" s="1051">
        <f t="shared" si="46"/>
        <v>1</v>
      </c>
      <c r="M213" s="1051">
        <f t="shared" si="46"/>
        <v>1</v>
      </c>
      <c r="O213" s="406"/>
    </row>
    <row r="214" spans="1:27" s="282" customFormat="1" ht="15" customHeight="1" outlineLevel="1">
      <c r="A214" s="276">
        <f>ROW()</f>
        <v>214</v>
      </c>
      <c r="B214" s="704" t="s">
        <v>930</v>
      </c>
      <c r="C214" s="611">
        <v>6</v>
      </c>
      <c r="D214" s="611">
        <v>2027</v>
      </c>
      <c r="E214" s="664">
        <v>47500</v>
      </c>
      <c r="F214" s="612" t="s">
        <v>727</v>
      </c>
      <c r="G214" s="1051">
        <f t="shared" si="46"/>
        <v>0</v>
      </c>
      <c r="H214" s="1051">
        <f t="shared" si="46"/>
        <v>0</v>
      </c>
      <c r="I214" s="1051">
        <f t="shared" si="46"/>
        <v>0</v>
      </c>
      <c r="J214" s="1051">
        <f t="shared" si="46"/>
        <v>0</v>
      </c>
      <c r="K214" s="1051">
        <f t="shared" si="46"/>
        <v>0</v>
      </c>
      <c r="L214" s="1051">
        <f t="shared" si="46"/>
        <v>0</v>
      </c>
      <c r="M214" s="1051">
        <f t="shared" si="46"/>
        <v>1</v>
      </c>
      <c r="O214" s="406"/>
    </row>
    <row r="215" spans="1:27" s="282" customFormat="1" ht="15" customHeight="1" outlineLevel="1">
      <c r="A215" s="276">
        <f>ROW()</f>
        <v>215</v>
      </c>
      <c r="B215" s="704"/>
      <c r="C215" s="611" t="s">
        <v>713</v>
      </c>
      <c r="D215" s="611" t="s">
        <v>713</v>
      </c>
      <c r="E215" s="664">
        <v>0</v>
      </c>
      <c r="F215" s="612" t="s">
        <v>727</v>
      </c>
      <c r="G215" s="1051">
        <f t="shared" si="46"/>
        <v>0</v>
      </c>
      <c r="H215" s="1051">
        <f t="shared" si="46"/>
        <v>0</v>
      </c>
      <c r="I215" s="1051">
        <f t="shared" si="46"/>
        <v>0</v>
      </c>
      <c r="J215" s="1051">
        <f t="shared" si="46"/>
        <v>0</v>
      </c>
      <c r="K215" s="1051">
        <f t="shared" si="46"/>
        <v>0</v>
      </c>
      <c r="L215" s="1051">
        <f t="shared" si="46"/>
        <v>0</v>
      </c>
      <c r="M215" s="1051">
        <f t="shared" si="46"/>
        <v>0</v>
      </c>
      <c r="O215" s="406"/>
    </row>
    <row r="216" spans="1:27" ht="15" customHeight="1" outlineLevel="1">
      <c r="A216" s="276">
        <f>ROW()</f>
        <v>216</v>
      </c>
      <c r="B216" s="704"/>
      <c r="C216" s="611" t="s">
        <v>713</v>
      </c>
      <c r="D216" s="611" t="s">
        <v>713</v>
      </c>
      <c r="E216" s="664">
        <v>0</v>
      </c>
      <c r="F216" s="612" t="s">
        <v>727</v>
      </c>
      <c r="G216" s="1051">
        <f t="shared" si="46"/>
        <v>0</v>
      </c>
      <c r="H216" s="1051">
        <f t="shared" si="46"/>
        <v>0</v>
      </c>
      <c r="I216" s="1051">
        <f t="shared" si="46"/>
        <v>0</v>
      </c>
      <c r="J216" s="1051">
        <f t="shared" si="46"/>
        <v>0</v>
      </c>
      <c r="K216" s="1051">
        <f t="shared" si="46"/>
        <v>0</v>
      </c>
      <c r="L216" s="1051">
        <f t="shared" si="46"/>
        <v>0</v>
      </c>
      <c r="M216" s="1051">
        <f t="shared" si="46"/>
        <v>0</v>
      </c>
      <c r="O216" s="406"/>
      <c r="R216" s="282"/>
      <c r="S216" s="282"/>
      <c r="T216" s="282"/>
      <c r="U216" s="282"/>
      <c r="V216" s="282"/>
      <c r="W216" s="282"/>
      <c r="X216" s="282"/>
      <c r="Y216" s="282"/>
      <c r="Z216" s="282"/>
      <c r="AA216" s="282"/>
    </row>
    <row r="217" spans="1:27" outlineLevel="1">
      <c r="A217" s="276">
        <f>ROW()</f>
        <v>217</v>
      </c>
      <c r="B217" s="603"/>
      <c r="C217" s="614"/>
      <c r="D217" s="721"/>
      <c r="E217" s="616"/>
      <c r="F217" s="615"/>
      <c r="G217" s="1051"/>
      <c r="H217" s="1051"/>
      <c r="I217" s="1051"/>
      <c r="J217" s="1051"/>
      <c r="K217" s="1051"/>
      <c r="L217" s="1051"/>
      <c r="M217" s="1051"/>
      <c r="O217" s="406"/>
      <c r="R217" s="282"/>
      <c r="S217" s="282"/>
      <c r="T217" s="282"/>
      <c r="U217" s="282"/>
      <c r="V217" s="282"/>
      <c r="W217" s="282"/>
      <c r="X217" s="282"/>
      <c r="Y217" s="282"/>
      <c r="Z217" s="282"/>
      <c r="AA217" s="282"/>
    </row>
    <row r="218" spans="1:27" s="282" customFormat="1" outlineLevel="1">
      <c r="A218" s="276">
        <f>ROW()</f>
        <v>218</v>
      </c>
      <c r="B218" s="704" t="s">
        <v>931</v>
      </c>
      <c r="C218" s="611">
        <v>7</v>
      </c>
      <c r="D218" s="611">
        <v>2022</v>
      </c>
      <c r="E218" s="947">
        <v>47500</v>
      </c>
      <c r="F218" s="612" t="s">
        <v>727</v>
      </c>
      <c r="G218" s="1051">
        <f t="shared" ref="G218:M223" si="47">IF($D218&lt;=G$81,1,0)</f>
        <v>0</v>
      </c>
      <c r="H218" s="1051">
        <f t="shared" si="47"/>
        <v>1</v>
      </c>
      <c r="I218" s="1051">
        <f t="shared" si="47"/>
        <v>1</v>
      </c>
      <c r="J218" s="1051">
        <f t="shared" si="47"/>
        <v>1</v>
      </c>
      <c r="K218" s="1051">
        <f t="shared" si="47"/>
        <v>1</v>
      </c>
      <c r="L218" s="1051">
        <f t="shared" si="47"/>
        <v>1</v>
      </c>
      <c r="M218" s="1051">
        <f t="shared" si="47"/>
        <v>1</v>
      </c>
      <c r="O218" s="406"/>
    </row>
    <row r="219" spans="1:27" s="282" customFormat="1" outlineLevel="1">
      <c r="A219" s="276">
        <f>ROW()</f>
        <v>219</v>
      </c>
      <c r="B219" s="704" t="s">
        <v>931</v>
      </c>
      <c r="C219" s="611">
        <v>7</v>
      </c>
      <c r="D219" s="611">
        <v>2022</v>
      </c>
      <c r="E219" s="664">
        <v>47500</v>
      </c>
      <c r="F219" s="612" t="s">
        <v>727</v>
      </c>
      <c r="G219" s="1051">
        <f t="shared" si="47"/>
        <v>0</v>
      </c>
      <c r="H219" s="1051">
        <f t="shared" si="47"/>
        <v>1</v>
      </c>
      <c r="I219" s="1051">
        <f t="shared" si="47"/>
        <v>1</v>
      </c>
      <c r="J219" s="1051">
        <f t="shared" si="47"/>
        <v>1</v>
      </c>
      <c r="K219" s="1051">
        <f t="shared" si="47"/>
        <v>1</v>
      </c>
      <c r="L219" s="1051">
        <f t="shared" si="47"/>
        <v>1</v>
      </c>
      <c r="M219" s="1051">
        <f t="shared" si="47"/>
        <v>1</v>
      </c>
      <c r="O219" s="406"/>
    </row>
    <row r="220" spans="1:27" s="282" customFormat="1" outlineLevel="1">
      <c r="A220" s="276">
        <f>ROW()</f>
        <v>220</v>
      </c>
      <c r="B220" s="704" t="s">
        <v>931</v>
      </c>
      <c r="C220" s="611">
        <v>7</v>
      </c>
      <c r="D220" s="611">
        <v>2027</v>
      </c>
      <c r="E220" s="664">
        <v>47500</v>
      </c>
      <c r="F220" s="612" t="s">
        <v>727</v>
      </c>
      <c r="G220" s="1051">
        <f t="shared" si="47"/>
        <v>0</v>
      </c>
      <c r="H220" s="1051">
        <f t="shared" si="47"/>
        <v>0</v>
      </c>
      <c r="I220" s="1051">
        <f t="shared" si="47"/>
        <v>0</v>
      </c>
      <c r="J220" s="1051">
        <f t="shared" si="47"/>
        <v>0</v>
      </c>
      <c r="K220" s="1051">
        <f t="shared" si="47"/>
        <v>0</v>
      </c>
      <c r="L220" s="1051">
        <f t="shared" si="47"/>
        <v>0</v>
      </c>
      <c r="M220" s="1051">
        <f t="shared" si="47"/>
        <v>1</v>
      </c>
      <c r="O220" s="406"/>
    </row>
    <row r="221" spans="1:27" s="282" customFormat="1" outlineLevel="1">
      <c r="A221" s="276">
        <f>ROW()</f>
        <v>221</v>
      </c>
      <c r="B221" s="704"/>
      <c r="C221" s="611" t="s">
        <v>713</v>
      </c>
      <c r="D221" s="611" t="s">
        <v>713</v>
      </c>
      <c r="E221" s="664">
        <v>0</v>
      </c>
      <c r="F221" s="612" t="s">
        <v>727</v>
      </c>
      <c r="G221" s="1051">
        <f t="shared" si="47"/>
        <v>0</v>
      </c>
      <c r="H221" s="1051">
        <f t="shared" si="47"/>
        <v>0</v>
      </c>
      <c r="I221" s="1051">
        <f t="shared" si="47"/>
        <v>0</v>
      </c>
      <c r="J221" s="1051">
        <f t="shared" si="47"/>
        <v>0</v>
      </c>
      <c r="K221" s="1051">
        <f t="shared" si="47"/>
        <v>0</v>
      </c>
      <c r="L221" s="1051">
        <f t="shared" si="47"/>
        <v>0</v>
      </c>
      <c r="M221" s="1051">
        <f t="shared" si="47"/>
        <v>0</v>
      </c>
      <c r="O221" s="406"/>
    </row>
    <row r="222" spans="1:27" s="282" customFormat="1" outlineLevel="1">
      <c r="A222" s="276">
        <f>ROW()</f>
        <v>222</v>
      </c>
      <c r="B222" s="704"/>
      <c r="C222" s="611" t="s">
        <v>713</v>
      </c>
      <c r="D222" s="611" t="s">
        <v>713</v>
      </c>
      <c r="E222" s="664">
        <v>0</v>
      </c>
      <c r="F222" s="612" t="s">
        <v>727</v>
      </c>
      <c r="G222" s="1051">
        <f t="shared" si="47"/>
        <v>0</v>
      </c>
      <c r="H222" s="1051">
        <f t="shared" si="47"/>
        <v>0</v>
      </c>
      <c r="I222" s="1051">
        <f t="shared" si="47"/>
        <v>0</v>
      </c>
      <c r="J222" s="1051">
        <f t="shared" si="47"/>
        <v>0</v>
      </c>
      <c r="K222" s="1051">
        <f t="shared" si="47"/>
        <v>0</v>
      </c>
      <c r="L222" s="1051">
        <f t="shared" si="47"/>
        <v>0</v>
      </c>
      <c r="M222" s="1051">
        <f t="shared" si="47"/>
        <v>0</v>
      </c>
      <c r="O222" s="406"/>
    </row>
    <row r="223" spans="1:27" s="282" customFormat="1" outlineLevel="1">
      <c r="A223" s="276">
        <f>ROW()</f>
        <v>223</v>
      </c>
      <c r="B223" s="820"/>
      <c r="C223" s="630" t="s">
        <v>713</v>
      </c>
      <c r="D223" s="630" t="s">
        <v>713</v>
      </c>
      <c r="E223" s="821"/>
      <c r="F223" s="821" t="s">
        <v>727</v>
      </c>
      <c r="G223" s="1051">
        <f t="shared" si="47"/>
        <v>0</v>
      </c>
      <c r="H223" s="1051">
        <f t="shared" si="47"/>
        <v>0</v>
      </c>
      <c r="I223" s="1051">
        <f t="shared" si="47"/>
        <v>0</v>
      </c>
      <c r="J223" s="1051">
        <f t="shared" si="47"/>
        <v>0</v>
      </c>
      <c r="K223" s="1051">
        <f t="shared" si="47"/>
        <v>0</v>
      </c>
      <c r="L223" s="1051">
        <f t="shared" si="47"/>
        <v>0</v>
      </c>
      <c r="M223" s="1051">
        <f t="shared" si="47"/>
        <v>0</v>
      </c>
      <c r="O223" s="406"/>
    </row>
    <row r="224" spans="1:27" s="282" customFormat="1" outlineLevel="1">
      <c r="A224" s="276">
        <f>ROW()</f>
        <v>224</v>
      </c>
      <c r="B224" s="285"/>
      <c r="C224" s="419"/>
      <c r="D224" s="419"/>
      <c r="E224" s="420"/>
      <c r="F224" s="592"/>
      <c r="G224" s="1337"/>
      <c r="H224" s="1337"/>
      <c r="I224" s="1337"/>
      <c r="J224" s="1337"/>
      <c r="K224" s="1051"/>
      <c r="L224" s="1051"/>
      <c r="M224" s="1051"/>
      <c r="O224" s="406"/>
      <c r="P224" s="406"/>
      <c r="Q224" s="406"/>
    </row>
    <row r="225" spans="1:15" s="282" customFormat="1" outlineLevel="1">
      <c r="A225" s="276">
        <f>ROW()</f>
        <v>225</v>
      </c>
      <c r="B225" s="704" t="s">
        <v>932</v>
      </c>
      <c r="C225" s="611">
        <v>8</v>
      </c>
      <c r="D225" s="611">
        <v>2023</v>
      </c>
      <c r="E225" s="947">
        <v>47500</v>
      </c>
      <c r="F225" s="612" t="s">
        <v>727</v>
      </c>
      <c r="G225" s="1051">
        <f t="shared" ref="G225:M240" si="48">IF($D225&lt;=G$81,1,0)</f>
        <v>0</v>
      </c>
      <c r="H225" s="1051">
        <f t="shared" si="48"/>
        <v>0</v>
      </c>
      <c r="I225" s="1051">
        <f t="shared" si="48"/>
        <v>1</v>
      </c>
      <c r="J225" s="1051">
        <f t="shared" si="48"/>
        <v>1</v>
      </c>
      <c r="K225" s="1051">
        <f t="shared" si="48"/>
        <v>1</v>
      </c>
      <c r="L225" s="1051">
        <f t="shared" si="48"/>
        <v>1</v>
      </c>
      <c r="M225" s="1051">
        <f t="shared" si="48"/>
        <v>1</v>
      </c>
      <c r="O225" s="406"/>
    </row>
    <row r="226" spans="1:15" s="282" customFormat="1" outlineLevel="1">
      <c r="A226" s="276">
        <f>ROW()</f>
        <v>226</v>
      </c>
      <c r="B226" s="704" t="s">
        <v>932</v>
      </c>
      <c r="C226" s="611">
        <v>8</v>
      </c>
      <c r="D226" s="611">
        <v>2023</v>
      </c>
      <c r="E226" s="664">
        <v>47500</v>
      </c>
      <c r="F226" s="612" t="s">
        <v>727</v>
      </c>
      <c r="G226" s="1051">
        <f t="shared" si="48"/>
        <v>0</v>
      </c>
      <c r="H226" s="1051">
        <f t="shared" si="48"/>
        <v>0</v>
      </c>
      <c r="I226" s="1051">
        <f t="shared" si="48"/>
        <v>1</v>
      </c>
      <c r="J226" s="1051">
        <f t="shared" si="48"/>
        <v>1</v>
      </c>
      <c r="K226" s="1051">
        <f t="shared" si="48"/>
        <v>1</v>
      </c>
      <c r="L226" s="1051">
        <f t="shared" si="48"/>
        <v>1</v>
      </c>
      <c r="M226" s="1051">
        <f t="shared" si="48"/>
        <v>1</v>
      </c>
      <c r="O226" s="406"/>
    </row>
    <row r="227" spans="1:15" s="282" customFormat="1" outlineLevel="1">
      <c r="A227" s="276">
        <f>ROW()</f>
        <v>227</v>
      </c>
      <c r="B227" s="704" t="s">
        <v>932</v>
      </c>
      <c r="C227" s="611">
        <v>8</v>
      </c>
      <c r="D227" s="611">
        <v>2027</v>
      </c>
      <c r="E227" s="664">
        <v>47500</v>
      </c>
      <c r="F227" s="612" t="s">
        <v>727</v>
      </c>
      <c r="G227" s="1051">
        <f t="shared" si="48"/>
        <v>0</v>
      </c>
      <c r="H227" s="1051">
        <f t="shared" si="48"/>
        <v>0</v>
      </c>
      <c r="I227" s="1051">
        <f t="shared" si="48"/>
        <v>0</v>
      </c>
      <c r="J227" s="1051">
        <f t="shared" si="48"/>
        <v>0</v>
      </c>
      <c r="K227" s="1051">
        <f t="shared" si="48"/>
        <v>0</v>
      </c>
      <c r="L227" s="1051">
        <f t="shared" si="48"/>
        <v>0</v>
      </c>
      <c r="M227" s="1051">
        <f t="shared" si="48"/>
        <v>1</v>
      </c>
      <c r="O227" s="406"/>
    </row>
    <row r="228" spans="1:15" s="282" customFormat="1" outlineLevel="1">
      <c r="A228" s="276">
        <f>ROW()</f>
        <v>228</v>
      </c>
      <c r="B228" s="704"/>
      <c r="C228" s="611" t="s">
        <v>713</v>
      </c>
      <c r="D228" s="611" t="s">
        <v>713</v>
      </c>
      <c r="E228" s="664">
        <v>0</v>
      </c>
      <c r="F228" s="612" t="s">
        <v>727</v>
      </c>
      <c r="G228" s="1051">
        <f t="shared" si="48"/>
        <v>0</v>
      </c>
      <c r="H228" s="1051">
        <f t="shared" si="48"/>
        <v>0</v>
      </c>
      <c r="I228" s="1051">
        <f t="shared" si="48"/>
        <v>0</v>
      </c>
      <c r="J228" s="1051">
        <f t="shared" si="48"/>
        <v>0</v>
      </c>
      <c r="K228" s="1051">
        <f t="shared" si="48"/>
        <v>0</v>
      </c>
      <c r="L228" s="1051">
        <f t="shared" si="48"/>
        <v>0</v>
      </c>
      <c r="M228" s="1051">
        <f t="shared" si="48"/>
        <v>0</v>
      </c>
      <c r="O228" s="406"/>
    </row>
    <row r="229" spans="1:15" s="282" customFormat="1" outlineLevel="1">
      <c r="A229" s="276">
        <f>ROW()</f>
        <v>229</v>
      </c>
      <c r="B229" s="704"/>
      <c r="C229" s="611" t="s">
        <v>713</v>
      </c>
      <c r="D229" s="611" t="s">
        <v>713</v>
      </c>
      <c r="E229" s="664">
        <v>0</v>
      </c>
      <c r="F229" s="612" t="s">
        <v>727</v>
      </c>
      <c r="G229" s="1051">
        <f t="shared" si="48"/>
        <v>0</v>
      </c>
      <c r="H229" s="1051">
        <f t="shared" si="48"/>
        <v>0</v>
      </c>
      <c r="I229" s="1051">
        <f t="shared" si="48"/>
        <v>0</v>
      </c>
      <c r="J229" s="1051">
        <f t="shared" si="48"/>
        <v>0</v>
      </c>
      <c r="K229" s="1051">
        <f t="shared" si="48"/>
        <v>0</v>
      </c>
      <c r="L229" s="1051">
        <f t="shared" si="48"/>
        <v>0</v>
      </c>
      <c r="M229" s="1051">
        <f t="shared" si="48"/>
        <v>0</v>
      </c>
      <c r="O229" s="406"/>
    </row>
    <row r="230" spans="1:15" s="282" customFormat="1" outlineLevel="1">
      <c r="A230" s="276">
        <f>ROW()</f>
        <v>230</v>
      </c>
      <c r="B230" s="221"/>
      <c r="C230" s="613"/>
      <c r="D230" s="613"/>
      <c r="E230" s="616"/>
      <c r="F230" s="615"/>
      <c r="G230" s="1286"/>
      <c r="H230" s="1051"/>
      <c r="I230" s="1051"/>
      <c r="J230" s="1051"/>
      <c r="K230" s="1051"/>
      <c r="L230" s="1051"/>
      <c r="M230" s="1051"/>
      <c r="O230" s="406"/>
    </row>
    <row r="231" spans="1:15" s="282" customFormat="1" outlineLevel="1">
      <c r="A231" s="276">
        <f>ROW()</f>
        <v>231</v>
      </c>
      <c r="B231" s="704" t="s">
        <v>956</v>
      </c>
      <c r="C231" s="611">
        <v>9</v>
      </c>
      <c r="D231" s="611">
        <v>2024</v>
      </c>
      <c r="E231" s="947">
        <v>47500</v>
      </c>
      <c r="F231" s="612" t="s">
        <v>727</v>
      </c>
      <c r="G231" s="1051">
        <f t="shared" si="48"/>
        <v>0</v>
      </c>
      <c r="H231" s="1051">
        <f t="shared" si="48"/>
        <v>0</v>
      </c>
      <c r="I231" s="1051">
        <f t="shared" si="48"/>
        <v>0</v>
      </c>
      <c r="J231" s="1051">
        <f t="shared" si="48"/>
        <v>1</v>
      </c>
      <c r="K231" s="1051">
        <f t="shared" si="48"/>
        <v>1</v>
      </c>
      <c r="L231" s="1051">
        <f t="shared" si="48"/>
        <v>1</v>
      </c>
      <c r="M231" s="1051">
        <f t="shared" si="48"/>
        <v>1</v>
      </c>
      <c r="O231" s="406"/>
    </row>
    <row r="232" spans="1:15" s="282" customFormat="1" outlineLevel="1">
      <c r="A232" s="276">
        <f>ROW()</f>
        <v>232</v>
      </c>
      <c r="B232" s="704" t="s">
        <v>956</v>
      </c>
      <c r="C232" s="611">
        <v>9</v>
      </c>
      <c r="D232" s="611">
        <v>2024</v>
      </c>
      <c r="E232" s="664">
        <v>47500</v>
      </c>
      <c r="F232" s="612" t="s">
        <v>727</v>
      </c>
      <c r="G232" s="1051">
        <f t="shared" si="48"/>
        <v>0</v>
      </c>
      <c r="H232" s="1051">
        <f t="shared" si="48"/>
        <v>0</v>
      </c>
      <c r="I232" s="1051">
        <f t="shared" si="48"/>
        <v>0</v>
      </c>
      <c r="J232" s="1051">
        <f t="shared" si="48"/>
        <v>1</v>
      </c>
      <c r="K232" s="1051">
        <f t="shared" si="48"/>
        <v>1</v>
      </c>
      <c r="L232" s="1051">
        <f t="shared" si="48"/>
        <v>1</v>
      </c>
      <c r="M232" s="1051">
        <f t="shared" si="48"/>
        <v>1</v>
      </c>
      <c r="O232" s="406"/>
    </row>
    <row r="233" spans="1:15" s="282" customFormat="1" outlineLevel="1">
      <c r="A233" s="276">
        <f>ROW()</f>
        <v>233</v>
      </c>
      <c r="B233" s="704" t="s">
        <v>956</v>
      </c>
      <c r="C233" s="611">
        <v>9</v>
      </c>
      <c r="D233" s="611">
        <v>2024</v>
      </c>
      <c r="E233" s="664">
        <v>47500</v>
      </c>
      <c r="F233" s="612" t="s">
        <v>727</v>
      </c>
      <c r="G233" s="1051">
        <f t="shared" si="48"/>
        <v>0</v>
      </c>
      <c r="H233" s="1051">
        <f t="shared" si="48"/>
        <v>0</v>
      </c>
      <c r="I233" s="1051">
        <f t="shared" si="48"/>
        <v>0</v>
      </c>
      <c r="J233" s="1051">
        <f t="shared" si="48"/>
        <v>1</v>
      </c>
      <c r="K233" s="1051">
        <f t="shared" si="48"/>
        <v>1</v>
      </c>
      <c r="L233" s="1051">
        <f t="shared" si="48"/>
        <v>1</v>
      </c>
      <c r="M233" s="1051">
        <f t="shared" si="48"/>
        <v>1</v>
      </c>
      <c r="O233" s="406"/>
    </row>
    <row r="234" spans="1:15" s="282" customFormat="1" outlineLevel="1">
      <c r="A234" s="276">
        <f>ROW()</f>
        <v>234</v>
      </c>
      <c r="B234" s="704"/>
      <c r="C234" s="611" t="s">
        <v>713</v>
      </c>
      <c r="D234" s="611" t="s">
        <v>713</v>
      </c>
      <c r="E234" s="664">
        <v>0</v>
      </c>
      <c r="F234" s="612" t="s">
        <v>727</v>
      </c>
      <c r="G234" s="1051">
        <f t="shared" si="48"/>
        <v>0</v>
      </c>
      <c r="H234" s="1051">
        <f t="shared" si="48"/>
        <v>0</v>
      </c>
      <c r="I234" s="1051">
        <f t="shared" si="48"/>
        <v>0</v>
      </c>
      <c r="J234" s="1051">
        <f t="shared" si="48"/>
        <v>0</v>
      </c>
      <c r="K234" s="1051">
        <f t="shared" si="48"/>
        <v>0</v>
      </c>
      <c r="L234" s="1051">
        <f t="shared" si="48"/>
        <v>0</v>
      </c>
      <c r="M234" s="1051">
        <f t="shared" si="48"/>
        <v>0</v>
      </c>
      <c r="O234" s="406"/>
    </row>
    <row r="235" spans="1:15" s="282" customFormat="1" outlineLevel="1">
      <c r="A235" s="276">
        <f>ROW()</f>
        <v>235</v>
      </c>
      <c r="B235" s="704"/>
      <c r="C235" s="611" t="s">
        <v>713</v>
      </c>
      <c r="D235" s="611" t="s">
        <v>713</v>
      </c>
      <c r="E235" s="664">
        <v>0</v>
      </c>
      <c r="F235" s="612" t="s">
        <v>727</v>
      </c>
      <c r="G235" s="1051">
        <f t="shared" si="48"/>
        <v>0</v>
      </c>
      <c r="H235" s="1051">
        <f t="shared" si="48"/>
        <v>0</v>
      </c>
      <c r="I235" s="1051">
        <f t="shared" si="48"/>
        <v>0</v>
      </c>
      <c r="J235" s="1051">
        <f t="shared" si="48"/>
        <v>0</v>
      </c>
      <c r="K235" s="1051">
        <f t="shared" si="48"/>
        <v>0</v>
      </c>
      <c r="L235" s="1051">
        <f t="shared" si="48"/>
        <v>0</v>
      </c>
      <c r="M235" s="1051">
        <f t="shared" si="48"/>
        <v>0</v>
      </c>
      <c r="O235" s="406"/>
    </row>
    <row r="236" spans="1:15" s="282" customFormat="1" outlineLevel="1">
      <c r="A236" s="276">
        <f>ROW()</f>
        <v>236</v>
      </c>
      <c r="B236" s="221"/>
      <c r="C236" s="613"/>
      <c r="D236" s="613"/>
      <c r="E236" s="616"/>
      <c r="F236" s="615"/>
      <c r="G236" s="1286"/>
      <c r="H236" s="1051"/>
      <c r="I236" s="1051"/>
      <c r="J236" s="1051"/>
      <c r="K236" s="1051"/>
      <c r="L236" s="1051"/>
      <c r="M236" s="1051"/>
      <c r="O236" s="406"/>
    </row>
    <row r="237" spans="1:15" s="282" customFormat="1" outlineLevel="1">
      <c r="A237" s="276">
        <f>ROW()</f>
        <v>237</v>
      </c>
      <c r="B237" s="704" t="s">
        <v>957</v>
      </c>
      <c r="C237" s="611">
        <v>10</v>
      </c>
      <c r="D237" s="611">
        <v>2025</v>
      </c>
      <c r="E237" s="947">
        <v>47500</v>
      </c>
      <c r="F237" s="612" t="s">
        <v>727</v>
      </c>
      <c r="G237" s="1051">
        <f t="shared" si="48"/>
        <v>0</v>
      </c>
      <c r="H237" s="1051">
        <f t="shared" si="48"/>
        <v>0</v>
      </c>
      <c r="I237" s="1051">
        <f t="shared" si="48"/>
        <v>0</v>
      </c>
      <c r="J237" s="1051">
        <f t="shared" si="48"/>
        <v>0</v>
      </c>
      <c r="K237" s="1051">
        <f t="shared" si="48"/>
        <v>1</v>
      </c>
      <c r="L237" s="1051">
        <f t="shared" si="48"/>
        <v>1</v>
      </c>
      <c r="M237" s="1051">
        <f t="shared" si="48"/>
        <v>1</v>
      </c>
      <c r="O237" s="406"/>
    </row>
    <row r="238" spans="1:15" s="282" customFormat="1" outlineLevel="1">
      <c r="A238" s="276">
        <f>ROW()</f>
        <v>238</v>
      </c>
      <c r="B238" s="704" t="s">
        <v>957</v>
      </c>
      <c r="C238" s="611">
        <v>10</v>
      </c>
      <c r="D238" s="611">
        <v>2025</v>
      </c>
      <c r="E238" s="664">
        <v>47500</v>
      </c>
      <c r="F238" s="612" t="s">
        <v>727</v>
      </c>
      <c r="G238" s="1051">
        <f t="shared" si="48"/>
        <v>0</v>
      </c>
      <c r="H238" s="1051">
        <f t="shared" si="48"/>
        <v>0</v>
      </c>
      <c r="I238" s="1051">
        <f t="shared" si="48"/>
        <v>0</v>
      </c>
      <c r="J238" s="1051">
        <f t="shared" si="48"/>
        <v>0</v>
      </c>
      <c r="K238" s="1051">
        <f t="shared" si="48"/>
        <v>1</v>
      </c>
      <c r="L238" s="1051">
        <f t="shared" si="48"/>
        <v>1</v>
      </c>
      <c r="M238" s="1051">
        <f t="shared" si="48"/>
        <v>1</v>
      </c>
      <c r="O238" s="406"/>
    </row>
    <row r="239" spans="1:15" s="282" customFormat="1" outlineLevel="1">
      <c r="A239" s="276">
        <f>ROW()</f>
        <v>239</v>
      </c>
      <c r="B239" s="704" t="s">
        <v>957</v>
      </c>
      <c r="C239" s="611">
        <v>10</v>
      </c>
      <c r="D239" s="611">
        <v>2025</v>
      </c>
      <c r="E239" s="664">
        <v>47500</v>
      </c>
      <c r="F239" s="612" t="s">
        <v>727</v>
      </c>
      <c r="G239" s="1051">
        <f t="shared" si="48"/>
        <v>0</v>
      </c>
      <c r="H239" s="1051">
        <f t="shared" si="48"/>
        <v>0</v>
      </c>
      <c r="I239" s="1051">
        <f t="shared" si="48"/>
        <v>0</v>
      </c>
      <c r="J239" s="1051">
        <f t="shared" si="48"/>
        <v>0</v>
      </c>
      <c r="K239" s="1051">
        <f t="shared" si="48"/>
        <v>1</v>
      </c>
      <c r="L239" s="1051">
        <f t="shared" si="48"/>
        <v>1</v>
      </c>
      <c r="M239" s="1051">
        <f t="shared" si="48"/>
        <v>1</v>
      </c>
      <c r="O239" s="406"/>
    </row>
    <row r="240" spans="1:15" s="282" customFormat="1" outlineLevel="1">
      <c r="A240" s="276">
        <f>ROW()</f>
        <v>240</v>
      </c>
      <c r="B240" s="704"/>
      <c r="C240" s="611" t="s">
        <v>713</v>
      </c>
      <c r="D240" s="611" t="s">
        <v>713</v>
      </c>
      <c r="E240" s="664">
        <v>0</v>
      </c>
      <c r="F240" s="612" t="s">
        <v>727</v>
      </c>
      <c r="G240" s="1051">
        <f t="shared" si="48"/>
        <v>0</v>
      </c>
      <c r="H240" s="1051">
        <f t="shared" si="48"/>
        <v>0</v>
      </c>
      <c r="I240" s="1051">
        <f t="shared" si="48"/>
        <v>0</v>
      </c>
      <c r="J240" s="1051">
        <f t="shared" si="48"/>
        <v>0</v>
      </c>
      <c r="K240" s="1051">
        <f t="shared" si="48"/>
        <v>0</v>
      </c>
      <c r="L240" s="1051">
        <f t="shared" si="48"/>
        <v>0</v>
      </c>
      <c r="M240" s="1051">
        <f t="shared" si="48"/>
        <v>0</v>
      </c>
      <c r="O240" s="406"/>
    </row>
    <row r="241" spans="1:27" s="282" customFormat="1" outlineLevel="1">
      <c r="A241" s="276">
        <f>ROW()</f>
        <v>241</v>
      </c>
      <c r="B241" s="704"/>
      <c r="C241" s="611" t="s">
        <v>713</v>
      </c>
      <c r="D241" s="611" t="s">
        <v>713</v>
      </c>
      <c r="E241" s="664">
        <v>0</v>
      </c>
      <c r="F241" s="612" t="s">
        <v>727</v>
      </c>
      <c r="G241" s="1051">
        <f t="shared" ref="G241:M241" si="49">IF($D241&lt;=G$81,1,0)</f>
        <v>0</v>
      </c>
      <c r="H241" s="1051">
        <f t="shared" si="49"/>
        <v>0</v>
      </c>
      <c r="I241" s="1051">
        <f t="shared" si="49"/>
        <v>0</v>
      </c>
      <c r="J241" s="1051">
        <f t="shared" si="49"/>
        <v>0</v>
      </c>
      <c r="K241" s="1051">
        <f t="shared" si="49"/>
        <v>0</v>
      </c>
      <c r="L241" s="1051">
        <f t="shared" si="49"/>
        <v>0</v>
      </c>
      <c r="M241" s="1051">
        <f t="shared" si="49"/>
        <v>0</v>
      </c>
      <c r="O241" s="406"/>
    </row>
    <row r="242" spans="1:27" outlineLevel="1">
      <c r="A242" s="276">
        <f>ROW()</f>
        <v>242</v>
      </c>
      <c r="B242" s="221"/>
      <c r="C242" s="615"/>
      <c r="D242" s="615"/>
      <c r="E242" s="738"/>
      <c r="F242" s="615"/>
      <c r="G242" s="1286"/>
      <c r="H242" s="1051"/>
      <c r="I242" s="1051"/>
      <c r="J242" s="1051"/>
      <c r="K242" s="1051"/>
      <c r="L242" s="1051"/>
      <c r="M242" s="1051"/>
      <c r="O242" s="406"/>
      <c r="R242" s="282"/>
      <c r="S242" s="282"/>
      <c r="T242" s="282"/>
      <c r="U242" s="282"/>
      <c r="V242" s="282"/>
      <c r="W242" s="282"/>
      <c r="X242" s="282"/>
      <c r="Y242" s="282"/>
      <c r="Z242" s="282"/>
      <c r="AA242" s="282"/>
    </row>
    <row r="243" spans="1:27" s="282" customFormat="1" outlineLevel="1">
      <c r="A243" s="276">
        <f>ROW()</f>
        <v>243</v>
      </c>
      <c r="B243" s="704" t="s">
        <v>958</v>
      </c>
      <c r="C243" s="611">
        <v>11</v>
      </c>
      <c r="D243" s="611">
        <v>2026</v>
      </c>
      <c r="E243" s="947">
        <v>47500</v>
      </c>
      <c r="F243" s="612" t="s">
        <v>727</v>
      </c>
      <c r="G243" s="1051">
        <f t="shared" ref="G243:M247" si="50">IF($D243&lt;=G$81,1,0)</f>
        <v>0</v>
      </c>
      <c r="H243" s="1051">
        <f t="shared" si="50"/>
        <v>0</v>
      </c>
      <c r="I243" s="1051">
        <f t="shared" si="50"/>
        <v>0</v>
      </c>
      <c r="J243" s="1051">
        <f t="shared" si="50"/>
        <v>0</v>
      </c>
      <c r="K243" s="1051">
        <f t="shared" si="50"/>
        <v>0</v>
      </c>
      <c r="L243" s="1051">
        <f t="shared" si="50"/>
        <v>1</v>
      </c>
      <c r="M243" s="1051">
        <f t="shared" si="50"/>
        <v>1</v>
      </c>
      <c r="O243" s="406"/>
    </row>
    <row r="244" spans="1:27" s="282" customFormat="1" outlineLevel="1">
      <c r="A244" s="276">
        <f>ROW()</f>
        <v>244</v>
      </c>
      <c r="B244" s="704" t="s">
        <v>958</v>
      </c>
      <c r="C244" s="611">
        <v>11</v>
      </c>
      <c r="D244" s="611">
        <v>2026</v>
      </c>
      <c r="E244" s="664">
        <v>47500</v>
      </c>
      <c r="F244" s="612" t="s">
        <v>727</v>
      </c>
      <c r="G244" s="1051">
        <f t="shared" si="50"/>
        <v>0</v>
      </c>
      <c r="H244" s="1051">
        <f t="shared" si="50"/>
        <v>0</v>
      </c>
      <c r="I244" s="1051">
        <f t="shared" si="50"/>
        <v>0</v>
      </c>
      <c r="J244" s="1051">
        <f t="shared" si="50"/>
        <v>0</v>
      </c>
      <c r="K244" s="1051">
        <f t="shared" si="50"/>
        <v>0</v>
      </c>
      <c r="L244" s="1051">
        <f t="shared" si="50"/>
        <v>1</v>
      </c>
      <c r="M244" s="1051">
        <f t="shared" si="50"/>
        <v>1</v>
      </c>
      <c r="O244" s="406"/>
    </row>
    <row r="245" spans="1:27" s="282" customFormat="1" outlineLevel="1">
      <c r="A245" s="276">
        <f>ROW()</f>
        <v>245</v>
      </c>
      <c r="B245" s="704" t="s">
        <v>958</v>
      </c>
      <c r="C245" s="611">
        <v>11</v>
      </c>
      <c r="D245" s="611">
        <v>2026</v>
      </c>
      <c r="E245" s="664">
        <v>47500</v>
      </c>
      <c r="F245" s="612" t="s">
        <v>727</v>
      </c>
      <c r="G245" s="1051">
        <f t="shared" si="50"/>
        <v>0</v>
      </c>
      <c r="H245" s="1051">
        <f t="shared" si="50"/>
        <v>0</v>
      </c>
      <c r="I245" s="1051">
        <f t="shared" si="50"/>
        <v>0</v>
      </c>
      <c r="J245" s="1051">
        <f t="shared" si="50"/>
        <v>0</v>
      </c>
      <c r="K245" s="1051">
        <f t="shared" si="50"/>
        <v>0</v>
      </c>
      <c r="L245" s="1051">
        <f t="shared" si="50"/>
        <v>1</v>
      </c>
      <c r="M245" s="1051">
        <f t="shared" si="50"/>
        <v>1</v>
      </c>
      <c r="O245" s="406"/>
    </row>
    <row r="246" spans="1:27" s="282" customFormat="1" outlineLevel="1">
      <c r="A246" s="276">
        <f>ROW()</f>
        <v>246</v>
      </c>
      <c r="B246" s="704"/>
      <c r="C246" s="611" t="s">
        <v>713</v>
      </c>
      <c r="D246" s="611" t="s">
        <v>713</v>
      </c>
      <c r="E246" s="664">
        <v>0</v>
      </c>
      <c r="F246" s="612" t="s">
        <v>727</v>
      </c>
      <c r="G246" s="1051">
        <f t="shared" si="50"/>
        <v>0</v>
      </c>
      <c r="H246" s="1051">
        <f t="shared" si="50"/>
        <v>0</v>
      </c>
      <c r="I246" s="1051">
        <f t="shared" si="50"/>
        <v>0</v>
      </c>
      <c r="J246" s="1051">
        <f t="shared" si="50"/>
        <v>0</v>
      </c>
      <c r="K246" s="1051">
        <f t="shared" si="50"/>
        <v>0</v>
      </c>
      <c r="L246" s="1051">
        <f t="shared" si="50"/>
        <v>0</v>
      </c>
      <c r="M246" s="1051">
        <f t="shared" si="50"/>
        <v>0</v>
      </c>
      <c r="O246" s="406"/>
    </row>
    <row r="247" spans="1:27" s="282" customFormat="1" outlineLevel="1">
      <c r="A247" s="276">
        <f>ROW()</f>
        <v>247</v>
      </c>
      <c r="B247" s="704"/>
      <c r="C247" s="611" t="s">
        <v>713</v>
      </c>
      <c r="D247" s="611" t="s">
        <v>713</v>
      </c>
      <c r="E247" s="664">
        <v>0</v>
      </c>
      <c r="F247" s="612" t="s">
        <v>727</v>
      </c>
      <c r="G247" s="1051">
        <f t="shared" si="50"/>
        <v>0</v>
      </c>
      <c r="H247" s="1051">
        <f t="shared" si="50"/>
        <v>0</v>
      </c>
      <c r="I247" s="1051">
        <f t="shared" si="50"/>
        <v>0</v>
      </c>
      <c r="J247" s="1051">
        <f t="shared" si="50"/>
        <v>0</v>
      </c>
      <c r="K247" s="1051">
        <f t="shared" si="50"/>
        <v>0</v>
      </c>
      <c r="L247" s="1051">
        <f t="shared" si="50"/>
        <v>0</v>
      </c>
      <c r="M247" s="1051">
        <f t="shared" si="50"/>
        <v>0</v>
      </c>
      <c r="O247" s="406"/>
    </row>
    <row r="248" spans="1:27" outlineLevel="1">
      <c r="A248" s="276">
        <f>ROW()</f>
        <v>248</v>
      </c>
      <c r="B248" s="282"/>
      <c r="C248" s="615"/>
      <c r="D248" s="615"/>
      <c r="E248" s="616"/>
      <c r="F248" s="615"/>
      <c r="G248" s="1286"/>
      <c r="H248" s="1051"/>
      <c r="I248" s="1051"/>
      <c r="J248" s="1051"/>
      <c r="K248" s="1051"/>
      <c r="L248" s="1051"/>
      <c r="M248" s="1051"/>
      <c r="O248" s="406"/>
      <c r="R248" s="282"/>
      <c r="S248" s="282"/>
      <c r="T248" s="282"/>
      <c r="U248" s="282"/>
      <c r="V248" s="282"/>
      <c r="W248" s="282"/>
      <c r="X248" s="282"/>
      <c r="Y248" s="282"/>
      <c r="Z248" s="282"/>
      <c r="AA248" s="282"/>
    </row>
    <row r="249" spans="1:27" s="282" customFormat="1" outlineLevel="1">
      <c r="A249" s="276">
        <f>ROW()</f>
        <v>249</v>
      </c>
      <c r="B249" s="704" t="s">
        <v>959</v>
      </c>
      <c r="C249" s="611">
        <v>12</v>
      </c>
      <c r="D249" s="611">
        <v>2027</v>
      </c>
      <c r="E249" s="947">
        <v>47500</v>
      </c>
      <c r="F249" s="612" t="s">
        <v>727</v>
      </c>
      <c r="G249" s="1051">
        <f t="shared" ref="G249:M253" si="51">IF($D249&lt;=G$81,1,0)</f>
        <v>0</v>
      </c>
      <c r="H249" s="1051">
        <f t="shared" si="51"/>
        <v>0</v>
      </c>
      <c r="I249" s="1051">
        <f t="shared" si="51"/>
        <v>0</v>
      </c>
      <c r="J249" s="1051">
        <f t="shared" si="51"/>
        <v>0</v>
      </c>
      <c r="K249" s="1051">
        <f t="shared" si="51"/>
        <v>0</v>
      </c>
      <c r="L249" s="1051">
        <f t="shared" si="51"/>
        <v>0</v>
      </c>
      <c r="M249" s="1051">
        <f t="shared" si="51"/>
        <v>1</v>
      </c>
      <c r="O249" s="406"/>
    </row>
    <row r="250" spans="1:27" s="282" customFormat="1" outlineLevel="1">
      <c r="A250" s="276">
        <f>ROW()</f>
        <v>250</v>
      </c>
      <c r="B250" s="704" t="s">
        <v>959</v>
      </c>
      <c r="C250" s="611">
        <v>12</v>
      </c>
      <c r="D250" s="611">
        <v>2027</v>
      </c>
      <c r="E250" s="664">
        <v>47500</v>
      </c>
      <c r="F250" s="612" t="s">
        <v>727</v>
      </c>
      <c r="G250" s="1051">
        <f t="shared" si="51"/>
        <v>0</v>
      </c>
      <c r="H250" s="1051">
        <f t="shared" si="51"/>
        <v>0</v>
      </c>
      <c r="I250" s="1051">
        <f t="shared" si="51"/>
        <v>0</v>
      </c>
      <c r="J250" s="1051">
        <f t="shared" si="51"/>
        <v>0</v>
      </c>
      <c r="K250" s="1051">
        <f t="shared" si="51"/>
        <v>0</v>
      </c>
      <c r="L250" s="1051">
        <f t="shared" si="51"/>
        <v>0</v>
      </c>
      <c r="M250" s="1051">
        <f t="shared" si="51"/>
        <v>1</v>
      </c>
      <c r="O250" s="406"/>
    </row>
    <row r="251" spans="1:27" s="282" customFormat="1" outlineLevel="1">
      <c r="A251" s="276">
        <f>ROW()</f>
        <v>251</v>
      </c>
      <c r="B251" s="704" t="s">
        <v>959</v>
      </c>
      <c r="C251" s="611">
        <v>12</v>
      </c>
      <c r="D251" s="611">
        <v>2027</v>
      </c>
      <c r="E251" s="664">
        <v>47500</v>
      </c>
      <c r="F251" s="612" t="s">
        <v>727</v>
      </c>
      <c r="G251" s="1051">
        <f t="shared" si="51"/>
        <v>0</v>
      </c>
      <c r="H251" s="1051">
        <f t="shared" si="51"/>
        <v>0</v>
      </c>
      <c r="I251" s="1051">
        <f t="shared" si="51"/>
        <v>0</v>
      </c>
      <c r="J251" s="1051">
        <f t="shared" si="51"/>
        <v>0</v>
      </c>
      <c r="K251" s="1051">
        <f t="shared" si="51"/>
        <v>0</v>
      </c>
      <c r="L251" s="1051">
        <f t="shared" si="51"/>
        <v>0</v>
      </c>
      <c r="M251" s="1051">
        <f t="shared" si="51"/>
        <v>1</v>
      </c>
      <c r="O251" s="406"/>
    </row>
    <row r="252" spans="1:27" s="282" customFormat="1" outlineLevel="1">
      <c r="A252" s="276">
        <f>ROW()</f>
        <v>252</v>
      </c>
      <c r="B252" s="704"/>
      <c r="C252" s="611" t="s">
        <v>713</v>
      </c>
      <c r="D252" s="611" t="s">
        <v>713</v>
      </c>
      <c r="E252" s="664">
        <v>0</v>
      </c>
      <c r="F252" s="612" t="s">
        <v>727</v>
      </c>
      <c r="G252" s="1051">
        <f t="shared" si="51"/>
        <v>0</v>
      </c>
      <c r="H252" s="1051">
        <f t="shared" si="51"/>
        <v>0</v>
      </c>
      <c r="I252" s="1051">
        <f t="shared" si="51"/>
        <v>0</v>
      </c>
      <c r="J252" s="1051">
        <f t="shared" si="51"/>
        <v>0</v>
      </c>
      <c r="K252" s="1051">
        <f t="shared" si="51"/>
        <v>0</v>
      </c>
      <c r="L252" s="1051">
        <f t="shared" si="51"/>
        <v>0</v>
      </c>
      <c r="M252" s="1051">
        <f t="shared" si="51"/>
        <v>0</v>
      </c>
      <c r="O252" s="406"/>
    </row>
    <row r="253" spans="1:27" s="282" customFormat="1" outlineLevel="1">
      <c r="A253" s="276">
        <f>ROW()</f>
        <v>253</v>
      </c>
      <c r="B253" s="704"/>
      <c r="C253" s="611" t="s">
        <v>713</v>
      </c>
      <c r="D253" s="611" t="s">
        <v>713</v>
      </c>
      <c r="E253" s="664">
        <v>0</v>
      </c>
      <c r="F253" s="612" t="s">
        <v>727</v>
      </c>
      <c r="G253" s="1051">
        <f t="shared" si="51"/>
        <v>0</v>
      </c>
      <c r="H253" s="1051">
        <f t="shared" si="51"/>
        <v>0</v>
      </c>
      <c r="I253" s="1051">
        <f t="shared" si="51"/>
        <v>0</v>
      </c>
      <c r="J253" s="1051">
        <f t="shared" si="51"/>
        <v>0</v>
      </c>
      <c r="K253" s="1051">
        <f t="shared" si="51"/>
        <v>0</v>
      </c>
      <c r="L253" s="1051">
        <f t="shared" si="51"/>
        <v>0</v>
      </c>
      <c r="M253" s="1051">
        <f t="shared" si="51"/>
        <v>0</v>
      </c>
      <c r="O253" s="406"/>
    </row>
    <row r="254" spans="1:27" s="282" customFormat="1" outlineLevel="1">
      <c r="A254" s="276">
        <f>ROW()</f>
        <v>254</v>
      </c>
      <c r="B254" s="221"/>
      <c r="C254" s="613"/>
      <c r="D254" s="613"/>
      <c r="E254" s="616"/>
      <c r="F254" s="615"/>
      <c r="G254" s="1286"/>
      <c r="H254" s="1051"/>
      <c r="I254" s="1051"/>
      <c r="J254" s="1051"/>
      <c r="K254" s="1051"/>
      <c r="L254" s="1051"/>
      <c r="M254" s="1051"/>
      <c r="O254" s="406"/>
    </row>
    <row r="255" spans="1:27" s="282" customFormat="1" outlineLevel="1">
      <c r="A255" s="276">
        <f>ROW()</f>
        <v>255</v>
      </c>
      <c r="B255" s="704" t="s">
        <v>962</v>
      </c>
      <c r="C255" s="611" t="s">
        <v>713</v>
      </c>
      <c r="D255" s="611">
        <v>2022</v>
      </c>
      <c r="E255" s="947">
        <v>30000</v>
      </c>
      <c r="F255" s="612" t="s">
        <v>727</v>
      </c>
      <c r="G255" s="1051">
        <f t="shared" ref="G255:M259" si="52">IF($D255&lt;=G$81,1,0)</f>
        <v>0</v>
      </c>
      <c r="H255" s="1051">
        <f t="shared" si="52"/>
        <v>1</v>
      </c>
      <c r="I255" s="1051">
        <f t="shared" si="52"/>
        <v>1</v>
      </c>
      <c r="J255" s="1051">
        <f t="shared" si="52"/>
        <v>1</v>
      </c>
      <c r="K255" s="1051">
        <f t="shared" si="52"/>
        <v>1</v>
      </c>
      <c r="L255" s="1051">
        <f t="shared" si="52"/>
        <v>1</v>
      </c>
      <c r="M255" s="1051">
        <f t="shared" si="52"/>
        <v>1</v>
      </c>
      <c r="O255" s="406"/>
    </row>
    <row r="256" spans="1:27" s="282" customFormat="1" outlineLevel="1">
      <c r="A256" s="276">
        <f>ROW()</f>
        <v>256</v>
      </c>
      <c r="B256" s="704" t="s">
        <v>962</v>
      </c>
      <c r="C256" s="611" t="s">
        <v>713</v>
      </c>
      <c r="D256" s="611">
        <v>2023</v>
      </c>
      <c r="E256" s="947">
        <v>30000</v>
      </c>
      <c r="F256" s="612" t="s">
        <v>727</v>
      </c>
      <c r="G256" s="1051">
        <f t="shared" si="52"/>
        <v>0</v>
      </c>
      <c r="H256" s="1051">
        <f t="shared" si="52"/>
        <v>0</v>
      </c>
      <c r="I256" s="1051">
        <f t="shared" si="52"/>
        <v>1</v>
      </c>
      <c r="J256" s="1051">
        <f t="shared" si="52"/>
        <v>1</v>
      </c>
      <c r="K256" s="1051">
        <f t="shared" si="52"/>
        <v>1</v>
      </c>
      <c r="L256" s="1051">
        <f t="shared" si="52"/>
        <v>1</v>
      </c>
      <c r="M256" s="1051">
        <f t="shared" si="52"/>
        <v>1</v>
      </c>
      <c r="O256" s="406"/>
    </row>
    <row r="257" spans="1:27" s="282" customFormat="1" outlineLevel="1">
      <c r="A257" s="276">
        <f>ROW()</f>
        <v>257</v>
      </c>
      <c r="B257" s="704" t="s">
        <v>962</v>
      </c>
      <c r="C257" s="611" t="s">
        <v>713</v>
      </c>
      <c r="D257" s="611">
        <v>2023</v>
      </c>
      <c r="E257" s="947">
        <v>30000</v>
      </c>
      <c r="F257" s="612" t="s">
        <v>727</v>
      </c>
      <c r="G257" s="1051">
        <f t="shared" si="52"/>
        <v>0</v>
      </c>
      <c r="H257" s="1051">
        <f t="shared" si="52"/>
        <v>0</v>
      </c>
      <c r="I257" s="1051">
        <f t="shared" si="52"/>
        <v>1</v>
      </c>
      <c r="J257" s="1051">
        <f t="shared" si="52"/>
        <v>1</v>
      </c>
      <c r="K257" s="1051">
        <f t="shared" si="52"/>
        <v>1</v>
      </c>
      <c r="L257" s="1051">
        <f t="shared" si="52"/>
        <v>1</v>
      </c>
      <c r="M257" s="1051">
        <f t="shared" si="52"/>
        <v>1</v>
      </c>
      <c r="O257" s="406"/>
    </row>
    <row r="258" spans="1:27" s="282" customFormat="1" outlineLevel="1">
      <c r="A258" s="276">
        <f>ROW()</f>
        <v>258</v>
      </c>
      <c r="B258" s="704" t="s">
        <v>962</v>
      </c>
      <c r="C258" s="611" t="s">
        <v>713</v>
      </c>
      <c r="D258" s="611">
        <v>2024</v>
      </c>
      <c r="E258" s="947">
        <v>30000</v>
      </c>
      <c r="F258" s="612" t="s">
        <v>727</v>
      </c>
      <c r="G258" s="1051">
        <f t="shared" si="52"/>
        <v>0</v>
      </c>
      <c r="H258" s="1051">
        <f t="shared" si="52"/>
        <v>0</v>
      </c>
      <c r="I258" s="1051">
        <f t="shared" si="52"/>
        <v>0</v>
      </c>
      <c r="J258" s="1051">
        <f t="shared" si="52"/>
        <v>1</v>
      </c>
      <c r="K258" s="1051">
        <f t="shared" si="52"/>
        <v>1</v>
      </c>
      <c r="L258" s="1051">
        <f t="shared" si="52"/>
        <v>1</v>
      </c>
      <c r="M258" s="1051">
        <f t="shared" si="52"/>
        <v>1</v>
      </c>
      <c r="O258" s="406"/>
    </row>
    <row r="259" spans="1:27" s="282" customFormat="1" outlineLevel="1">
      <c r="A259" s="276">
        <f>ROW()</f>
        <v>259</v>
      </c>
      <c r="B259" s="704" t="s">
        <v>962</v>
      </c>
      <c r="C259" s="611" t="s">
        <v>713</v>
      </c>
      <c r="D259" s="611">
        <v>2024</v>
      </c>
      <c r="E259" s="947">
        <v>30000</v>
      </c>
      <c r="F259" s="612" t="s">
        <v>727</v>
      </c>
      <c r="G259" s="1051">
        <f t="shared" si="52"/>
        <v>0</v>
      </c>
      <c r="H259" s="1051">
        <f t="shared" si="52"/>
        <v>0</v>
      </c>
      <c r="I259" s="1051">
        <f t="shared" si="52"/>
        <v>0</v>
      </c>
      <c r="J259" s="1051">
        <f t="shared" si="52"/>
        <v>1</v>
      </c>
      <c r="K259" s="1051">
        <f t="shared" si="52"/>
        <v>1</v>
      </c>
      <c r="L259" s="1051">
        <f t="shared" si="52"/>
        <v>1</v>
      </c>
      <c r="M259" s="1051">
        <f t="shared" si="52"/>
        <v>1</v>
      </c>
      <c r="O259" s="406"/>
    </row>
    <row r="260" spans="1:27" s="282" customFormat="1" outlineLevel="1">
      <c r="A260" s="276">
        <f>ROW()</f>
        <v>260</v>
      </c>
      <c r="B260" s="221"/>
      <c r="C260" s="613"/>
      <c r="D260" s="613"/>
      <c r="E260" s="616"/>
      <c r="F260" s="615"/>
      <c r="G260" s="1286"/>
      <c r="H260" s="1051"/>
      <c r="I260" s="1051"/>
      <c r="J260" s="1051"/>
      <c r="K260" s="1051"/>
      <c r="L260" s="1051"/>
      <c r="M260" s="1051"/>
      <c r="O260" s="406"/>
    </row>
    <row r="261" spans="1:27" s="282" customFormat="1" outlineLevel="1">
      <c r="A261" s="276">
        <f>ROW()</f>
        <v>261</v>
      </c>
      <c r="B261" s="704" t="s">
        <v>962</v>
      </c>
      <c r="C261" s="611" t="s">
        <v>713</v>
      </c>
      <c r="D261" s="611">
        <v>2025</v>
      </c>
      <c r="E261" s="947">
        <v>30000</v>
      </c>
      <c r="F261" s="612" t="s">
        <v>727</v>
      </c>
      <c r="G261" s="1051">
        <f t="shared" ref="G261:M265" si="53">IF($D261&lt;=G$81,1,0)</f>
        <v>0</v>
      </c>
      <c r="H261" s="1051">
        <f t="shared" si="53"/>
        <v>0</v>
      </c>
      <c r="I261" s="1051">
        <f t="shared" si="53"/>
        <v>0</v>
      </c>
      <c r="J261" s="1051">
        <f t="shared" si="53"/>
        <v>0</v>
      </c>
      <c r="K261" s="1051">
        <f t="shared" si="53"/>
        <v>1</v>
      </c>
      <c r="L261" s="1051">
        <f t="shared" si="53"/>
        <v>1</v>
      </c>
      <c r="M261" s="1051">
        <f t="shared" si="53"/>
        <v>1</v>
      </c>
      <c r="O261" s="406"/>
    </row>
    <row r="262" spans="1:27" s="282" customFormat="1" outlineLevel="1">
      <c r="A262" s="276">
        <f>ROW()</f>
        <v>262</v>
      </c>
      <c r="B262" s="704" t="s">
        <v>962</v>
      </c>
      <c r="C262" s="611" t="s">
        <v>713</v>
      </c>
      <c r="D262" s="611">
        <v>2025</v>
      </c>
      <c r="E262" s="947">
        <v>30000</v>
      </c>
      <c r="F262" s="612" t="s">
        <v>727</v>
      </c>
      <c r="G262" s="1051">
        <f t="shared" si="53"/>
        <v>0</v>
      </c>
      <c r="H262" s="1051">
        <f t="shared" si="53"/>
        <v>0</v>
      </c>
      <c r="I262" s="1051">
        <f t="shared" si="53"/>
        <v>0</v>
      </c>
      <c r="J262" s="1051">
        <f t="shared" si="53"/>
        <v>0</v>
      </c>
      <c r="K262" s="1051">
        <f t="shared" si="53"/>
        <v>1</v>
      </c>
      <c r="L262" s="1051">
        <f t="shared" si="53"/>
        <v>1</v>
      </c>
      <c r="M262" s="1051">
        <f t="shared" si="53"/>
        <v>1</v>
      </c>
      <c r="O262" s="406"/>
    </row>
    <row r="263" spans="1:27" s="282" customFormat="1" outlineLevel="1">
      <c r="A263" s="276">
        <f>ROW()</f>
        <v>263</v>
      </c>
      <c r="B263" s="704" t="s">
        <v>962</v>
      </c>
      <c r="C263" s="611" t="s">
        <v>713</v>
      </c>
      <c r="D263" s="611">
        <v>2026</v>
      </c>
      <c r="E263" s="947">
        <v>30000</v>
      </c>
      <c r="F263" s="612" t="s">
        <v>727</v>
      </c>
      <c r="G263" s="1051">
        <f t="shared" si="53"/>
        <v>0</v>
      </c>
      <c r="H263" s="1051">
        <f t="shared" si="53"/>
        <v>0</v>
      </c>
      <c r="I263" s="1051">
        <f t="shared" si="53"/>
        <v>0</v>
      </c>
      <c r="J263" s="1051">
        <f t="shared" si="53"/>
        <v>0</v>
      </c>
      <c r="K263" s="1051">
        <f t="shared" si="53"/>
        <v>0</v>
      </c>
      <c r="L263" s="1051">
        <f t="shared" si="53"/>
        <v>1</v>
      </c>
      <c r="M263" s="1051">
        <f t="shared" si="53"/>
        <v>1</v>
      </c>
      <c r="O263" s="406"/>
    </row>
    <row r="264" spans="1:27" s="282" customFormat="1" outlineLevel="1">
      <c r="A264" s="276">
        <f>ROW()</f>
        <v>264</v>
      </c>
      <c r="B264" s="704" t="s">
        <v>962</v>
      </c>
      <c r="C264" s="611" t="s">
        <v>713</v>
      </c>
      <c r="D264" s="611">
        <v>2026</v>
      </c>
      <c r="E264" s="664">
        <v>30000</v>
      </c>
      <c r="F264" s="612" t="s">
        <v>727</v>
      </c>
      <c r="G264" s="1051">
        <f t="shared" si="53"/>
        <v>0</v>
      </c>
      <c r="H264" s="1051">
        <f t="shared" si="53"/>
        <v>0</v>
      </c>
      <c r="I264" s="1051">
        <f t="shared" si="53"/>
        <v>0</v>
      </c>
      <c r="J264" s="1051">
        <f t="shared" si="53"/>
        <v>0</v>
      </c>
      <c r="K264" s="1051">
        <f t="shared" si="53"/>
        <v>0</v>
      </c>
      <c r="L264" s="1051">
        <f t="shared" si="53"/>
        <v>1</v>
      </c>
      <c r="M264" s="1051">
        <f t="shared" si="53"/>
        <v>1</v>
      </c>
      <c r="O264" s="406"/>
    </row>
    <row r="265" spans="1:27" s="282" customFormat="1" outlineLevel="1">
      <c r="A265" s="276">
        <f>ROW()</f>
        <v>265</v>
      </c>
      <c r="B265" s="704" t="s">
        <v>962</v>
      </c>
      <c r="C265" s="611" t="s">
        <v>713</v>
      </c>
      <c r="D265" s="611">
        <v>2027</v>
      </c>
      <c r="E265" s="664">
        <v>30000</v>
      </c>
      <c r="F265" s="612" t="s">
        <v>727</v>
      </c>
      <c r="G265" s="1051">
        <f t="shared" si="53"/>
        <v>0</v>
      </c>
      <c r="H265" s="1051">
        <f t="shared" si="53"/>
        <v>0</v>
      </c>
      <c r="I265" s="1051">
        <f t="shared" si="53"/>
        <v>0</v>
      </c>
      <c r="J265" s="1051">
        <f t="shared" si="53"/>
        <v>0</v>
      </c>
      <c r="K265" s="1051">
        <f t="shared" si="53"/>
        <v>0</v>
      </c>
      <c r="L265" s="1051">
        <f t="shared" si="53"/>
        <v>0</v>
      </c>
      <c r="M265" s="1051">
        <f t="shared" si="53"/>
        <v>1</v>
      </c>
      <c r="O265" s="406"/>
    </row>
    <row r="266" spans="1:27" s="282" customFormat="1">
      <c r="A266" s="276">
        <f>ROW()</f>
        <v>266</v>
      </c>
      <c r="B266" s="221"/>
      <c r="C266" s="421"/>
      <c r="D266" s="421"/>
      <c r="E266" s="379"/>
      <c r="F266" s="379"/>
      <c r="G266" s="1338"/>
      <c r="H266" s="1338"/>
      <c r="I266" s="1338"/>
      <c r="J266" s="1338"/>
      <c r="K266" s="1051"/>
      <c r="L266" s="1051"/>
      <c r="M266" s="1051"/>
      <c r="O266" s="406"/>
      <c r="P266" s="406"/>
      <c r="Q266" s="406"/>
    </row>
    <row r="267" spans="1:27" s="244" customFormat="1">
      <c r="A267" s="276">
        <f>ROW()</f>
        <v>267</v>
      </c>
      <c r="B267" s="362" t="s">
        <v>212</v>
      </c>
      <c r="C267" s="422"/>
      <c r="D267" s="546"/>
      <c r="E267" s="545"/>
      <c r="F267" s="545"/>
      <c r="G267" s="703">
        <f t="shared" ref="G267:M267" si="54">SUM(G172:G265)</f>
        <v>0</v>
      </c>
      <c r="H267" s="1339">
        <f t="shared" si="54"/>
        <v>14</v>
      </c>
      <c r="I267" s="1339">
        <f t="shared" si="54"/>
        <v>20</v>
      </c>
      <c r="J267" s="1339">
        <f t="shared" si="54"/>
        <v>27</v>
      </c>
      <c r="K267" s="1339">
        <f t="shared" si="54"/>
        <v>34</v>
      </c>
      <c r="L267" s="1339">
        <f t="shared" si="54"/>
        <v>41</v>
      </c>
      <c r="M267" s="1339">
        <f t="shared" si="54"/>
        <v>49</v>
      </c>
      <c r="O267" s="406"/>
      <c r="P267" s="406"/>
      <c r="Q267" s="406"/>
      <c r="R267" s="282"/>
      <c r="S267" s="282"/>
      <c r="T267" s="282"/>
      <c r="U267" s="282"/>
      <c r="V267" s="282"/>
      <c r="W267" s="282"/>
      <c r="X267" s="282"/>
      <c r="Y267" s="282"/>
      <c r="Z267" s="282"/>
      <c r="AA267" s="282"/>
    </row>
    <row r="268" spans="1:27">
      <c r="A268" s="276">
        <f>ROW()</f>
        <v>268</v>
      </c>
      <c r="B268" s="221" t="s">
        <v>726</v>
      </c>
      <c r="C268" s="221"/>
      <c r="D268" s="221"/>
      <c r="E268" s="282"/>
      <c r="F268" s="282"/>
      <c r="G268" s="1286">
        <f t="shared" ref="G268:M268" si="55">+G267+G166</f>
        <v>0</v>
      </c>
      <c r="H268" s="1286">
        <f t="shared" si="55"/>
        <v>18</v>
      </c>
      <c r="I268" s="1286">
        <f t="shared" si="55"/>
        <v>27</v>
      </c>
      <c r="J268" s="1286">
        <f t="shared" si="55"/>
        <v>38</v>
      </c>
      <c r="K268" s="1286">
        <f t="shared" si="55"/>
        <v>46</v>
      </c>
      <c r="L268" s="1286">
        <f t="shared" si="55"/>
        <v>54</v>
      </c>
      <c r="M268" s="1286">
        <f t="shared" si="55"/>
        <v>64</v>
      </c>
      <c r="O268" s="406"/>
      <c r="P268" s="406"/>
      <c r="Q268" s="406"/>
      <c r="R268" s="282"/>
      <c r="S268" s="282"/>
      <c r="T268" s="282"/>
      <c r="U268" s="282"/>
      <c r="V268" s="282"/>
      <c r="W268" s="282"/>
      <c r="X268" s="282"/>
      <c r="Y268" s="282"/>
      <c r="Z268" s="282"/>
      <c r="AA268" s="282"/>
    </row>
    <row r="269" spans="1:27">
      <c r="A269" s="276">
        <f>ROW()</f>
        <v>269</v>
      </c>
      <c r="B269" s="221"/>
      <c r="C269" s="221"/>
      <c r="D269" s="221"/>
      <c r="E269" s="282"/>
      <c r="F269" s="282"/>
      <c r="G269" s="1338"/>
      <c r="H269" s="1338"/>
      <c r="I269" s="1338"/>
      <c r="J269" s="1338"/>
      <c r="K269" s="1338"/>
      <c r="L269" s="1286"/>
      <c r="M269" s="1286"/>
      <c r="O269" s="406"/>
      <c r="P269" s="406"/>
      <c r="Q269" s="406"/>
      <c r="R269" s="282"/>
      <c r="S269" s="282"/>
      <c r="T269" s="282"/>
      <c r="U269" s="282"/>
      <c r="V269" s="282"/>
      <c r="W269" s="282"/>
      <c r="X269" s="282"/>
      <c r="Y269" s="282"/>
      <c r="Z269" s="282"/>
      <c r="AA269" s="282"/>
    </row>
    <row r="270" spans="1:27" ht="16">
      <c r="A270" s="276">
        <f>ROW()</f>
        <v>270</v>
      </c>
      <c r="B270" s="423" t="s">
        <v>97</v>
      </c>
      <c r="C270" s="423"/>
      <c r="D270" s="423"/>
      <c r="E270" s="423"/>
      <c r="F270" s="423"/>
      <c r="G270" s="1340"/>
      <c r="H270" s="1340"/>
      <c r="I270" s="1340"/>
      <c r="J270" s="1340"/>
      <c r="K270" s="1340"/>
      <c r="L270" s="1341"/>
      <c r="M270" s="1341"/>
      <c r="O270" s="406"/>
      <c r="P270" s="406"/>
      <c r="Q270" s="406"/>
      <c r="R270" s="282"/>
      <c r="S270" s="282"/>
      <c r="T270" s="282"/>
      <c r="U270" s="282"/>
      <c r="V270" s="282"/>
      <c r="W270" s="282"/>
      <c r="X270" s="282"/>
      <c r="Y270" s="282"/>
      <c r="Z270" s="282"/>
      <c r="AA270" s="282"/>
    </row>
    <row r="271" spans="1:27">
      <c r="A271" s="276">
        <f>ROW()</f>
        <v>271</v>
      </c>
      <c r="B271" s="424"/>
      <c r="C271" s="221"/>
      <c r="D271" s="221"/>
      <c r="E271" s="221"/>
      <c r="F271" s="221"/>
      <c r="G271" s="1338"/>
      <c r="H271" s="1338"/>
      <c r="I271" s="1338"/>
      <c r="J271" s="1338"/>
      <c r="K271" s="1338"/>
      <c r="L271" s="1286"/>
      <c r="M271" s="141"/>
      <c r="N271" s="231"/>
      <c r="O271" s="406"/>
      <c r="P271" s="406"/>
      <c r="Q271" s="406"/>
      <c r="R271" s="282"/>
      <c r="S271" s="282"/>
      <c r="T271" s="282"/>
      <c r="U271" s="282"/>
      <c r="V271" s="282"/>
      <c r="W271" s="282"/>
      <c r="X271" s="282"/>
      <c r="Y271" s="282"/>
      <c r="Z271" s="282"/>
      <c r="AA271" s="282"/>
    </row>
    <row r="272" spans="1:27">
      <c r="A272" s="276">
        <f>ROW()</f>
        <v>272</v>
      </c>
      <c r="B272" s="727" t="str">
        <f>$B$113</f>
        <v>Administrators</v>
      </c>
      <c r="C272" s="289"/>
      <c r="D272" s="289"/>
      <c r="E272" s="289"/>
      <c r="F272" s="289"/>
      <c r="G272" s="1338"/>
      <c r="H272" s="1338"/>
      <c r="I272" s="1338"/>
      <c r="J272" s="1338"/>
      <c r="K272" s="1338"/>
      <c r="L272" s="1286"/>
      <c r="M272" s="141"/>
      <c r="N272" s="231"/>
      <c r="O272" s="406"/>
      <c r="P272" s="406"/>
      <c r="Q272" s="406"/>
      <c r="R272" s="282"/>
      <c r="S272" s="282"/>
      <c r="T272" s="282"/>
      <c r="U272" s="282"/>
      <c r="V272" s="282"/>
      <c r="W272" s="282"/>
      <c r="X272" s="282"/>
      <c r="Y272" s="282"/>
      <c r="Z272" s="282"/>
      <c r="AA272" s="282"/>
    </row>
    <row r="273" spans="1:27" outlineLevel="1">
      <c r="A273" s="276">
        <f>ROW()</f>
        <v>273</v>
      </c>
      <c r="B273" s="221" t="str">
        <f>$B$114</f>
        <v>Executive Director</v>
      </c>
      <c r="C273" s="564">
        <f t="shared" ref="C273:C278" si="56">SUM(G273:M273)</f>
        <v>582156.88958700001</v>
      </c>
      <c r="D273" s="425"/>
      <c r="E273" s="425"/>
      <c r="F273" s="425">
        <f>+J273*0.14625</f>
        <v>13964.096249999999</v>
      </c>
      <c r="G273" s="1292">
        <f>G114*$D114</f>
        <v>0</v>
      </c>
      <c r="H273" s="1292">
        <f>(H114*$D114)</f>
        <v>90000</v>
      </c>
      <c r="I273" s="1292">
        <f t="shared" ref="I273:M277" si="57">(I114*$D114)*$C$46^(I$11-$H$11)</f>
        <v>92700</v>
      </c>
      <c r="J273" s="1292">
        <f t="shared" si="57"/>
        <v>95481</v>
      </c>
      <c r="K273" s="1292">
        <f t="shared" si="57"/>
        <v>98345.430000000008</v>
      </c>
      <c r="L273" s="1292">
        <f t="shared" si="57"/>
        <v>101295.79289999999</v>
      </c>
      <c r="M273" s="1292">
        <f t="shared" si="57"/>
        <v>104334.66668699999</v>
      </c>
      <c r="O273" s="406"/>
      <c r="P273" s="406"/>
      <c r="Q273" s="406"/>
      <c r="R273" s="282"/>
      <c r="S273" s="282"/>
      <c r="T273" s="282"/>
      <c r="U273" s="282"/>
      <c r="V273" s="282"/>
      <c r="W273" s="282"/>
      <c r="X273" s="282"/>
      <c r="Y273" s="282"/>
      <c r="Z273" s="282"/>
      <c r="AA273" s="282"/>
    </row>
    <row r="274" spans="1:27" outlineLevel="1">
      <c r="A274" s="276">
        <f>ROW()</f>
        <v>274</v>
      </c>
      <c r="B274" s="221" t="str">
        <f>$B$115</f>
        <v>Director of Data, Instruction, Asses.</v>
      </c>
      <c r="C274" s="582">
        <f t="shared" si="56"/>
        <v>382788.69190099998</v>
      </c>
      <c r="D274" s="231"/>
      <c r="E274" s="231"/>
      <c r="F274" s="231">
        <f t="shared" ref="F274:F275" si="58">+J274*0.14625</f>
        <v>10860.963749999999</v>
      </c>
      <c r="G274" s="1286">
        <f>G115*$D115</f>
        <v>0</v>
      </c>
      <c r="H274" s="1286">
        <f>(H115*$D115)</f>
        <v>0</v>
      </c>
      <c r="I274" s="1286">
        <f t="shared" si="57"/>
        <v>72100</v>
      </c>
      <c r="J274" s="1286">
        <f t="shared" si="57"/>
        <v>74263</v>
      </c>
      <c r="K274" s="1286">
        <f t="shared" si="57"/>
        <v>76490.89</v>
      </c>
      <c r="L274" s="1286">
        <f t="shared" si="57"/>
        <v>78785.616699999999</v>
      </c>
      <c r="M274" s="1286">
        <f t="shared" si="57"/>
        <v>81149.185200999986</v>
      </c>
      <c r="O274" s="406"/>
      <c r="P274" s="406"/>
      <c r="Q274" s="406"/>
      <c r="R274" s="282"/>
      <c r="S274" s="282"/>
      <c r="T274" s="282"/>
      <c r="U274" s="282"/>
      <c r="V274" s="282"/>
      <c r="W274" s="282"/>
      <c r="X274" s="282"/>
      <c r="Y274" s="282"/>
      <c r="Z274" s="282"/>
      <c r="AA274" s="282"/>
    </row>
    <row r="275" spans="1:27" outlineLevel="1">
      <c r="A275" s="276">
        <f>ROW()</f>
        <v>275</v>
      </c>
      <c r="B275" s="221" t="str">
        <f>$B$115</f>
        <v>Director of Data, Instruction, Asses.</v>
      </c>
      <c r="C275" s="582">
        <f t="shared" si="56"/>
        <v>236425.69190099998</v>
      </c>
      <c r="D275" s="231"/>
      <c r="E275" s="231"/>
      <c r="F275" s="231">
        <f t="shared" si="58"/>
        <v>0</v>
      </c>
      <c r="G275" s="1286">
        <f>G116*$D116</f>
        <v>0</v>
      </c>
      <c r="H275" s="1286">
        <f>(H116*$D116)</f>
        <v>0</v>
      </c>
      <c r="I275" s="1286">
        <f t="shared" si="57"/>
        <v>0</v>
      </c>
      <c r="J275" s="1286">
        <f t="shared" si="57"/>
        <v>0</v>
      </c>
      <c r="K275" s="1286">
        <f t="shared" si="57"/>
        <v>76490.89</v>
      </c>
      <c r="L275" s="1286">
        <f t="shared" si="57"/>
        <v>78785.616699999999</v>
      </c>
      <c r="M275" s="1286">
        <f t="shared" si="57"/>
        <v>81149.185200999986</v>
      </c>
      <c r="O275" s="406"/>
      <c r="P275" s="406"/>
      <c r="Q275" s="406"/>
      <c r="R275" s="282"/>
      <c r="S275" s="282"/>
      <c r="T275" s="282"/>
      <c r="U275" s="282"/>
      <c r="V275" s="282"/>
      <c r="W275" s="282"/>
      <c r="X275" s="282"/>
      <c r="Y275" s="282"/>
      <c r="Z275" s="282"/>
      <c r="AA275" s="282"/>
    </row>
    <row r="276" spans="1:27" outlineLevel="1">
      <c r="A276" s="276">
        <f>ROW()</f>
        <v>276</v>
      </c>
      <c r="B276" s="221" t="str">
        <f>$B$116</f>
        <v>Director of Data, Instruction, Asses.</v>
      </c>
      <c r="C276" s="582">
        <f t="shared" si="56"/>
        <v>81149.185200999986</v>
      </c>
      <c r="D276" s="231"/>
      <c r="E276" s="231"/>
      <c r="F276" s="231"/>
      <c r="G276" s="1286">
        <f>G117*$D117</f>
        <v>0</v>
      </c>
      <c r="H276" s="1286">
        <f>(H117*$D117)</f>
        <v>0</v>
      </c>
      <c r="I276" s="1286">
        <f t="shared" si="57"/>
        <v>0</v>
      </c>
      <c r="J276" s="1286">
        <f t="shared" si="57"/>
        <v>0</v>
      </c>
      <c r="K276" s="1286">
        <f t="shared" si="57"/>
        <v>0</v>
      </c>
      <c r="L276" s="1286">
        <f t="shared" si="57"/>
        <v>0</v>
      </c>
      <c r="M276" s="1286">
        <f t="shared" si="57"/>
        <v>81149.185200999986</v>
      </c>
      <c r="O276" s="406"/>
      <c r="P276" s="406"/>
      <c r="Q276" s="406"/>
      <c r="R276" s="282"/>
      <c r="S276" s="282"/>
      <c r="T276" s="282"/>
      <c r="U276" s="282"/>
      <c r="V276" s="282"/>
      <c r="W276" s="282"/>
      <c r="X276" s="282"/>
      <c r="Y276" s="282"/>
      <c r="Z276" s="282"/>
      <c r="AA276" s="282"/>
    </row>
    <row r="277" spans="1:27" outlineLevel="1">
      <c r="A277" s="276">
        <f>ROW()</f>
        <v>277</v>
      </c>
      <c r="B277" s="289" t="str">
        <f>$B$117</f>
        <v>Director of Data, Instruction, Asses.</v>
      </c>
      <c r="C277" s="583">
        <f t="shared" si="56"/>
        <v>182782.63074399997</v>
      </c>
      <c r="D277" s="426"/>
      <c r="E277" s="426"/>
      <c r="F277" s="426"/>
      <c r="G277" s="1291">
        <f>G118*$D118</f>
        <v>0</v>
      </c>
      <c r="H277" s="1286">
        <f>(H118*$D118)</f>
        <v>0</v>
      </c>
      <c r="I277" s="1286">
        <f t="shared" si="57"/>
        <v>0</v>
      </c>
      <c r="J277" s="1286">
        <f t="shared" si="57"/>
        <v>0</v>
      </c>
      <c r="K277" s="1286">
        <f t="shared" si="57"/>
        <v>0</v>
      </c>
      <c r="L277" s="1286">
        <f t="shared" si="57"/>
        <v>90040.704799999992</v>
      </c>
      <c r="M277" s="1286">
        <f t="shared" si="57"/>
        <v>92741.925943999988</v>
      </c>
      <c r="O277" s="406"/>
      <c r="P277" s="406"/>
      <c r="Q277" s="406"/>
      <c r="R277" s="282"/>
      <c r="S277" s="282"/>
      <c r="T277" s="282"/>
      <c r="U277" s="282"/>
      <c r="V277" s="282"/>
      <c r="W277" s="282"/>
      <c r="X277" s="282"/>
      <c r="Y277" s="282"/>
      <c r="Z277" s="282"/>
      <c r="AA277" s="282"/>
    </row>
    <row r="278" spans="1:27">
      <c r="A278" s="276">
        <f>ROW()</f>
        <v>278</v>
      </c>
      <c r="B278" s="221" t="s">
        <v>387</v>
      </c>
      <c r="C278" s="582">
        <f t="shared" si="56"/>
        <v>1465303.0893339999</v>
      </c>
      <c r="D278" s="231"/>
      <c r="E278" s="231"/>
      <c r="F278" s="231">
        <f t="shared" ref="F278" si="59">+J278*0.14625</f>
        <v>24825.059999999998</v>
      </c>
      <c r="G278" s="1342">
        <f t="shared" ref="G278:M278" si="60">SUM(G273:G277)</f>
        <v>0</v>
      </c>
      <c r="H278" s="1342">
        <f t="shared" si="60"/>
        <v>90000</v>
      </c>
      <c r="I278" s="1342">
        <f t="shared" si="60"/>
        <v>164800</v>
      </c>
      <c r="J278" s="1342">
        <f t="shared" si="60"/>
        <v>169744</v>
      </c>
      <c r="K278" s="1342">
        <f t="shared" si="60"/>
        <v>251327.21000000002</v>
      </c>
      <c r="L278" s="1342">
        <f t="shared" si="60"/>
        <v>348907.73109999998</v>
      </c>
      <c r="M278" s="1342">
        <f t="shared" si="60"/>
        <v>440524.14823399996</v>
      </c>
      <c r="O278" s="406"/>
      <c r="P278" s="406"/>
      <c r="Q278" s="406"/>
      <c r="R278" s="282"/>
      <c r="S278" s="282"/>
      <c r="T278" s="282"/>
      <c r="U278" s="282"/>
      <c r="V278" s="282"/>
      <c r="W278" s="282"/>
      <c r="X278" s="282"/>
      <c r="Y278" s="282"/>
      <c r="Z278" s="282"/>
      <c r="AA278" s="282"/>
    </row>
    <row r="279" spans="1:27">
      <c r="A279" s="276">
        <f>ROW()</f>
        <v>279</v>
      </c>
      <c r="B279" s="727" t="str">
        <f>$B$122</f>
        <v>Office Staff</v>
      </c>
      <c r="C279" s="583"/>
      <c r="D279" s="426"/>
      <c r="E279" s="426"/>
      <c r="F279" s="426"/>
      <c r="G279" s="1291"/>
      <c r="H279" s="1291"/>
      <c r="I279" s="1291"/>
      <c r="J279" s="1291">
        <f>+J278*0.14625</f>
        <v>24825.059999999998</v>
      </c>
      <c r="K279" s="1291"/>
      <c r="L279" s="1291"/>
      <c r="M279" s="1291"/>
      <c r="O279" s="406"/>
      <c r="P279" s="406"/>
      <c r="Q279" s="406"/>
      <c r="R279" s="282"/>
      <c r="S279" s="282"/>
      <c r="T279" s="282"/>
      <c r="U279" s="282"/>
      <c r="V279" s="282"/>
      <c r="W279" s="282"/>
      <c r="X279" s="282"/>
      <c r="Y279" s="282"/>
      <c r="Z279" s="282"/>
      <c r="AA279" s="282"/>
    </row>
    <row r="280" spans="1:27" outlineLevel="1">
      <c r="A280" s="276">
        <f>ROW()</f>
        <v>280</v>
      </c>
      <c r="B280" s="221" t="str">
        <f>$B$123</f>
        <v>Office Manager</v>
      </c>
      <c r="C280" s="582">
        <f>SUM(G280:M280)</f>
        <v>258736.395372</v>
      </c>
      <c r="D280" s="231"/>
      <c r="E280" s="231"/>
      <c r="F280" s="231">
        <f t="shared" ref="F280" si="61">+J280*0.14625</f>
        <v>6206.2649999999994</v>
      </c>
      <c r="G280" s="1286">
        <f>G123*$D123</f>
        <v>0</v>
      </c>
      <c r="H280" s="1286">
        <f>(H123*$D123)</f>
        <v>40000</v>
      </c>
      <c r="I280" s="1286">
        <f t="shared" ref="I280:M282" si="62">(I123*$D123)*$C$46^(I$11-$H$11)</f>
        <v>41200</v>
      </c>
      <c r="J280" s="1286">
        <f t="shared" si="62"/>
        <v>42436</v>
      </c>
      <c r="K280" s="1286">
        <f t="shared" si="62"/>
        <v>43709.08</v>
      </c>
      <c r="L280" s="1286">
        <f t="shared" si="62"/>
        <v>45020.352399999996</v>
      </c>
      <c r="M280" s="1286">
        <f t="shared" si="62"/>
        <v>46370.962971999994</v>
      </c>
      <c r="O280" s="406"/>
      <c r="P280" s="406"/>
      <c r="Q280" s="406"/>
      <c r="R280" s="282"/>
      <c r="S280" s="282"/>
      <c r="T280" s="282"/>
      <c r="U280" s="282"/>
      <c r="V280" s="282"/>
      <c r="W280" s="282"/>
      <c r="X280" s="282"/>
      <c r="Y280" s="282"/>
      <c r="Z280" s="282"/>
      <c r="AA280" s="282"/>
    </row>
    <row r="281" spans="1:27" outlineLevel="1">
      <c r="A281" s="276">
        <f>ROW()</f>
        <v>281</v>
      </c>
      <c r="B281" s="221" t="str">
        <f>$B$124</f>
        <v>Office Technician</v>
      </c>
      <c r="C281" s="582">
        <f>SUM(G281:M281)</f>
        <v>219925.9360662</v>
      </c>
      <c r="D281" s="231"/>
      <c r="E281" s="231"/>
      <c r="F281" s="231"/>
      <c r="G281" s="1286">
        <f>G124*$D124</f>
        <v>0</v>
      </c>
      <c r="H281" s="1286">
        <f>(H124*$D124)</f>
        <v>34000</v>
      </c>
      <c r="I281" s="1286">
        <f t="shared" si="62"/>
        <v>35020</v>
      </c>
      <c r="J281" s="1286">
        <f t="shared" si="62"/>
        <v>36070.6</v>
      </c>
      <c r="K281" s="1286">
        <f t="shared" si="62"/>
        <v>37152.718000000001</v>
      </c>
      <c r="L281" s="1286">
        <f t="shared" si="62"/>
        <v>38267.29954</v>
      </c>
      <c r="M281" s="1286">
        <f t="shared" si="62"/>
        <v>39415.318526199997</v>
      </c>
      <c r="O281" s="406"/>
      <c r="P281" s="406"/>
      <c r="Q281" s="406"/>
      <c r="R281" s="282"/>
      <c r="S281" s="282"/>
      <c r="T281" s="282"/>
      <c r="U281" s="282"/>
      <c r="V281" s="282"/>
      <c r="W281" s="282"/>
      <c r="X281" s="282"/>
      <c r="Y281" s="282"/>
      <c r="Z281" s="282"/>
      <c r="AA281" s="282"/>
    </row>
    <row r="282" spans="1:27" outlineLevel="1">
      <c r="A282" s="276">
        <f>ROW()</f>
        <v>282</v>
      </c>
      <c r="B282" s="289" t="str">
        <f>$B$125</f>
        <v>Office Technician</v>
      </c>
      <c r="C282" s="583">
        <f>SUM(G282:M282)</f>
        <v>150905.9360662</v>
      </c>
      <c r="D282" s="426"/>
      <c r="E282" s="426"/>
      <c r="F282" s="426"/>
      <c r="G282" s="1286">
        <f>G125*$D125</f>
        <v>0</v>
      </c>
      <c r="H282" s="1286">
        <f>(H125*$D125)</f>
        <v>0</v>
      </c>
      <c r="I282" s="1286">
        <f t="shared" si="62"/>
        <v>0</v>
      </c>
      <c r="J282" s="1286">
        <f t="shared" si="62"/>
        <v>36070.6</v>
      </c>
      <c r="K282" s="1286">
        <f t="shared" si="62"/>
        <v>37152.718000000001</v>
      </c>
      <c r="L282" s="1286">
        <f t="shared" si="62"/>
        <v>38267.29954</v>
      </c>
      <c r="M282" s="1286">
        <f t="shared" si="62"/>
        <v>39415.318526199997</v>
      </c>
      <c r="O282" s="406"/>
      <c r="P282" s="406"/>
      <c r="Q282" s="406"/>
      <c r="R282" s="282"/>
      <c r="S282" s="282"/>
      <c r="T282" s="282"/>
      <c r="U282" s="282"/>
      <c r="V282" s="282"/>
      <c r="W282" s="282"/>
      <c r="X282" s="282"/>
      <c r="Y282" s="282"/>
      <c r="Z282" s="282"/>
      <c r="AA282" s="282"/>
    </row>
    <row r="283" spans="1:27" outlineLevel="1">
      <c r="A283" s="276">
        <f>ROW()</f>
        <v>283</v>
      </c>
      <c r="B283" s="221" t="s">
        <v>387</v>
      </c>
      <c r="C283" s="582">
        <f>SUM(G283:M283)</f>
        <v>629568.26750439999</v>
      </c>
      <c r="D283" s="231"/>
      <c r="E283" s="231"/>
      <c r="F283" s="231"/>
      <c r="G283" s="1342">
        <f t="shared" ref="G283:M283" si="63">SUM(G280:G282)</f>
        <v>0</v>
      </c>
      <c r="H283" s="1342">
        <f t="shared" si="63"/>
        <v>74000</v>
      </c>
      <c r="I283" s="1342">
        <f t="shared" si="63"/>
        <v>76220</v>
      </c>
      <c r="J283" s="1342">
        <f t="shared" si="63"/>
        <v>114577.20000000001</v>
      </c>
      <c r="K283" s="1342">
        <f t="shared" si="63"/>
        <v>118014.516</v>
      </c>
      <c r="L283" s="1342">
        <f t="shared" si="63"/>
        <v>121554.95147999999</v>
      </c>
      <c r="M283" s="1342">
        <f t="shared" si="63"/>
        <v>125201.60002439999</v>
      </c>
      <c r="O283" s="406"/>
      <c r="P283" s="406"/>
      <c r="Q283" s="406"/>
      <c r="R283" s="282"/>
      <c r="S283" s="282"/>
      <c r="T283" s="282"/>
      <c r="U283" s="282"/>
      <c r="V283" s="282"/>
      <c r="W283" s="282"/>
      <c r="X283" s="282"/>
      <c r="Y283" s="282"/>
      <c r="Z283" s="282"/>
      <c r="AA283" s="282"/>
    </row>
    <row r="284" spans="1:27" outlineLevel="1">
      <c r="A284" s="276">
        <f>ROW()</f>
        <v>284</v>
      </c>
      <c r="B284" s="221"/>
      <c r="C284" s="582"/>
      <c r="D284" s="231"/>
      <c r="E284" s="231"/>
      <c r="F284" s="231"/>
      <c r="G284" s="1286"/>
      <c r="H284" s="1286"/>
      <c r="I284" s="1286"/>
      <c r="J284" s="1286"/>
      <c r="K284" s="1286"/>
      <c r="L284" s="1286"/>
      <c r="M284" s="1286"/>
      <c r="O284" s="406"/>
      <c r="P284" s="406"/>
      <c r="Q284" s="406"/>
      <c r="R284" s="282"/>
      <c r="S284" s="282"/>
      <c r="T284" s="282"/>
      <c r="U284" s="282"/>
      <c r="V284" s="282"/>
      <c r="W284" s="282"/>
      <c r="X284" s="282"/>
      <c r="Y284" s="282"/>
      <c r="Z284" s="282"/>
      <c r="AA284" s="282"/>
    </row>
    <row r="285" spans="1:27">
      <c r="A285" s="276">
        <f>ROW()</f>
        <v>285</v>
      </c>
      <c r="B285" s="362" t="str">
        <f>$B$128</f>
        <v>Total Administrators and Office Staff</v>
      </c>
      <c r="C285" s="584">
        <f>SUM(G285:M285)</f>
        <v>2094871.3568384</v>
      </c>
      <c r="D285" s="547"/>
      <c r="E285" s="547"/>
      <c r="F285" s="547"/>
      <c r="G285" s="703">
        <f>+G278+G283</f>
        <v>0</v>
      </c>
      <c r="H285" s="703">
        <f t="shared" ref="H285:M285" si="64">+H278+H283</f>
        <v>164000</v>
      </c>
      <c r="I285" s="703">
        <f t="shared" si="64"/>
        <v>241020</v>
      </c>
      <c r="J285" s="703">
        <f t="shared" si="64"/>
        <v>284321.2</v>
      </c>
      <c r="K285" s="703">
        <f t="shared" si="64"/>
        <v>369341.72600000002</v>
      </c>
      <c r="L285" s="703">
        <f t="shared" si="64"/>
        <v>470462.68257999996</v>
      </c>
      <c r="M285" s="703">
        <f t="shared" si="64"/>
        <v>565725.74825840001</v>
      </c>
      <c r="O285" s="406"/>
      <c r="R285" s="282"/>
      <c r="S285" s="282"/>
      <c r="T285" s="282"/>
      <c r="U285" s="282"/>
      <c r="V285" s="282"/>
      <c r="W285" s="282"/>
      <c r="X285" s="282"/>
      <c r="Y285" s="282"/>
      <c r="Z285" s="282"/>
      <c r="AA285" s="282"/>
    </row>
    <row r="286" spans="1:27">
      <c r="A286" s="276">
        <f>ROW()</f>
        <v>286</v>
      </c>
      <c r="B286" s="219"/>
      <c r="C286" s="582"/>
      <c r="D286" s="231"/>
      <c r="E286" s="231"/>
      <c r="F286" s="231"/>
      <c r="G286" s="1286"/>
      <c r="H286" s="1286"/>
      <c r="I286" s="1286"/>
      <c r="J286" s="1286"/>
      <c r="K286" s="1286"/>
      <c r="L286" s="1286"/>
      <c r="M286" s="1286"/>
      <c r="O286" s="406"/>
      <c r="R286" s="282"/>
      <c r="S286" s="282"/>
      <c r="T286" s="282"/>
      <c r="U286" s="282"/>
      <c r="V286" s="282"/>
      <c r="W286" s="282"/>
      <c r="X286" s="282"/>
      <c r="Y286" s="282"/>
      <c r="Z286" s="282"/>
      <c r="AA286" s="282"/>
    </row>
    <row r="287" spans="1:27">
      <c r="A287" s="276">
        <f>ROW(A130)</f>
        <v>130</v>
      </c>
      <c r="B287" s="596" t="str">
        <f>$B$130</f>
        <v>Special Education (SPED) Teachers</v>
      </c>
      <c r="C287" s="583"/>
      <c r="D287" s="426"/>
      <c r="E287" s="426"/>
      <c r="F287" s="426"/>
      <c r="G287" s="1291"/>
      <c r="H287" s="1291"/>
      <c r="I287" s="1291"/>
      <c r="J287" s="1291"/>
      <c r="K287" s="1291"/>
      <c r="L287" s="1291"/>
      <c r="M287" s="1291"/>
      <c r="O287" s="406"/>
      <c r="R287" s="282"/>
      <c r="S287" s="282"/>
      <c r="T287" s="282"/>
      <c r="U287" s="282"/>
      <c r="V287" s="282"/>
      <c r="W287" s="282"/>
      <c r="X287" s="282"/>
      <c r="Y287" s="282"/>
      <c r="Z287" s="282"/>
      <c r="AA287" s="282"/>
    </row>
    <row r="288" spans="1:27" outlineLevel="1">
      <c r="A288" s="276">
        <f>+A287+1</f>
        <v>131</v>
      </c>
      <c r="B288" s="705" t="str">
        <f>$B$131</f>
        <v>Special Education Teacher</v>
      </c>
      <c r="C288" s="582">
        <f t="shared" ref="C288:C297" si="65">SUM(G288:M288)</f>
        <v>291078.44479350001</v>
      </c>
      <c r="D288" s="231"/>
      <c r="E288" s="231"/>
      <c r="F288" s="231"/>
      <c r="G288" s="1286">
        <f t="shared" ref="G288:G296" si="66">G131*$D131</f>
        <v>0</v>
      </c>
      <c r="H288" s="1286">
        <f t="shared" ref="H288:H296" si="67">(H131*$D131)</f>
        <v>45000</v>
      </c>
      <c r="I288" s="1286">
        <f t="shared" ref="I288:M296" si="68">(I131*$D131)*$C$46^(I$11-$H$11)</f>
        <v>46350</v>
      </c>
      <c r="J288" s="1286">
        <f t="shared" si="68"/>
        <v>47740.5</v>
      </c>
      <c r="K288" s="1286">
        <f t="shared" si="68"/>
        <v>49172.715000000004</v>
      </c>
      <c r="L288" s="1286">
        <f t="shared" si="68"/>
        <v>50647.896449999993</v>
      </c>
      <c r="M288" s="1286">
        <f t="shared" si="68"/>
        <v>52167.333343499995</v>
      </c>
      <c r="O288" s="406"/>
      <c r="R288" s="282"/>
      <c r="S288" s="282"/>
      <c r="T288" s="282"/>
      <c r="U288" s="282"/>
      <c r="V288" s="282"/>
      <c r="W288" s="282"/>
      <c r="X288" s="282"/>
      <c r="Y288" s="282"/>
      <c r="Z288" s="282"/>
      <c r="AA288" s="282"/>
    </row>
    <row r="289" spans="1:27" outlineLevel="1">
      <c r="A289" s="276">
        <f t="shared" ref="A289:A297" si="69">+A288+1</f>
        <v>132</v>
      </c>
      <c r="B289" s="705" t="str">
        <f>$B$132</f>
        <v>Special Education Teacher</v>
      </c>
      <c r="C289" s="582">
        <f t="shared" si="65"/>
        <v>246078.44479350001</v>
      </c>
      <c r="D289" s="231"/>
      <c r="E289" s="231"/>
      <c r="F289" s="231"/>
      <c r="G289" s="1286">
        <f t="shared" si="66"/>
        <v>0</v>
      </c>
      <c r="H289" s="1286">
        <f t="shared" si="67"/>
        <v>0</v>
      </c>
      <c r="I289" s="1286">
        <f t="shared" si="68"/>
        <v>46350</v>
      </c>
      <c r="J289" s="1286">
        <f t="shared" si="68"/>
        <v>47740.5</v>
      </c>
      <c r="K289" s="1286">
        <f t="shared" si="68"/>
        <v>49172.715000000004</v>
      </c>
      <c r="L289" s="1286">
        <f t="shared" si="68"/>
        <v>50647.896449999993</v>
      </c>
      <c r="M289" s="1286">
        <f t="shared" si="68"/>
        <v>52167.333343499995</v>
      </c>
      <c r="O289" s="406"/>
      <c r="R289" s="282"/>
      <c r="S289" s="282"/>
      <c r="T289" s="282"/>
      <c r="U289" s="282"/>
      <c r="V289" s="282"/>
      <c r="W289" s="282"/>
      <c r="X289" s="282"/>
      <c r="Y289" s="282"/>
      <c r="Z289" s="282"/>
      <c r="AA289" s="282"/>
    </row>
    <row r="290" spans="1:27" outlineLevel="1">
      <c r="A290" s="276">
        <f t="shared" si="69"/>
        <v>133</v>
      </c>
      <c r="B290" s="705" t="str">
        <f>$B$133</f>
        <v>Special Education Teacher</v>
      </c>
      <c r="C290" s="582">
        <f t="shared" si="65"/>
        <v>151987.94479350001</v>
      </c>
      <c r="D290" s="231"/>
      <c r="E290" s="231"/>
      <c r="F290" s="231"/>
      <c r="G290" s="1286">
        <f t="shared" si="66"/>
        <v>0</v>
      </c>
      <c r="H290" s="1286">
        <f t="shared" si="67"/>
        <v>0</v>
      </c>
      <c r="I290" s="1286">
        <f t="shared" si="68"/>
        <v>0</v>
      </c>
      <c r="J290" s="1286">
        <f t="shared" si="68"/>
        <v>0</v>
      </c>
      <c r="K290" s="1286">
        <f t="shared" si="68"/>
        <v>49172.715000000004</v>
      </c>
      <c r="L290" s="1286">
        <f t="shared" si="68"/>
        <v>50647.896449999993</v>
      </c>
      <c r="M290" s="1286">
        <f t="shared" si="68"/>
        <v>52167.333343499995</v>
      </c>
      <c r="O290" s="406"/>
      <c r="R290" s="282"/>
      <c r="S290" s="282"/>
      <c r="T290" s="282"/>
      <c r="U290" s="282"/>
      <c r="V290" s="282"/>
      <c r="W290" s="282"/>
      <c r="X290" s="282"/>
      <c r="Y290" s="282"/>
      <c r="Z290" s="282"/>
      <c r="AA290" s="282"/>
    </row>
    <row r="291" spans="1:27" outlineLevel="1">
      <c r="A291" s="276">
        <f t="shared" si="69"/>
        <v>134</v>
      </c>
      <c r="B291" s="705" t="str">
        <f>$B$134</f>
        <v>Special Education Teacher</v>
      </c>
      <c r="C291" s="582">
        <f t="shared" si="65"/>
        <v>52167.333343499995</v>
      </c>
      <c r="D291" s="231"/>
      <c r="E291" s="231"/>
      <c r="F291" s="231"/>
      <c r="G291" s="1286">
        <f t="shared" si="66"/>
        <v>0</v>
      </c>
      <c r="H291" s="1286">
        <f t="shared" si="67"/>
        <v>0</v>
      </c>
      <c r="I291" s="1286">
        <f t="shared" si="68"/>
        <v>0</v>
      </c>
      <c r="J291" s="1286">
        <f t="shared" si="68"/>
        <v>0</v>
      </c>
      <c r="K291" s="1286">
        <f t="shared" si="68"/>
        <v>0</v>
      </c>
      <c r="L291" s="1286">
        <f t="shared" si="68"/>
        <v>0</v>
      </c>
      <c r="M291" s="1286">
        <f t="shared" si="68"/>
        <v>52167.333343499995</v>
      </c>
      <c r="O291" s="406"/>
      <c r="R291" s="282"/>
      <c r="S291" s="282"/>
      <c r="T291" s="282"/>
      <c r="U291" s="282"/>
      <c r="V291" s="282"/>
      <c r="W291" s="282"/>
      <c r="X291" s="282"/>
      <c r="Y291" s="282"/>
      <c r="Z291" s="282"/>
      <c r="AA291" s="282"/>
    </row>
    <row r="292" spans="1:27" outlineLevel="1">
      <c r="A292" s="276">
        <f t="shared" si="69"/>
        <v>135</v>
      </c>
      <c r="B292" s="705">
        <f>$B$135</f>
        <v>0</v>
      </c>
      <c r="C292" s="582">
        <f t="shared" si="65"/>
        <v>0</v>
      </c>
      <c r="D292" s="231"/>
      <c r="E292" s="231"/>
      <c r="F292" s="231"/>
      <c r="G292" s="1286">
        <f t="shared" si="66"/>
        <v>0</v>
      </c>
      <c r="H292" s="1286">
        <f t="shared" si="67"/>
        <v>0</v>
      </c>
      <c r="I292" s="1286">
        <f t="shared" si="68"/>
        <v>0</v>
      </c>
      <c r="J292" s="1286">
        <f t="shared" si="68"/>
        <v>0</v>
      </c>
      <c r="K292" s="1286">
        <f t="shared" si="68"/>
        <v>0</v>
      </c>
      <c r="L292" s="1286">
        <f t="shared" si="68"/>
        <v>0</v>
      </c>
      <c r="M292" s="1286">
        <f t="shared" si="68"/>
        <v>0</v>
      </c>
      <c r="O292" s="406"/>
      <c r="R292" s="282"/>
      <c r="S292" s="282"/>
      <c r="T292" s="282"/>
      <c r="U292" s="282"/>
      <c r="V292" s="282"/>
      <c r="W292" s="282"/>
      <c r="X292" s="282"/>
      <c r="Y292" s="282"/>
      <c r="Z292" s="282"/>
      <c r="AA292" s="282"/>
    </row>
    <row r="293" spans="1:27" outlineLevel="1">
      <c r="A293" s="276">
        <f t="shared" si="69"/>
        <v>136</v>
      </c>
      <c r="B293" s="705">
        <f>$B136</f>
        <v>0</v>
      </c>
      <c r="C293" s="582">
        <f t="shared" si="65"/>
        <v>0</v>
      </c>
      <c r="D293" s="231"/>
      <c r="E293" s="231"/>
      <c r="F293" s="231"/>
      <c r="G293" s="1286">
        <f t="shared" si="66"/>
        <v>0</v>
      </c>
      <c r="H293" s="1286">
        <f t="shared" si="67"/>
        <v>0</v>
      </c>
      <c r="I293" s="1286">
        <f t="shared" si="68"/>
        <v>0</v>
      </c>
      <c r="J293" s="1286">
        <f t="shared" si="68"/>
        <v>0</v>
      </c>
      <c r="K293" s="1286">
        <f t="shared" si="68"/>
        <v>0</v>
      </c>
      <c r="L293" s="1286">
        <f t="shared" si="68"/>
        <v>0</v>
      </c>
      <c r="M293" s="1286">
        <f t="shared" si="68"/>
        <v>0</v>
      </c>
      <c r="O293" s="406"/>
      <c r="R293" s="282"/>
      <c r="S293" s="282"/>
      <c r="T293" s="282"/>
      <c r="U293" s="282"/>
      <c r="V293" s="282"/>
      <c r="W293" s="282"/>
      <c r="X293" s="282"/>
      <c r="Y293" s="282"/>
      <c r="Z293" s="282"/>
      <c r="AA293" s="282"/>
    </row>
    <row r="294" spans="1:27" outlineLevel="1">
      <c r="A294" s="276">
        <f t="shared" si="69"/>
        <v>137</v>
      </c>
      <c r="B294" s="705">
        <f>$B137</f>
        <v>0</v>
      </c>
      <c r="C294" s="582">
        <f t="shared" si="65"/>
        <v>0</v>
      </c>
      <c r="D294" s="231"/>
      <c r="E294" s="231"/>
      <c r="F294" s="231"/>
      <c r="G294" s="1286">
        <f t="shared" si="66"/>
        <v>0</v>
      </c>
      <c r="H294" s="1286">
        <f t="shared" si="67"/>
        <v>0</v>
      </c>
      <c r="I294" s="1286">
        <f t="shared" si="68"/>
        <v>0</v>
      </c>
      <c r="J294" s="1286">
        <f t="shared" si="68"/>
        <v>0</v>
      </c>
      <c r="K294" s="1286">
        <f t="shared" si="68"/>
        <v>0</v>
      </c>
      <c r="L294" s="1286">
        <f t="shared" si="68"/>
        <v>0</v>
      </c>
      <c r="M294" s="1286">
        <f t="shared" si="68"/>
        <v>0</v>
      </c>
      <c r="O294" s="406"/>
      <c r="R294" s="282"/>
      <c r="S294" s="282"/>
      <c r="T294" s="282"/>
      <c r="U294" s="282"/>
      <c r="V294" s="282"/>
      <c r="W294" s="282"/>
      <c r="X294" s="282"/>
      <c r="Y294" s="282"/>
      <c r="Z294" s="282"/>
      <c r="AA294" s="282"/>
    </row>
    <row r="295" spans="1:27" outlineLevel="1">
      <c r="A295" s="276">
        <f t="shared" si="69"/>
        <v>138</v>
      </c>
      <c r="B295" s="705">
        <f>$B138</f>
        <v>0</v>
      </c>
      <c r="C295" s="582">
        <f t="shared" si="65"/>
        <v>0</v>
      </c>
      <c r="D295" s="231"/>
      <c r="E295" s="231"/>
      <c r="F295" s="231"/>
      <c r="G295" s="1286">
        <f t="shared" si="66"/>
        <v>0</v>
      </c>
      <c r="H295" s="1286">
        <f t="shared" si="67"/>
        <v>0</v>
      </c>
      <c r="I295" s="1286">
        <f t="shared" si="68"/>
        <v>0</v>
      </c>
      <c r="J295" s="1286">
        <f t="shared" si="68"/>
        <v>0</v>
      </c>
      <c r="K295" s="1286">
        <f t="shared" si="68"/>
        <v>0</v>
      </c>
      <c r="L295" s="1286">
        <f t="shared" si="68"/>
        <v>0</v>
      </c>
      <c r="M295" s="1286">
        <f t="shared" si="68"/>
        <v>0</v>
      </c>
      <c r="O295" s="406"/>
      <c r="R295" s="282"/>
      <c r="S295" s="282"/>
      <c r="T295" s="282"/>
      <c r="U295" s="282"/>
      <c r="V295" s="282"/>
      <c r="W295" s="282"/>
      <c r="X295" s="282"/>
      <c r="Y295" s="282"/>
      <c r="Z295" s="282"/>
      <c r="AA295" s="282"/>
    </row>
    <row r="296" spans="1:27" outlineLevel="1">
      <c r="A296" s="276">
        <f t="shared" si="69"/>
        <v>139</v>
      </c>
      <c r="B296" s="705">
        <f>$B139</f>
        <v>0</v>
      </c>
      <c r="C296" s="582">
        <f t="shared" si="65"/>
        <v>0</v>
      </c>
      <c r="D296" s="231"/>
      <c r="E296" s="231"/>
      <c r="F296" s="231"/>
      <c r="G296" s="1286">
        <f t="shared" si="66"/>
        <v>0</v>
      </c>
      <c r="H296" s="1286">
        <f t="shared" si="67"/>
        <v>0</v>
      </c>
      <c r="I296" s="1286">
        <f t="shared" si="68"/>
        <v>0</v>
      </c>
      <c r="J296" s="1286">
        <f t="shared" si="68"/>
        <v>0</v>
      </c>
      <c r="K296" s="1286">
        <f t="shared" si="68"/>
        <v>0</v>
      </c>
      <c r="L296" s="1286">
        <f t="shared" si="68"/>
        <v>0</v>
      </c>
      <c r="M296" s="1286">
        <f t="shared" si="68"/>
        <v>0</v>
      </c>
      <c r="O296" s="406"/>
      <c r="R296" s="282"/>
      <c r="S296" s="282"/>
      <c r="T296" s="282"/>
      <c r="U296" s="282"/>
      <c r="V296" s="282"/>
      <c r="W296" s="282"/>
      <c r="X296" s="282"/>
      <c r="Y296" s="282"/>
      <c r="Z296" s="282"/>
      <c r="AA296" s="282"/>
    </row>
    <row r="297" spans="1:27">
      <c r="A297" s="276">
        <f t="shared" si="69"/>
        <v>140</v>
      </c>
      <c r="B297" s="545" t="str">
        <f>$B140</f>
        <v xml:space="preserve">Total Special EducationTeachers </v>
      </c>
      <c r="C297" s="707">
        <f t="shared" si="65"/>
        <v>741312.16772400006</v>
      </c>
      <c r="D297" s="548"/>
      <c r="E297" s="548"/>
      <c r="F297" s="548"/>
      <c r="G297" s="1287">
        <f>SUM(G288:G296)</f>
        <v>0</v>
      </c>
      <c r="H297" s="1287">
        <f t="shared" ref="H297:M297" si="70">SUM(H288:H296)</f>
        <v>45000</v>
      </c>
      <c r="I297" s="1287">
        <f t="shared" si="70"/>
        <v>92700</v>
      </c>
      <c r="J297" s="1287">
        <f t="shared" si="70"/>
        <v>95481</v>
      </c>
      <c r="K297" s="1287">
        <f t="shared" si="70"/>
        <v>147518.14500000002</v>
      </c>
      <c r="L297" s="1287">
        <f t="shared" si="70"/>
        <v>151943.68934999997</v>
      </c>
      <c r="M297" s="1287">
        <f t="shared" si="70"/>
        <v>208669.33337399998</v>
      </c>
      <c r="O297" s="406"/>
      <c r="R297" s="282"/>
      <c r="S297" s="282"/>
      <c r="T297" s="282"/>
      <c r="U297" s="282"/>
      <c r="V297" s="282"/>
      <c r="W297" s="282"/>
      <c r="X297" s="282"/>
      <c r="Y297" s="282"/>
      <c r="Z297" s="282"/>
      <c r="AA297" s="282"/>
    </row>
    <row r="298" spans="1:27">
      <c r="A298" s="276"/>
      <c r="B298" s="221"/>
      <c r="C298" s="582"/>
      <c r="D298" s="231"/>
      <c r="E298" s="231"/>
      <c r="F298" s="231"/>
      <c r="G298" s="1286"/>
      <c r="H298" s="1286"/>
      <c r="I298" s="1286"/>
      <c r="J298" s="1286"/>
      <c r="K298" s="1286"/>
      <c r="L298" s="1286"/>
      <c r="M298" s="1286"/>
      <c r="O298" s="406"/>
      <c r="R298" s="282"/>
      <c r="S298" s="282"/>
      <c r="T298" s="282"/>
      <c r="U298" s="282"/>
      <c r="V298" s="282"/>
      <c r="W298" s="282"/>
      <c r="X298" s="282"/>
      <c r="Y298" s="282"/>
      <c r="Z298" s="282"/>
      <c r="AA298" s="282"/>
    </row>
    <row r="299" spans="1:27">
      <c r="A299" s="276"/>
      <c r="B299" s="596" t="str">
        <f t="shared" ref="B299:B309" si="71">$B142</f>
        <v>English Language Learner (ELL) Teachers</v>
      </c>
      <c r="C299" s="583"/>
      <c r="D299" s="426"/>
      <c r="E299" s="426"/>
      <c r="F299" s="426"/>
      <c r="G299" s="1291"/>
      <c r="H299" s="1291"/>
      <c r="I299" s="1291"/>
      <c r="J299" s="1291"/>
      <c r="K299" s="1291"/>
      <c r="L299" s="1291"/>
      <c r="M299" s="1291"/>
      <c r="O299" s="406"/>
      <c r="R299" s="282"/>
      <c r="S299" s="282"/>
      <c r="T299" s="282"/>
      <c r="U299" s="282"/>
      <c r="V299" s="282"/>
      <c r="W299" s="282"/>
      <c r="X299" s="282"/>
      <c r="Y299" s="282"/>
      <c r="Z299" s="282"/>
      <c r="AA299" s="282"/>
    </row>
    <row r="300" spans="1:27" outlineLevel="1">
      <c r="A300" s="276">
        <f>ROW(A143)</f>
        <v>143</v>
      </c>
      <c r="B300" s="705" t="str">
        <f t="shared" si="71"/>
        <v xml:space="preserve">EL Coordinator </v>
      </c>
      <c r="C300" s="582">
        <f t="shared" ref="C300:C309" si="72">SUM(G300:M300)</f>
        <v>291078.44479350001</v>
      </c>
      <c r="D300" s="231"/>
      <c r="E300" s="231"/>
      <c r="F300" s="231"/>
      <c r="G300" s="1286">
        <f t="shared" ref="G300:G308" si="73">G143*$D143</f>
        <v>0</v>
      </c>
      <c r="H300" s="1286">
        <f t="shared" ref="H300:H308" si="74">(H143*$D143)</f>
        <v>45000</v>
      </c>
      <c r="I300" s="1286">
        <f t="shared" ref="I300:M308" si="75">(I143*$D143)*$C$46^(I$11-$H$11)</f>
        <v>46350</v>
      </c>
      <c r="J300" s="1286">
        <f t="shared" si="75"/>
        <v>47740.5</v>
      </c>
      <c r="K300" s="1286">
        <f t="shared" si="75"/>
        <v>49172.715000000004</v>
      </c>
      <c r="L300" s="1286">
        <f t="shared" si="75"/>
        <v>50647.896449999993</v>
      </c>
      <c r="M300" s="1286">
        <f t="shared" si="75"/>
        <v>52167.333343499995</v>
      </c>
      <c r="O300" s="406"/>
      <c r="R300" s="282"/>
      <c r="S300" s="282"/>
      <c r="T300" s="282"/>
      <c r="U300" s="282"/>
      <c r="V300" s="282"/>
      <c r="W300" s="282"/>
      <c r="X300" s="282"/>
      <c r="Y300" s="282"/>
      <c r="Z300" s="282"/>
      <c r="AA300" s="282"/>
    </row>
    <row r="301" spans="1:27" outlineLevel="1">
      <c r="A301" s="276">
        <f>+A300+1</f>
        <v>144</v>
      </c>
      <c r="B301" s="705" t="str">
        <f t="shared" si="71"/>
        <v>ELL Teacher</v>
      </c>
      <c r="C301" s="582">
        <f t="shared" si="72"/>
        <v>199728.44479350001</v>
      </c>
      <c r="D301" s="231"/>
      <c r="E301" s="231"/>
      <c r="F301" s="231"/>
      <c r="G301" s="1286">
        <f t="shared" si="73"/>
        <v>0</v>
      </c>
      <c r="H301" s="1286">
        <f t="shared" si="74"/>
        <v>0</v>
      </c>
      <c r="I301" s="1286">
        <f t="shared" si="75"/>
        <v>0</v>
      </c>
      <c r="J301" s="1286">
        <f t="shared" si="75"/>
        <v>47740.5</v>
      </c>
      <c r="K301" s="1286">
        <f t="shared" si="75"/>
        <v>49172.715000000004</v>
      </c>
      <c r="L301" s="1286">
        <f t="shared" si="75"/>
        <v>50647.896449999993</v>
      </c>
      <c r="M301" s="1286">
        <f t="shared" si="75"/>
        <v>52167.333343499995</v>
      </c>
      <c r="O301" s="406"/>
      <c r="R301" s="282"/>
      <c r="S301" s="282"/>
      <c r="T301" s="282"/>
      <c r="U301" s="282"/>
      <c r="V301" s="282"/>
      <c r="W301" s="282"/>
      <c r="X301" s="282"/>
      <c r="Y301" s="282"/>
      <c r="Z301" s="282"/>
      <c r="AA301" s="282"/>
    </row>
    <row r="302" spans="1:27" outlineLevel="1">
      <c r="A302" s="276">
        <f t="shared" ref="A302:A308" si="76">+A301+1</f>
        <v>145</v>
      </c>
      <c r="B302" s="705" t="str">
        <f t="shared" si="71"/>
        <v>ELL Teacher</v>
      </c>
      <c r="C302" s="582">
        <f t="shared" si="72"/>
        <v>102815.22979349998</v>
      </c>
      <c r="D302" s="231"/>
      <c r="E302" s="231"/>
      <c r="F302" s="231"/>
      <c r="G302" s="1286">
        <f t="shared" si="73"/>
        <v>0</v>
      </c>
      <c r="H302" s="1286">
        <f t="shared" si="74"/>
        <v>0</v>
      </c>
      <c r="I302" s="1286">
        <f t="shared" si="75"/>
        <v>0</v>
      </c>
      <c r="J302" s="1286">
        <f t="shared" si="75"/>
        <v>0</v>
      </c>
      <c r="K302" s="1286">
        <f t="shared" si="75"/>
        <v>0</v>
      </c>
      <c r="L302" s="1286">
        <f t="shared" si="75"/>
        <v>50647.896449999993</v>
      </c>
      <c r="M302" s="1286">
        <f t="shared" si="75"/>
        <v>52167.333343499995</v>
      </c>
      <c r="O302" s="406"/>
      <c r="R302" s="282"/>
      <c r="S302" s="282"/>
      <c r="T302" s="282"/>
      <c r="U302" s="282"/>
      <c r="V302" s="282"/>
      <c r="W302" s="282"/>
      <c r="X302" s="282"/>
      <c r="Y302" s="282"/>
      <c r="Z302" s="282"/>
      <c r="AA302" s="282"/>
    </row>
    <row r="303" spans="1:27" outlineLevel="1">
      <c r="A303" s="276">
        <f t="shared" si="76"/>
        <v>146</v>
      </c>
      <c r="B303" s="705">
        <f t="shared" si="71"/>
        <v>0</v>
      </c>
      <c r="C303" s="582">
        <f t="shared" si="72"/>
        <v>0</v>
      </c>
      <c r="D303" s="231"/>
      <c r="E303" s="231"/>
      <c r="F303" s="231"/>
      <c r="G303" s="1286">
        <f t="shared" si="73"/>
        <v>0</v>
      </c>
      <c r="H303" s="1286">
        <f t="shared" si="74"/>
        <v>0</v>
      </c>
      <c r="I303" s="1286">
        <f t="shared" si="75"/>
        <v>0</v>
      </c>
      <c r="J303" s="1286">
        <f t="shared" si="75"/>
        <v>0</v>
      </c>
      <c r="K303" s="1286">
        <f t="shared" si="75"/>
        <v>0</v>
      </c>
      <c r="L303" s="1286">
        <f t="shared" si="75"/>
        <v>0</v>
      </c>
      <c r="M303" s="1286">
        <f t="shared" si="75"/>
        <v>0</v>
      </c>
      <c r="O303" s="406"/>
      <c r="R303" s="282"/>
      <c r="S303" s="282"/>
      <c r="T303" s="282"/>
      <c r="U303" s="282"/>
      <c r="V303" s="282"/>
      <c r="W303" s="282"/>
      <c r="X303" s="282"/>
      <c r="Y303" s="282"/>
      <c r="Z303" s="282"/>
      <c r="AA303" s="282"/>
    </row>
    <row r="304" spans="1:27" outlineLevel="1">
      <c r="A304" s="276">
        <f t="shared" si="76"/>
        <v>147</v>
      </c>
      <c r="B304" s="705">
        <f t="shared" si="71"/>
        <v>0</v>
      </c>
      <c r="C304" s="582">
        <f t="shared" si="72"/>
        <v>0</v>
      </c>
      <c r="D304" s="231"/>
      <c r="E304" s="231"/>
      <c r="F304" s="231"/>
      <c r="G304" s="1286">
        <f t="shared" si="73"/>
        <v>0</v>
      </c>
      <c r="H304" s="1286">
        <f t="shared" si="74"/>
        <v>0</v>
      </c>
      <c r="I304" s="1286">
        <f t="shared" si="75"/>
        <v>0</v>
      </c>
      <c r="J304" s="1286">
        <f t="shared" si="75"/>
        <v>0</v>
      </c>
      <c r="K304" s="1286">
        <f t="shared" si="75"/>
        <v>0</v>
      </c>
      <c r="L304" s="1286">
        <f t="shared" si="75"/>
        <v>0</v>
      </c>
      <c r="M304" s="1286">
        <f t="shared" si="75"/>
        <v>0</v>
      </c>
      <c r="O304" s="406"/>
      <c r="R304" s="282"/>
      <c r="S304" s="282"/>
      <c r="T304" s="282"/>
      <c r="U304" s="282"/>
      <c r="V304" s="282"/>
      <c r="W304" s="282"/>
      <c r="X304" s="282"/>
      <c r="Y304" s="282"/>
      <c r="Z304" s="282"/>
      <c r="AA304" s="282"/>
    </row>
    <row r="305" spans="1:27" outlineLevel="1">
      <c r="A305" s="276">
        <f t="shared" si="76"/>
        <v>148</v>
      </c>
      <c r="B305" s="705">
        <f t="shared" si="71"/>
        <v>0</v>
      </c>
      <c r="C305" s="582">
        <f t="shared" si="72"/>
        <v>0</v>
      </c>
      <c r="D305" s="231"/>
      <c r="E305" s="231"/>
      <c r="F305" s="231"/>
      <c r="G305" s="1286">
        <f t="shared" si="73"/>
        <v>0</v>
      </c>
      <c r="H305" s="1286">
        <f t="shared" si="74"/>
        <v>0</v>
      </c>
      <c r="I305" s="1286">
        <f t="shared" si="75"/>
        <v>0</v>
      </c>
      <c r="J305" s="1286">
        <f t="shared" si="75"/>
        <v>0</v>
      </c>
      <c r="K305" s="1286">
        <f t="shared" si="75"/>
        <v>0</v>
      </c>
      <c r="L305" s="1286">
        <f t="shared" si="75"/>
        <v>0</v>
      </c>
      <c r="M305" s="1286">
        <f t="shared" si="75"/>
        <v>0</v>
      </c>
      <c r="O305" s="406"/>
      <c r="R305" s="282"/>
      <c r="S305" s="282"/>
      <c r="T305" s="282"/>
      <c r="U305" s="282"/>
      <c r="V305" s="282"/>
      <c r="W305" s="282"/>
      <c r="X305" s="282"/>
      <c r="Y305" s="282"/>
      <c r="Z305" s="282"/>
      <c r="AA305" s="282"/>
    </row>
    <row r="306" spans="1:27" outlineLevel="1">
      <c r="A306" s="276">
        <f t="shared" si="76"/>
        <v>149</v>
      </c>
      <c r="B306" s="705">
        <f t="shared" si="71"/>
        <v>0</v>
      </c>
      <c r="C306" s="582">
        <f t="shared" si="72"/>
        <v>0</v>
      </c>
      <c r="D306" s="231"/>
      <c r="E306" s="231"/>
      <c r="F306" s="231"/>
      <c r="G306" s="1286">
        <f t="shared" si="73"/>
        <v>0</v>
      </c>
      <c r="H306" s="1286">
        <f t="shared" si="74"/>
        <v>0</v>
      </c>
      <c r="I306" s="1286">
        <f t="shared" si="75"/>
        <v>0</v>
      </c>
      <c r="J306" s="1286">
        <f t="shared" si="75"/>
        <v>0</v>
      </c>
      <c r="K306" s="1286">
        <f t="shared" si="75"/>
        <v>0</v>
      </c>
      <c r="L306" s="1286">
        <f t="shared" si="75"/>
        <v>0</v>
      </c>
      <c r="M306" s="1286">
        <f t="shared" si="75"/>
        <v>0</v>
      </c>
      <c r="O306" s="406"/>
      <c r="R306" s="282"/>
      <c r="S306" s="282"/>
      <c r="T306" s="282"/>
      <c r="U306" s="282"/>
      <c r="V306" s="282"/>
      <c r="W306" s="282"/>
      <c r="X306" s="282"/>
      <c r="Y306" s="282"/>
      <c r="Z306" s="282"/>
      <c r="AA306" s="282"/>
    </row>
    <row r="307" spans="1:27" outlineLevel="1">
      <c r="A307" s="276">
        <f t="shared" si="76"/>
        <v>150</v>
      </c>
      <c r="B307" s="705">
        <f t="shared" si="71"/>
        <v>0</v>
      </c>
      <c r="C307" s="582">
        <f t="shared" si="72"/>
        <v>0</v>
      </c>
      <c r="D307" s="231"/>
      <c r="E307" s="231"/>
      <c r="F307" s="231"/>
      <c r="G307" s="1286">
        <f t="shared" si="73"/>
        <v>0</v>
      </c>
      <c r="H307" s="1286">
        <f t="shared" si="74"/>
        <v>0</v>
      </c>
      <c r="I307" s="1286">
        <f t="shared" si="75"/>
        <v>0</v>
      </c>
      <c r="J307" s="1286">
        <f t="shared" si="75"/>
        <v>0</v>
      </c>
      <c r="K307" s="1286">
        <f t="shared" si="75"/>
        <v>0</v>
      </c>
      <c r="L307" s="1286">
        <f t="shared" si="75"/>
        <v>0</v>
      </c>
      <c r="M307" s="1286">
        <f t="shared" si="75"/>
        <v>0</v>
      </c>
      <c r="O307" s="406"/>
      <c r="R307" s="282"/>
      <c r="S307" s="282"/>
      <c r="T307" s="282"/>
      <c r="U307" s="282"/>
      <c r="V307" s="282"/>
      <c r="W307" s="282"/>
      <c r="X307" s="282"/>
      <c r="Y307" s="282"/>
      <c r="Z307" s="282"/>
      <c r="AA307" s="282"/>
    </row>
    <row r="308" spans="1:27">
      <c r="A308" s="276">
        <f t="shared" si="76"/>
        <v>151</v>
      </c>
      <c r="B308" s="705">
        <f t="shared" si="71"/>
        <v>0</v>
      </c>
      <c r="C308" s="582">
        <f t="shared" si="72"/>
        <v>0</v>
      </c>
      <c r="D308" s="231"/>
      <c r="E308" s="231"/>
      <c r="F308" s="231"/>
      <c r="G308" s="1286">
        <f t="shared" si="73"/>
        <v>0</v>
      </c>
      <c r="H308" s="1286">
        <f t="shared" si="74"/>
        <v>0</v>
      </c>
      <c r="I308" s="1286">
        <f t="shared" si="75"/>
        <v>0</v>
      </c>
      <c r="J308" s="1286">
        <f t="shared" si="75"/>
        <v>0</v>
      </c>
      <c r="K308" s="1286">
        <f t="shared" si="75"/>
        <v>0</v>
      </c>
      <c r="L308" s="1286">
        <f t="shared" si="75"/>
        <v>0</v>
      </c>
      <c r="M308" s="1286">
        <f t="shared" si="75"/>
        <v>0</v>
      </c>
      <c r="O308" s="406"/>
      <c r="R308" s="282"/>
      <c r="S308" s="282"/>
      <c r="T308" s="282"/>
      <c r="U308" s="282"/>
      <c r="V308" s="282"/>
      <c r="W308" s="282"/>
      <c r="X308" s="282"/>
      <c r="Y308" s="282"/>
      <c r="Z308" s="282"/>
      <c r="AA308" s="282"/>
    </row>
    <row r="309" spans="1:27">
      <c r="A309" s="276"/>
      <c r="B309" s="362" t="str">
        <f t="shared" si="71"/>
        <v>Total ELL Teachers</v>
      </c>
      <c r="C309" s="709">
        <f t="shared" si="72"/>
        <v>593622.11938049993</v>
      </c>
      <c r="D309" s="547"/>
      <c r="E309" s="547"/>
      <c r="F309" s="547"/>
      <c r="G309" s="703">
        <f>SUM(G300:G308)</f>
        <v>0</v>
      </c>
      <c r="H309" s="703">
        <f t="shared" ref="H309:M309" si="77">SUM(H300:H308)</f>
        <v>45000</v>
      </c>
      <c r="I309" s="703">
        <f t="shared" si="77"/>
        <v>46350</v>
      </c>
      <c r="J309" s="703">
        <f t="shared" si="77"/>
        <v>95481</v>
      </c>
      <c r="K309" s="703">
        <f t="shared" si="77"/>
        <v>98345.430000000008</v>
      </c>
      <c r="L309" s="703">
        <f t="shared" si="77"/>
        <v>151943.68934999997</v>
      </c>
      <c r="M309" s="703">
        <f t="shared" si="77"/>
        <v>156502.0000305</v>
      </c>
      <c r="R309" s="282"/>
      <c r="S309" s="282"/>
      <c r="T309" s="282"/>
      <c r="U309" s="282"/>
      <c r="V309" s="282"/>
      <c r="W309" s="282"/>
      <c r="X309" s="282"/>
      <c r="Y309" s="282"/>
      <c r="Z309" s="282"/>
      <c r="AA309" s="282"/>
    </row>
    <row r="310" spans="1:27">
      <c r="A310" s="276"/>
      <c r="B310" s="221"/>
      <c r="C310" s="582"/>
      <c r="D310" s="231"/>
      <c r="E310" s="231"/>
      <c r="F310" s="231"/>
      <c r="G310" s="1286"/>
      <c r="H310" s="1286"/>
      <c r="I310" s="1286"/>
      <c r="J310" s="1286"/>
      <c r="K310" s="1286"/>
      <c r="L310" s="1286"/>
      <c r="M310" s="1286"/>
      <c r="R310" s="282"/>
      <c r="S310" s="282"/>
      <c r="T310" s="282"/>
      <c r="U310" s="282"/>
      <c r="V310" s="282"/>
      <c r="W310" s="282"/>
      <c r="X310" s="282"/>
      <c r="Y310" s="282"/>
      <c r="Z310" s="282"/>
      <c r="AA310" s="282"/>
    </row>
    <row r="311" spans="1:27" outlineLevel="1">
      <c r="A311" s="276"/>
      <c r="B311" s="596" t="str">
        <f t="shared" ref="B311:B321" si="78">$B154</f>
        <v>Guidance Counselor &amp; Other</v>
      </c>
      <c r="C311" s="583"/>
      <c r="D311" s="426"/>
      <c r="E311" s="426"/>
      <c r="F311" s="426"/>
      <c r="G311" s="1291"/>
      <c r="H311" s="1291"/>
      <c r="I311" s="1291"/>
      <c r="J311" s="1291"/>
      <c r="K311" s="1291"/>
      <c r="L311" s="1291"/>
      <c r="M311" s="1291"/>
      <c r="R311" s="282"/>
      <c r="S311" s="282"/>
      <c r="T311" s="282"/>
      <c r="U311" s="282"/>
      <c r="V311" s="282"/>
      <c r="W311" s="282"/>
      <c r="X311" s="282"/>
      <c r="Y311" s="282"/>
      <c r="Z311" s="282"/>
      <c r="AA311" s="282"/>
    </row>
    <row r="312" spans="1:27" outlineLevel="1">
      <c r="A312" s="276">
        <f>ROW(A155)</f>
        <v>155</v>
      </c>
      <c r="B312" s="705" t="str">
        <f t="shared" si="78"/>
        <v>Counselor</v>
      </c>
      <c r="C312" s="582">
        <f t="shared" ref="C312:C321" si="79">SUM(G312:M312)</f>
        <v>273420.49421500001</v>
      </c>
      <c r="D312" s="231"/>
      <c r="E312" s="231"/>
      <c r="F312" s="231"/>
      <c r="G312" s="1286">
        <f t="shared" ref="G312:G320" si="80">G155*$D155</f>
        <v>0</v>
      </c>
      <c r="H312" s="1286">
        <f t="shared" ref="H312:H320" si="81">(H155*$D155)</f>
        <v>0</v>
      </c>
      <c r="I312" s="1286">
        <f t="shared" ref="I312:M320" si="82">(I155*$D155)*$C$46^(I$11-$H$11)</f>
        <v>51500</v>
      </c>
      <c r="J312" s="1286">
        <f t="shared" si="82"/>
        <v>53045</v>
      </c>
      <c r="K312" s="1286">
        <f t="shared" si="82"/>
        <v>54636.35</v>
      </c>
      <c r="L312" s="1286">
        <f t="shared" si="82"/>
        <v>56275.440499999997</v>
      </c>
      <c r="M312" s="1286">
        <f t="shared" si="82"/>
        <v>57963.703714999989</v>
      </c>
      <c r="R312" s="282"/>
      <c r="S312" s="282"/>
      <c r="T312" s="282"/>
      <c r="U312" s="282"/>
      <c r="V312" s="282"/>
      <c r="W312" s="282"/>
      <c r="X312" s="282"/>
      <c r="Y312" s="282"/>
      <c r="Z312" s="282"/>
      <c r="AA312" s="282"/>
    </row>
    <row r="313" spans="1:27" outlineLevel="1">
      <c r="A313" s="276">
        <f>+A312+1</f>
        <v>156</v>
      </c>
      <c r="B313" s="705" t="str">
        <f t="shared" si="78"/>
        <v>Counselor</v>
      </c>
      <c r="C313" s="582">
        <f t="shared" si="79"/>
        <v>221920.49421499998</v>
      </c>
      <c r="D313" s="231"/>
      <c r="E313" s="231"/>
      <c r="F313" s="231"/>
      <c r="G313" s="1286">
        <f t="shared" si="80"/>
        <v>0</v>
      </c>
      <c r="H313" s="1286">
        <f t="shared" si="81"/>
        <v>0</v>
      </c>
      <c r="I313" s="1286">
        <f t="shared" si="82"/>
        <v>0</v>
      </c>
      <c r="J313" s="1286">
        <f t="shared" si="82"/>
        <v>53045</v>
      </c>
      <c r="K313" s="1286">
        <f t="shared" si="82"/>
        <v>54636.35</v>
      </c>
      <c r="L313" s="1286">
        <f t="shared" si="82"/>
        <v>56275.440499999997</v>
      </c>
      <c r="M313" s="1286">
        <f t="shared" si="82"/>
        <v>57963.703714999989</v>
      </c>
      <c r="R313" s="282"/>
      <c r="S313" s="282"/>
      <c r="T313" s="282"/>
      <c r="U313" s="282"/>
      <c r="V313" s="282"/>
      <c r="W313" s="282"/>
      <c r="X313" s="282"/>
      <c r="Y313" s="282"/>
      <c r="Z313" s="282"/>
      <c r="AA313" s="282"/>
    </row>
    <row r="314" spans="1:27" outlineLevel="1">
      <c r="A314" s="276">
        <f t="shared" ref="A314:A321" si="83">+A313+1</f>
        <v>157</v>
      </c>
      <c r="B314" s="705" t="str">
        <f t="shared" si="78"/>
        <v xml:space="preserve">Janitor / Maintenance </v>
      </c>
      <c r="C314" s="582">
        <f t="shared" si="79"/>
        <v>194052.29652899998</v>
      </c>
      <c r="D314" s="231"/>
      <c r="E314" s="231"/>
      <c r="F314" s="231"/>
      <c r="G314" s="1286">
        <f t="shared" si="80"/>
        <v>0</v>
      </c>
      <c r="H314" s="1286">
        <f t="shared" si="81"/>
        <v>30000</v>
      </c>
      <c r="I314" s="1286">
        <f t="shared" si="82"/>
        <v>30900</v>
      </c>
      <c r="J314" s="1286">
        <f t="shared" si="82"/>
        <v>31827</v>
      </c>
      <c r="K314" s="1286">
        <f t="shared" si="82"/>
        <v>32781.81</v>
      </c>
      <c r="L314" s="1286">
        <f t="shared" si="82"/>
        <v>33765.264299999995</v>
      </c>
      <c r="M314" s="1286">
        <f t="shared" si="82"/>
        <v>34778.222228999992</v>
      </c>
      <c r="R314" s="282"/>
      <c r="S314" s="282"/>
      <c r="T314" s="282"/>
      <c r="U314" s="282"/>
      <c r="V314" s="282"/>
      <c r="W314" s="282"/>
      <c r="X314" s="282"/>
      <c r="Y314" s="282"/>
      <c r="Z314" s="282"/>
      <c r="AA314" s="282"/>
    </row>
    <row r="315" spans="1:27" outlineLevel="1">
      <c r="A315" s="276">
        <f t="shared" si="83"/>
        <v>158</v>
      </c>
      <c r="B315" s="705" t="str">
        <f t="shared" si="78"/>
        <v xml:space="preserve">Janitor / Maintenance </v>
      </c>
      <c r="C315" s="582">
        <f t="shared" si="79"/>
        <v>133152.29652899998</v>
      </c>
      <c r="D315" s="231"/>
      <c r="E315" s="231"/>
      <c r="F315" s="231"/>
      <c r="G315" s="1286">
        <f t="shared" si="80"/>
        <v>0</v>
      </c>
      <c r="H315" s="1286">
        <f t="shared" si="81"/>
        <v>0</v>
      </c>
      <c r="I315" s="1286">
        <f t="shared" si="82"/>
        <v>0</v>
      </c>
      <c r="J315" s="1286">
        <f t="shared" si="82"/>
        <v>31827</v>
      </c>
      <c r="K315" s="1286">
        <f t="shared" si="82"/>
        <v>32781.81</v>
      </c>
      <c r="L315" s="1286">
        <f t="shared" si="82"/>
        <v>33765.264299999995</v>
      </c>
      <c r="M315" s="1286">
        <f t="shared" si="82"/>
        <v>34778.222228999992</v>
      </c>
      <c r="R315" s="282"/>
      <c r="S315" s="282"/>
      <c r="T315" s="282"/>
      <c r="U315" s="282"/>
      <c r="V315" s="282"/>
      <c r="W315" s="282"/>
      <c r="X315" s="282"/>
      <c r="Y315" s="282"/>
      <c r="Z315" s="282"/>
      <c r="AA315" s="282"/>
    </row>
    <row r="316" spans="1:27" outlineLevel="1">
      <c r="A316" s="276">
        <f t="shared" si="83"/>
        <v>159</v>
      </c>
      <c r="B316" s="705">
        <f t="shared" si="78"/>
        <v>0</v>
      </c>
      <c r="C316" s="582">
        <f t="shared" si="79"/>
        <v>0</v>
      </c>
      <c r="D316" s="231"/>
      <c r="E316" s="231"/>
      <c r="F316" s="231"/>
      <c r="G316" s="1286">
        <f t="shared" si="80"/>
        <v>0</v>
      </c>
      <c r="H316" s="1286">
        <f t="shared" si="81"/>
        <v>0</v>
      </c>
      <c r="I316" s="1286">
        <f t="shared" si="82"/>
        <v>0</v>
      </c>
      <c r="J316" s="1286">
        <f t="shared" si="82"/>
        <v>0</v>
      </c>
      <c r="K316" s="1286">
        <f t="shared" si="82"/>
        <v>0</v>
      </c>
      <c r="L316" s="1286">
        <f t="shared" si="82"/>
        <v>0</v>
      </c>
      <c r="M316" s="1286">
        <f t="shared" si="82"/>
        <v>0</v>
      </c>
      <c r="R316" s="282"/>
      <c r="S316" s="282"/>
      <c r="T316" s="282"/>
      <c r="U316" s="282"/>
      <c r="V316" s="282"/>
      <c r="W316" s="282"/>
      <c r="X316" s="282"/>
      <c r="Y316" s="282"/>
      <c r="Z316" s="282"/>
      <c r="AA316" s="282"/>
    </row>
    <row r="317" spans="1:27" outlineLevel="1">
      <c r="A317" s="276">
        <f t="shared" si="83"/>
        <v>160</v>
      </c>
      <c r="B317" s="705" t="str">
        <f t="shared" si="78"/>
        <v>Plan Manager</v>
      </c>
      <c r="C317" s="582">
        <f t="shared" si="79"/>
        <v>57963.703714999989</v>
      </c>
      <c r="D317" s="231"/>
      <c r="E317" s="231"/>
      <c r="F317" s="231"/>
      <c r="G317" s="1286">
        <f t="shared" si="80"/>
        <v>0</v>
      </c>
      <c r="H317" s="1286">
        <f t="shared" si="81"/>
        <v>0</v>
      </c>
      <c r="I317" s="1286">
        <f t="shared" si="82"/>
        <v>0</v>
      </c>
      <c r="J317" s="1286">
        <f t="shared" si="82"/>
        <v>0</v>
      </c>
      <c r="K317" s="1286">
        <f t="shared" si="82"/>
        <v>0</v>
      </c>
      <c r="L317" s="1286">
        <f t="shared" si="82"/>
        <v>0</v>
      </c>
      <c r="M317" s="1286">
        <f t="shared" si="82"/>
        <v>57963.703714999989</v>
      </c>
      <c r="R317" s="282"/>
      <c r="S317" s="282"/>
      <c r="T317" s="282"/>
      <c r="U317" s="282"/>
      <c r="V317" s="282"/>
      <c r="W317" s="282"/>
      <c r="X317" s="282"/>
      <c r="Y317" s="282"/>
      <c r="Z317" s="282"/>
      <c r="AA317" s="282"/>
    </row>
    <row r="318" spans="1:27" outlineLevel="1">
      <c r="A318" s="276">
        <f t="shared" si="83"/>
        <v>161</v>
      </c>
      <c r="B318" s="705" t="str">
        <f t="shared" si="78"/>
        <v>IT Support Technician</v>
      </c>
      <c r="C318" s="582">
        <f t="shared" si="79"/>
        <v>194052.29652899998</v>
      </c>
      <c r="D318" s="231"/>
      <c r="E318" s="231"/>
      <c r="F318" s="231"/>
      <c r="G318" s="1286">
        <f t="shared" si="80"/>
        <v>0</v>
      </c>
      <c r="H318" s="1286">
        <f t="shared" si="81"/>
        <v>30000</v>
      </c>
      <c r="I318" s="1286">
        <f t="shared" si="82"/>
        <v>30900</v>
      </c>
      <c r="J318" s="1286">
        <f t="shared" si="82"/>
        <v>31827</v>
      </c>
      <c r="K318" s="1286">
        <f t="shared" si="82"/>
        <v>32781.81</v>
      </c>
      <c r="L318" s="1286">
        <f t="shared" si="82"/>
        <v>33765.264299999995</v>
      </c>
      <c r="M318" s="1286">
        <f t="shared" si="82"/>
        <v>34778.222228999992</v>
      </c>
      <c r="R318" s="282"/>
      <c r="S318" s="282"/>
      <c r="T318" s="282"/>
      <c r="U318" s="282"/>
      <c r="V318" s="282"/>
      <c r="W318" s="282"/>
      <c r="X318" s="282"/>
      <c r="Y318" s="282"/>
      <c r="Z318" s="282"/>
      <c r="AA318" s="282"/>
    </row>
    <row r="319" spans="1:27" outlineLevel="1">
      <c r="A319" s="276">
        <f t="shared" si="83"/>
        <v>162</v>
      </c>
      <c r="B319" s="705" t="str">
        <f t="shared" si="78"/>
        <v>IT Support Technician</v>
      </c>
      <c r="C319" s="582">
        <f t="shared" si="79"/>
        <v>133152.29652899998</v>
      </c>
      <c r="D319" s="231"/>
      <c r="E319" s="231"/>
      <c r="F319" s="231"/>
      <c r="G319" s="1286">
        <f t="shared" si="80"/>
        <v>0</v>
      </c>
      <c r="H319" s="1286">
        <f t="shared" si="81"/>
        <v>0</v>
      </c>
      <c r="I319" s="1286">
        <f t="shared" si="82"/>
        <v>0</v>
      </c>
      <c r="J319" s="1286">
        <f t="shared" si="82"/>
        <v>31827</v>
      </c>
      <c r="K319" s="1286">
        <f t="shared" si="82"/>
        <v>32781.81</v>
      </c>
      <c r="L319" s="1286">
        <f t="shared" si="82"/>
        <v>33765.264299999995</v>
      </c>
      <c r="M319" s="1286">
        <f t="shared" si="82"/>
        <v>34778.222228999992</v>
      </c>
      <c r="R319" s="282"/>
      <c r="S319" s="282"/>
      <c r="T319" s="282"/>
      <c r="U319" s="282"/>
      <c r="V319" s="282"/>
      <c r="W319" s="282"/>
      <c r="X319" s="282"/>
      <c r="Y319" s="282"/>
      <c r="Z319" s="282"/>
      <c r="AA319" s="282"/>
    </row>
    <row r="320" spans="1:27" outlineLevel="1">
      <c r="A320" s="276">
        <f t="shared" si="83"/>
        <v>163</v>
      </c>
      <c r="B320" s="705" t="str">
        <f t="shared" si="78"/>
        <v>Parent Coordinator</v>
      </c>
      <c r="C320" s="582">
        <f t="shared" si="79"/>
        <v>191394.34595049999</v>
      </c>
      <c r="D320" s="231"/>
      <c r="E320" s="231"/>
      <c r="F320" s="231"/>
      <c r="G320" s="1286">
        <f t="shared" si="80"/>
        <v>0</v>
      </c>
      <c r="H320" s="1286">
        <f t="shared" si="81"/>
        <v>0</v>
      </c>
      <c r="I320" s="1286">
        <f t="shared" si="82"/>
        <v>36050</v>
      </c>
      <c r="J320" s="1286">
        <f t="shared" si="82"/>
        <v>37131.5</v>
      </c>
      <c r="K320" s="1286">
        <f t="shared" si="82"/>
        <v>38245.445</v>
      </c>
      <c r="L320" s="1286">
        <f t="shared" si="82"/>
        <v>39392.808349999999</v>
      </c>
      <c r="M320" s="1286">
        <f t="shared" si="82"/>
        <v>40574.592600499993</v>
      </c>
      <c r="R320" s="282"/>
      <c r="S320" s="282"/>
      <c r="T320" s="282"/>
      <c r="U320" s="282"/>
      <c r="V320" s="282"/>
      <c r="W320" s="282"/>
      <c r="X320" s="282"/>
      <c r="Y320" s="282"/>
      <c r="Z320" s="282"/>
      <c r="AA320" s="282"/>
    </row>
    <row r="321" spans="1:27">
      <c r="A321" s="276">
        <f t="shared" si="83"/>
        <v>164</v>
      </c>
      <c r="B321" s="708" t="str">
        <f t="shared" si="78"/>
        <v>Total Guidance Counselors/Other</v>
      </c>
      <c r="C321" s="707">
        <f t="shared" si="79"/>
        <v>1399108.2242114998</v>
      </c>
      <c r="D321" s="548"/>
      <c r="E321" s="548"/>
      <c r="F321" s="548"/>
      <c r="G321" s="1287">
        <f t="shared" ref="G321:M321" si="84">SUM(G312:G320)</f>
        <v>0</v>
      </c>
      <c r="H321" s="1287">
        <f t="shared" si="84"/>
        <v>60000</v>
      </c>
      <c r="I321" s="1287">
        <f t="shared" si="84"/>
        <v>149350</v>
      </c>
      <c r="J321" s="1287">
        <f t="shared" si="84"/>
        <v>270529.5</v>
      </c>
      <c r="K321" s="1287">
        <f t="shared" si="84"/>
        <v>278645.38500000001</v>
      </c>
      <c r="L321" s="1287">
        <f t="shared" si="84"/>
        <v>287004.74654999992</v>
      </c>
      <c r="M321" s="1287">
        <f t="shared" si="84"/>
        <v>353578.59266149992</v>
      </c>
      <c r="R321" s="282"/>
      <c r="S321" s="282"/>
      <c r="T321" s="282"/>
      <c r="U321" s="282"/>
      <c r="V321" s="282"/>
      <c r="W321" s="282"/>
      <c r="X321" s="282"/>
      <c r="Y321" s="282"/>
      <c r="Z321" s="282"/>
      <c r="AA321" s="282"/>
    </row>
    <row r="322" spans="1:27">
      <c r="A322" s="276"/>
      <c r="B322" s="221"/>
      <c r="C322" s="231"/>
      <c r="D322" s="231"/>
      <c r="E322" s="231"/>
      <c r="F322" s="231"/>
      <c r="G322" s="1286"/>
      <c r="H322" s="1286"/>
      <c r="I322" s="1286"/>
      <c r="J322" s="1286"/>
      <c r="K322" s="1286"/>
      <c r="L322" s="1286"/>
      <c r="M322" s="1286"/>
      <c r="R322" s="282"/>
      <c r="S322" s="282"/>
      <c r="T322" s="282"/>
      <c r="U322" s="282"/>
      <c r="V322" s="282"/>
      <c r="W322" s="282"/>
      <c r="X322" s="282"/>
      <c r="Y322" s="282"/>
      <c r="Z322" s="282"/>
      <c r="AA322" s="282"/>
    </row>
    <row r="323" spans="1:27" s="428" customFormat="1" outlineLevel="3">
      <c r="A323" s="276">
        <f>ROW(A172)</f>
        <v>172</v>
      </c>
      <c r="B323" s="757">
        <f>$B172</f>
        <v>0</v>
      </c>
      <c r="C323" s="430">
        <f t="shared" ref="C323:C354" si="85">SUM(G323:M323)</f>
        <v>0</v>
      </c>
      <c r="D323" s="430"/>
      <c r="E323" s="430"/>
      <c r="F323" s="430"/>
      <c r="G323" s="1286">
        <f>G172*$E172</f>
        <v>0</v>
      </c>
      <c r="H323" s="1286">
        <f>(H172*$E172)</f>
        <v>0</v>
      </c>
      <c r="I323" s="1286">
        <f t="shared" ref="I323:M325" si="86">(I172*$E172)*$C$46^(I$11-$H$11)</f>
        <v>0</v>
      </c>
      <c r="J323" s="1286">
        <f t="shared" si="86"/>
        <v>0</v>
      </c>
      <c r="K323" s="1286">
        <f t="shared" si="86"/>
        <v>0</v>
      </c>
      <c r="L323" s="1286">
        <f t="shared" si="86"/>
        <v>0</v>
      </c>
      <c r="M323" s="1286">
        <f t="shared" si="86"/>
        <v>0</v>
      </c>
      <c r="R323" s="282"/>
      <c r="S323" s="282"/>
      <c r="T323" s="282"/>
      <c r="U323" s="282"/>
      <c r="V323" s="282"/>
      <c r="W323" s="282"/>
      <c r="X323" s="282"/>
      <c r="Y323" s="282"/>
      <c r="Z323" s="282"/>
      <c r="AA323" s="282"/>
    </row>
    <row r="324" spans="1:27" s="428" customFormat="1" outlineLevel="3">
      <c r="A324" s="276">
        <f t="shared" ref="A324:A387" si="87">ROW(A173)</f>
        <v>173</v>
      </c>
      <c r="B324" s="757">
        <f>$B173</f>
        <v>0</v>
      </c>
      <c r="C324" s="430">
        <f t="shared" si="85"/>
        <v>0</v>
      </c>
      <c r="D324" s="430"/>
      <c r="E324" s="430"/>
      <c r="F324" s="430"/>
      <c r="G324" s="1286">
        <f>G173*$E173</f>
        <v>0</v>
      </c>
      <c r="H324" s="1286">
        <f>(H173*$E173)</f>
        <v>0</v>
      </c>
      <c r="I324" s="1286">
        <f t="shared" si="86"/>
        <v>0</v>
      </c>
      <c r="J324" s="1286">
        <f t="shared" si="86"/>
        <v>0</v>
      </c>
      <c r="K324" s="1286">
        <f t="shared" si="86"/>
        <v>0</v>
      </c>
      <c r="L324" s="1286">
        <f t="shared" si="86"/>
        <v>0</v>
      </c>
      <c r="M324" s="1286">
        <f t="shared" si="86"/>
        <v>0</v>
      </c>
      <c r="R324" s="282"/>
      <c r="S324" s="282"/>
      <c r="T324" s="282"/>
      <c r="U324" s="282"/>
      <c r="V324" s="282"/>
      <c r="W324" s="282"/>
      <c r="X324" s="282"/>
      <c r="Y324" s="282"/>
      <c r="Z324" s="282"/>
      <c r="AA324" s="282"/>
    </row>
    <row r="325" spans="1:27" s="428" customFormat="1" outlineLevel="3">
      <c r="A325" s="276">
        <f t="shared" si="87"/>
        <v>174</v>
      </c>
      <c r="B325" s="757">
        <f>$B174</f>
        <v>0</v>
      </c>
      <c r="C325" s="430">
        <f t="shared" si="85"/>
        <v>0</v>
      </c>
      <c r="D325" s="430"/>
      <c r="E325" s="430"/>
      <c r="F325" s="430"/>
      <c r="G325" s="1286">
        <f>G174*$E174</f>
        <v>0</v>
      </c>
      <c r="H325" s="1286">
        <f>(H174*$E174)</f>
        <v>0</v>
      </c>
      <c r="I325" s="1286">
        <f t="shared" si="86"/>
        <v>0</v>
      </c>
      <c r="J325" s="1286">
        <f t="shared" si="86"/>
        <v>0</v>
      </c>
      <c r="K325" s="1286">
        <f t="shared" si="86"/>
        <v>0</v>
      </c>
      <c r="L325" s="1286">
        <f t="shared" si="86"/>
        <v>0</v>
      </c>
      <c r="M325" s="1286">
        <f t="shared" si="86"/>
        <v>0</v>
      </c>
      <c r="R325" s="282"/>
      <c r="S325" s="282"/>
      <c r="T325" s="282"/>
      <c r="U325" s="282"/>
      <c r="V325" s="282"/>
      <c r="W325" s="282"/>
      <c r="X325" s="282"/>
      <c r="Y325" s="282"/>
      <c r="Z325" s="282"/>
      <c r="AA325" s="282"/>
    </row>
    <row r="326" spans="1:27" s="428" customFormat="1" outlineLevel="3">
      <c r="A326" s="276">
        <f t="shared" si="87"/>
        <v>175</v>
      </c>
      <c r="B326" s="757"/>
      <c r="C326" s="430">
        <f t="shared" si="85"/>
        <v>0</v>
      </c>
      <c r="D326" s="430"/>
      <c r="E326" s="430"/>
      <c r="F326" s="430"/>
      <c r="G326" s="1286"/>
      <c r="H326" s="1286"/>
      <c r="I326" s="1286"/>
      <c r="J326" s="1286"/>
      <c r="K326" s="1286"/>
      <c r="L326" s="1286"/>
      <c r="M326" s="1286"/>
      <c r="R326" s="282"/>
      <c r="S326" s="282"/>
      <c r="T326" s="282"/>
      <c r="U326" s="282"/>
      <c r="V326" s="282"/>
      <c r="W326" s="282"/>
      <c r="X326" s="282"/>
      <c r="Y326" s="282"/>
      <c r="Z326" s="282"/>
      <c r="AA326" s="282"/>
    </row>
    <row r="327" spans="1:27" s="428" customFormat="1" outlineLevel="3">
      <c r="A327" s="276">
        <f t="shared" si="87"/>
        <v>176</v>
      </c>
      <c r="B327" s="757" t="str">
        <f>$B176</f>
        <v>Kindergarten Teacher</v>
      </c>
      <c r="C327" s="430">
        <f t="shared" si="85"/>
        <v>307249.46950424998</v>
      </c>
      <c r="D327" s="430"/>
      <c r="E327" s="430"/>
      <c r="F327" s="430"/>
      <c r="G327" s="1286">
        <f>G176*$E176</f>
        <v>0</v>
      </c>
      <c r="H327" s="1286">
        <f>(H176*$E176)</f>
        <v>47500</v>
      </c>
      <c r="I327" s="1286">
        <f t="shared" ref="I327:M331" si="88">(I176*$E176)*$C$46^(I$11-$H$11)</f>
        <v>48925</v>
      </c>
      <c r="J327" s="1286">
        <f t="shared" si="88"/>
        <v>50392.75</v>
      </c>
      <c r="K327" s="1286">
        <f t="shared" si="88"/>
        <v>51904.532500000001</v>
      </c>
      <c r="L327" s="1286">
        <f t="shared" si="88"/>
        <v>53461.668474999999</v>
      </c>
      <c r="M327" s="1286">
        <f t="shared" si="88"/>
        <v>55065.518529249995</v>
      </c>
      <c r="R327" s="282"/>
      <c r="S327" s="282"/>
      <c r="T327" s="282"/>
      <c r="U327" s="282"/>
      <c r="V327" s="282"/>
      <c r="W327" s="282"/>
      <c r="X327" s="282"/>
      <c r="Y327" s="282"/>
      <c r="Z327" s="282"/>
      <c r="AA327" s="282"/>
    </row>
    <row r="328" spans="1:27" s="428" customFormat="1" outlineLevel="3">
      <c r="A328" s="276">
        <f t="shared" si="87"/>
        <v>177</v>
      </c>
      <c r="B328" s="757" t="str">
        <f>$B177</f>
        <v>Kindergarten Teacher</v>
      </c>
      <c r="C328" s="430">
        <f t="shared" si="85"/>
        <v>307249.46950424998</v>
      </c>
      <c r="D328" s="430"/>
      <c r="E328" s="430"/>
      <c r="F328" s="430"/>
      <c r="G328" s="1286">
        <f>G177*$E177</f>
        <v>0</v>
      </c>
      <c r="H328" s="1286">
        <f>(H177*$E177)</f>
        <v>47500</v>
      </c>
      <c r="I328" s="1286">
        <f t="shared" si="88"/>
        <v>48925</v>
      </c>
      <c r="J328" s="1286">
        <f t="shared" si="88"/>
        <v>50392.75</v>
      </c>
      <c r="K328" s="1286">
        <f t="shared" si="88"/>
        <v>51904.532500000001</v>
      </c>
      <c r="L328" s="1286">
        <f t="shared" si="88"/>
        <v>53461.668474999999</v>
      </c>
      <c r="M328" s="1286">
        <f t="shared" si="88"/>
        <v>55065.518529249995</v>
      </c>
      <c r="R328" s="282"/>
      <c r="S328" s="282"/>
      <c r="T328" s="282"/>
      <c r="U328" s="282"/>
      <c r="V328" s="282"/>
      <c r="W328" s="282"/>
      <c r="X328" s="282"/>
      <c r="Y328" s="282"/>
      <c r="Z328" s="282"/>
      <c r="AA328" s="282"/>
    </row>
    <row r="329" spans="1:27" s="428" customFormat="1" outlineLevel="3">
      <c r="A329" s="276">
        <f t="shared" si="87"/>
        <v>178</v>
      </c>
      <c r="B329" s="757" t="str">
        <f>$B178</f>
        <v>Kindergarten Teacher</v>
      </c>
      <c r="C329" s="430">
        <f t="shared" si="85"/>
        <v>307249.46950424998</v>
      </c>
      <c r="D329" s="430"/>
      <c r="E329" s="430"/>
      <c r="F329" s="430"/>
      <c r="G329" s="1286">
        <f>G178*$E178</f>
        <v>0</v>
      </c>
      <c r="H329" s="1286">
        <f>(H178*$E178)</f>
        <v>47500</v>
      </c>
      <c r="I329" s="1286">
        <f t="shared" si="88"/>
        <v>48925</v>
      </c>
      <c r="J329" s="1286">
        <f t="shared" si="88"/>
        <v>50392.75</v>
      </c>
      <c r="K329" s="1286">
        <f t="shared" si="88"/>
        <v>51904.532500000001</v>
      </c>
      <c r="L329" s="1286">
        <f t="shared" si="88"/>
        <v>53461.668474999999</v>
      </c>
      <c r="M329" s="1286">
        <f t="shared" si="88"/>
        <v>55065.518529249995</v>
      </c>
      <c r="R329" s="282"/>
      <c r="S329" s="282"/>
      <c r="T329" s="282"/>
      <c r="U329" s="282"/>
      <c r="V329" s="282"/>
      <c r="W329" s="282"/>
      <c r="X329" s="282"/>
      <c r="Y329" s="282"/>
      <c r="Z329" s="282"/>
      <c r="AA329" s="282"/>
    </row>
    <row r="330" spans="1:27" s="428" customFormat="1" outlineLevel="3">
      <c r="A330" s="276">
        <f t="shared" si="87"/>
        <v>179</v>
      </c>
      <c r="B330" s="757">
        <f>$B179</f>
        <v>0</v>
      </c>
      <c r="C330" s="430">
        <f t="shared" si="85"/>
        <v>0</v>
      </c>
      <c r="D330" s="430"/>
      <c r="E330" s="430"/>
      <c r="F330" s="430"/>
      <c r="G330" s="1286">
        <f>G179*$E179</f>
        <v>0</v>
      </c>
      <c r="H330" s="1286">
        <f>(H179*$E179)</f>
        <v>0</v>
      </c>
      <c r="I330" s="1286">
        <f t="shared" si="88"/>
        <v>0</v>
      </c>
      <c r="J330" s="1286">
        <f t="shared" si="88"/>
        <v>0</v>
      </c>
      <c r="K330" s="1286">
        <f t="shared" si="88"/>
        <v>0</v>
      </c>
      <c r="L330" s="1286">
        <f t="shared" si="88"/>
        <v>0</v>
      </c>
      <c r="M330" s="1286">
        <f t="shared" si="88"/>
        <v>0</v>
      </c>
      <c r="R330" s="282"/>
      <c r="S330" s="282"/>
      <c r="T330" s="282"/>
      <c r="U330" s="282"/>
      <c r="V330" s="282"/>
      <c r="W330" s="282"/>
      <c r="X330" s="282"/>
      <c r="Y330" s="282"/>
      <c r="Z330" s="282"/>
      <c r="AA330" s="282"/>
    </row>
    <row r="331" spans="1:27" s="431" customFormat="1" outlineLevel="3">
      <c r="A331" s="276">
        <f t="shared" si="87"/>
        <v>180</v>
      </c>
      <c r="B331" s="757">
        <f>$B180</f>
        <v>0</v>
      </c>
      <c r="C331" s="430">
        <f t="shared" si="85"/>
        <v>0</v>
      </c>
      <c r="D331" s="430"/>
      <c r="E331" s="430"/>
      <c r="F331" s="430"/>
      <c r="G331" s="1286">
        <f>G180*$E180</f>
        <v>0</v>
      </c>
      <c r="H331" s="1286">
        <f>(H180*$E180)</f>
        <v>0</v>
      </c>
      <c r="I331" s="1286">
        <f t="shared" si="88"/>
        <v>0</v>
      </c>
      <c r="J331" s="1286">
        <f t="shared" si="88"/>
        <v>0</v>
      </c>
      <c r="K331" s="1286">
        <f t="shared" si="88"/>
        <v>0</v>
      </c>
      <c r="L331" s="1286">
        <f t="shared" si="88"/>
        <v>0</v>
      </c>
      <c r="M331" s="1286">
        <f t="shared" si="88"/>
        <v>0</v>
      </c>
      <c r="R331" s="282"/>
      <c r="S331" s="282"/>
      <c r="T331" s="282"/>
      <c r="U331" s="282"/>
      <c r="V331" s="282"/>
      <c r="W331" s="282"/>
      <c r="X331" s="282"/>
      <c r="Y331" s="282"/>
      <c r="Z331" s="282"/>
      <c r="AA331" s="282"/>
    </row>
    <row r="332" spans="1:27" s="431" customFormat="1" outlineLevel="3">
      <c r="A332" s="276">
        <f t="shared" si="87"/>
        <v>181</v>
      </c>
      <c r="B332" s="757"/>
      <c r="C332" s="430">
        <f t="shared" si="85"/>
        <v>0</v>
      </c>
      <c r="D332" s="430"/>
      <c r="E332" s="430"/>
      <c r="F332" s="430"/>
      <c r="G332" s="1286"/>
      <c r="H332" s="1286"/>
      <c r="I332" s="1286"/>
      <c r="J332" s="1286"/>
      <c r="K332" s="1286"/>
      <c r="L332" s="1286"/>
      <c r="M332" s="1286"/>
      <c r="R332" s="282"/>
      <c r="S332" s="282"/>
      <c r="T332" s="282"/>
      <c r="U332" s="282"/>
      <c r="V332" s="282"/>
      <c r="W332" s="282"/>
      <c r="X332" s="282"/>
      <c r="Y332" s="282"/>
      <c r="Z332" s="282"/>
      <c r="AA332" s="282"/>
    </row>
    <row r="333" spans="1:27" s="428" customFormat="1" outlineLevel="3">
      <c r="A333" s="276">
        <f t="shared" si="87"/>
        <v>182</v>
      </c>
      <c r="B333" s="757" t="str">
        <f>$B182</f>
        <v>1st Grade Teacher</v>
      </c>
      <c r="C333" s="430">
        <f t="shared" si="85"/>
        <v>307249.46950424998</v>
      </c>
      <c r="D333" s="430"/>
      <c r="E333" s="430"/>
      <c r="F333" s="430"/>
      <c r="G333" s="1286">
        <f>G182*$E182</f>
        <v>0</v>
      </c>
      <c r="H333" s="1286">
        <f>(H182*$E182)</f>
        <v>47500</v>
      </c>
      <c r="I333" s="1286">
        <f t="shared" ref="I333:M337" si="89">(I182*$E182)*$C$46^(I$11-$H$11)</f>
        <v>48925</v>
      </c>
      <c r="J333" s="1286">
        <f t="shared" si="89"/>
        <v>50392.75</v>
      </c>
      <c r="K333" s="1286">
        <f t="shared" si="89"/>
        <v>51904.532500000001</v>
      </c>
      <c r="L333" s="1286">
        <f t="shared" si="89"/>
        <v>53461.668474999999</v>
      </c>
      <c r="M333" s="1286">
        <f t="shared" si="89"/>
        <v>55065.518529249995</v>
      </c>
      <c r="R333" s="282"/>
      <c r="S333" s="282"/>
      <c r="T333" s="282"/>
      <c r="U333" s="282"/>
      <c r="V333" s="282"/>
      <c r="W333" s="282"/>
      <c r="X333" s="282"/>
      <c r="Y333" s="282"/>
      <c r="Z333" s="282"/>
      <c r="AA333" s="282"/>
    </row>
    <row r="334" spans="1:27" s="428" customFormat="1" outlineLevel="3">
      <c r="A334" s="276">
        <f t="shared" si="87"/>
        <v>183</v>
      </c>
      <c r="B334" s="757" t="str">
        <f>$B183</f>
        <v>1st Grade Teacher</v>
      </c>
      <c r="C334" s="430">
        <f t="shared" si="85"/>
        <v>307249.46950424998</v>
      </c>
      <c r="D334" s="430"/>
      <c r="E334" s="430"/>
      <c r="F334" s="430"/>
      <c r="G334" s="1286">
        <f>G183*$E183</f>
        <v>0</v>
      </c>
      <c r="H334" s="1286">
        <f>(H183*$E183)</f>
        <v>47500</v>
      </c>
      <c r="I334" s="1286">
        <f t="shared" si="89"/>
        <v>48925</v>
      </c>
      <c r="J334" s="1286">
        <f t="shared" si="89"/>
        <v>50392.75</v>
      </c>
      <c r="K334" s="1286">
        <f t="shared" si="89"/>
        <v>51904.532500000001</v>
      </c>
      <c r="L334" s="1286">
        <f t="shared" si="89"/>
        <v>53461.668474999999</v>
      </c>
      <c r="M334" s="1286">
        <f t="shared" si="89"/>
        <v>55065.518529249995</v>
      </c>
      <c r="R334" s="282"/>
      <c r="S334" s="282"/>
      <c r="T334" s="282"/>
      <c r="U334" s="282"/>
      <c r="V334" s="282"/>
      <c r="W334" s="282"/>
      <c r="X334" s="282"/>
      <c r="Y334" s="282"/>
      <c r="Z334" s="282"/>
      <c r="AA334" s="282"/>
    </row>
    <row r="335" spans="1:27" s="428" customFormat="1" outlineLevel="3">
      <c r="A335" s="276">
        <f t="shared" si="87"/>
        <v>184</v>
      </c>
      <c r="B335" s="757" t="str">
        <f>$B184</f>
        <v>1st Grade Teacher</v>
      </c>
      <c r="C335" s="430">
        <f t="shared" si="85"/>
        <v>259749.46950424998</v>
      </c>
      <c r="D335" s="430"/>
      <c r="E335" s="430"/>
      <c r="F335" s="430"/>
      <c r="G335" s="1286">
        <f>G184*$E184</f>
        <v>0</v>
      </c>
      <c r="H335" s="1286">
        <f>(H184*$E184)</f>
        <v>0</v>
      </c>
      <c r="I335" s="1286">
        <f t="shared" si="89"/>
        <v>48925</v>
      </c>
      <c r="J335" s="1286">
        <f t="shared" si="89"/>
        <v>50392.75</v>
      </c>
      <c r="K335" s="1286">
        <f t="shared" si="89"/>
        <v>51904.532500000001</v>
      </c>
      <c r="L335" s="1286">
        <f t="shared" si="89"/>
        <v>53461.668474999999</v>
      </c>
      <c r="M335" s="1286">
        <f t="shared" si="89"/>
        <v>55065.518529249995</v>
      </c>
      <c r="R335" s="282"/>
      <c r="S335" s="282"/>
      <c r="T335" s="282"/>
      <c r="U335" s="282"/>
      <c r="V335" s="282"/>
      <c r="W335" s="282"/>
      <c r="X335" s="282"/>
      <c r="Y335" s="282"/>
      <c r="Z335" s="282"/>
      <c r="AA335" s="282"/>
    </row>
    <row r="336" spans="1:27" s="428" customFormat="1" outlineLevel="3">
      <c r="A336" s="276">
        <f t="shared" si="87"/>
        <v>185</v>
      </c>
      <c r="B336" s="757">
        <f>$B185</f>
        <v>0</v>
      </c>
      <c r="C336" s="430">
        <f t="shared" si="85"/>
        <v>0</v>
      </c>
      <c r="D336" s="430"/>
      <c r="E336" s="430"/>
      <c r="F336" s="430"/>
      <c r="G336" s="1286">
        <f>G185*$E185</f>
        <v>0</v>
      </c>
      <c r="H336" s="1286">
        <f>(H185*$E185)</f>
        <v>0</v>
      </c>
      <c r="I336" s="1286">
        <f t="shared" si="89"/>
        <v>0</v>
      </c>
      <c r="J336" s="1286">
        <f t="shared" si="89"/>
        <v>0</v>
      </c>
      <c r="K336" s="1286">
        <f t="shared" si="89"/>
        <v>0</v>
      </c>
      <c r="L336" s="1286">
        <f t="shared" si="89"/>
        <v>0</v>
      </c>
      <c r="M336" s="1286">
        <f t="shared" si="89"/>
        <v>0</v>
      </c>
      <c r="R336" s="282"/>
      <c r="S336" s="282"/>
      <c r="T336" s="282"/>
      <c r="U336" s="282"/>
      <c r="V336" s="282"/>
      <c r="W336" s="282"/>
      <c r="X336" s="282"/>
      <c r="Y336" s="282"/>
      <c r="Z336" s="282"/>
      <c r="AA336" s="282"/>
    </row>
    <row r="337" spans="1:27" s="428" customFormat="1" outlineLevel="3">
      <c r="A337" s="276">
        <f t="shared" si="87"/>
        <v>186</v>
      </c>
      <c r="B337" s="757">
        <f>$B186</f>
        <v>0</v>
      </c>
      <c r="C337" s="430">
        <f t="shared" si="85"/>
        <v>0</v>
      </c>
      <c r="D337" s="430"/>
      <c r="E337" s="430"/>
      <c r="F337" s="430"/>
      <c r="G337" s="1286">
        <f>G186*$E186</f>
        <v>0</v>
      </c>
      <c r="H337" s="1286">
        <f>(H186*$E186)</f>
        <v>0</v>
      </c>
      <c r="I337" s="1286">
        <f t="shared" si="89"/>
        <v>0</v>
      </c>
      <c r="J337" s="1286">
        <f t="shared" si="89"/>
        <v>0</v>
      </c>
      <c r="K337" s="1286">
        <f t="shared" si="89"/>
        <v>0</v>
      </c>
      <c r="L337" s="1286">
        <f t="shared" si="89"/>
        <v>0</v>
      </c>
      <c r="M337" s="1286">
        <f t="shared" si="89"/>
        <v>0</v>
      </c>
      <c r="R337" s="282"/>
      <c r="S337" s="282"/>
      <c r="T337" s="282"/>
      <c r="U337" s="282"/>
      <c r="V337" s="282"/>
      <c r="W337" s="282"/>
      <c r="X337" s="282"/>
      <c r="Y337" s="282"/>
      <c r="Z337" s="282"/>
      <c r="AA337" s="282"/>
    </row>
    <row r="338" spans="1:27" s="428" customFormat="1" outlineLevel="3">
      <c r="A338" s="276">
        <f t="shared" si="87"/>
        <v>187</v>
      </c>
      <c r="B338" s="757"/>
      <c r="C338" s="430">
        <f t="shared" si="85"/>
        <v>0</v>
      </c>
      <c r="D338" s="430"/>
      <c r="E338" s="430"/>
      <c r="F338" s="430"/>
      <c r="G338" s="1286"/>
      <c r="H338" s="1286"/>
      <c r="I338" s="1286"/>
      <c r="J338" s="1286"/>
      <c r="K338" s="1286"/>
      <c r="L338" s="1286"/>
      <c r="M338" s="1286"/>
      <c r="R338" s="282"/>
      <c r="S338" s="282"/>
      <c r="T338" s="282"/>
      <c r="U338" s="282"/>
      <c r="V338" s="282"/>
      <c r="W338" s="282"/>
      <c r="X338" s="282"/>
      <c r="Y338" s="282"/>
      <c r="Z338" s="282"/>
      <c r="AA338" s="282"/>
    </row>
    <row r="339" spans="1:27" s="428" customFormat="1" outlineLevel="3">
      <c r="A339" s="276">
        <f t="shared" si="87"/>
        <v>188</v>
      </c>
      <c r="B339" s="757" t="str">
        <f>$B188</f>
        <v>2nd Grade Teacher</v>
      </c>
      <c r="C339" s="430">
        <f t="shared" si="85"/>
        <v>307249.46950424998</v>
      </c>
      <c r="D339" s="430"/>
      <c r="E339" s="430"/>
      <c r="F339" s="430"/>
      <c r="G339" s="1286">
        <f>G188*$E188</f>
        <v>0</v>
      </c>
      <c r="H339" s="1286">
        <f>(H188*$E188)</f>
        <v>47500</v>
      </c>
      <c r="I339" s="1286">
        <f t="shared" ref="I339:M343" si="90">(I188*$E188)*$C$46^(I$11-$H$11)</f>
        <v>48925</v>
      </c>
      <c r="J339" s="1286">
        <f t="shared" si="90"/>
        <v>50392.75</v>
      </c>
      <c r="K339" s="1286">
        <f t="shared" si="90"/>
        <v>51904.532500000001</v>
      </c>
      <c r="L339" s="1286">
        <f t="shared" si="90"/>
        <v>53461.668474999999</v>
      </c>
      <c r="M339" s="1286">
        <f t="shared" si="90"/>
        <v>55065.518529249995</v>
      </c>
      <c r="R339" s="282"/>
      <c r="S339" s="282"/>
      <c r="T339" s="282"/>
      <c r="U339" s="282"/>
      <c r="V339" s="282"/>
      <c r="W339" s="282"/>
      <c r="X339" s="282"/>
      <c r="Y339" s="282"/>
      <c r="Z339" s="282"/>
      <c r="AA339" s="282"/>
    </row>
    <row r="340" spans="1:27" s="428" customFormat="1" outlineLevel="3">
      <c r="A340" s="276">
        <f t="shared" si="87"/>
        <v>189</v>
      </c>
      <c r="B340" s="757" t="str">
        <f>$B189</f>
        <v>2nd Grade Teacher</v>
      </c>
      <c r="C340" s="430">
        <f t="shared" si="85"/>
        <v>259749.46950424998</v>
      </c>
      <c r="D340" s="430"/>
      <c r="E340" s="430"/>
      <c r="F340" s="430"/>
      <c r="G340" s="1286">
        <f>G189*$E189</f>
        <v>0</v>
      </c>
      <c r="H340" s="1286">
        <f>(H189*$E189)</f>
        <v>0</v>
      </c>
      <c r="I340" s="1286">
        <f t="shared" si="90"/>
        <v>48925</v>
      </c>
      <c r="J340" s="1286">
        <f t="shared" si="90"/>
        <v>50392.75</v>
      </c>
      <c r="K340" s="1286">
        <f t="shared" si="90"/>
        <v>51904.532500000001</v>
      </c>
      <c r="L340" s="1286">
        <f t="shared" si="90"/>
        <v>53461.668474999999</v>
      </c>
      <c r="M340" s="1286">
        <f t="shared" si="90"/>
        <v>55065.518529249995</v>
      </c>
      <c r="R340" s="282"/>
      <c r="S340" s="282"/>
      <c r="T340" s="282"/>
      <c r="U340" s="282"/>
      <c r="V340" s="282"/>
      <c r="W340" s="282"/>
      <c r="X340" s="282"/>
      <c r="Y340" s="282"/>
      <c r="Z340" s="282"/>
      <c r="AA340" s="282"/>
    </row>
    <row r="341" spans="1:27" s="428" customFormat="1" outlineLevel="3">
      <c r="A341" s="276">
        <f t="shared" si="87"/>
        <v>190</v>
      </c>
      <c r="B341" s="757" t="str">
        <f>$B190</f>
        <v>2nd Grade Teacher</v>
      </c>
      <c r="C341" s="430">
        <f t="shared" si="85"/>
        <v>210824.46950424998</v>
      </c>
      <c r="D341" s="430"/>
      <c r="E341" s="430"/>
      <c r="F341" s="430"/>
      <c r="G341" s="1286">
        <f>G190*$E190</f>
        <v>0</v>
      </c>
      <c r="H341" s="1286">
        <f>(H190*$E190)</f>
        <v>0</v>
      </c>
      <c r="I341" s="1286">
        <f t="shared" si="90"/>
        <v>0</v>
      </c>
      <c r="J341" s="1286">
        <f t="shared" si="90"/>
        <v>50392.75</v>
      </c>
      <c r="K341" s="1286">
        <f t="shared" si="90"/>
        <v>51904.532500000001</v>
      </c>
      <c r="L341" s="1286">
        <f t="shared" si="90"/>
        <v>53461.668474999999</v>
      </c>
      <c r="M341" s="1286">
        <f t="shared" si="90"/>
        <v>55065.518529249995</v>
      </c>
      <c r="R341" s="282"/>
      <c r="S341" s="282"/>
      <c r="T341" s="282"/>
      <c r="U341" s="282"/>
      <c r="V341" s="282"/>
      <c r="W341" s="282"/>
      <c r="X341" s="282"/>
      <c r="Y341" s="282"/>
      <c r="Z341" s="282"/>
      <c r="AA341" s="282"/>
    </row>
    <row r="342" spans="1:27" s="428" customFormat="1" outlineLevel="3">
      <c r="A342" s="276">
        <f t="shared" si="87"/>
        <v>191</v>
      </c>
      <c r="B342" s="757">
        <f>$B191</f>
        <v>0</v>
      </c>
      <c r="C342" s="430">
        <f t="shared" si="85"/>
        <v>0</v>
      </c>
      <c r="D342" s="430"/>
      <c r="E342" s="430"/>
      <c r="F342" s="430"/>
      <c r="G342" s="1286">
        <f>G191*$E191</f>
        <v>0</v>
      </c>
      <c r="H342" s="1286">
        <f>(H191*$E191)</f>
        <v>0</v>
      </c>
      <c r="I342" s="1286">
        <f t="shared" si="90"/>
        <v>0</v>
      </c>
      <c r="J342" s="1286">
        <f t="shared" si="90"/>
        <v>0</v>
      </c>
      <c r="K342" s="1286">
        <f t="shared" si="90"/>
        <v>0</v>
      </c>
      <c r="L342" s="1286">
        <f t="shared" si="90"/>
        <v>0</v>
      </c>
      <c r="M342" s="1286">
        <f t="shared" si="90"/>
        <v>0</v>
      </c>
      <c r="R342" s="282"/>
      <c r="S342" s="282"/>
      <c r="T342" s="282"/>
      <c r="U342" s="282"/>
      <c r="V342" s="282"/>
      <c r="W342" s="282"/>
      <c r="X342" s="282"/>
      <c r="Y342" s="282"/>
      <c r="Z342" s="282"/>
      <c r="AA342" s="282"/>
    </row>
    <row r="343" spans="1:27" s="431" customFormat="1" outlineLevel="3">
      <c r="A343" s="276">
        <f t="shared" si="87"/>
        <v>192</v>
      </c>
      <c r="B343" s="757">
        <f>$B192</f>
        <v>0</v>
      </c>
      <c r="C343" s="430">
        <f t="shared" si="85"/>
        <v>0</v>
      </c>
      <c r="D343" s="430"/>
      <c r="E343" s="430"/>
      <c r="F343" s="430"/>
      <c r="G343" s="1286">
        <f>G192*$E192</f>
        <v>0</v>
      </c>
      <c r="H343" s="1286">
        <f>(H192*$E192)</f>
        <v>0</v>
      </c>
      <c r="I343" s="1286">
        <f t="shared" si="90"/>
        <v>0</v>
      </c>
      <c r="J343" s="1286">
        <f t="shared" si="90"/>
        <v>0</v>
      </c>
      <c r="K343" s="1286">
        <f t="shared" si="90"/>
        <v>0</v>
      </c>
      <c r="L343" s="1286">
        <f t="shared" si="90"/>
        <v>0</v>
      </c>
      <c r="M343" s="1286">
        <f t="shared" si="90"/>
        <v>0</v>
      </c>
      <c r="R343" s="282"/>
      <c r="S343" s="282"/>
      <c r="T343" s="282"/>
      <c r="U343" s="282"/>
      <c r="V343" s="282"/>
      <c r="W343" s="282"/>
      <c r="X343" s="282"/>
      <c r="Y343" s="282"/>
      <c r="Z343" s="282"/>
      <c r="AA343" s="282"/>
    </row>
    <row r="344" spans="1:27" s="431" customFormat="1" outlineLevel="3">
      <c r="A344" s="276">
        <f t="shared" si="87"/>
        <v>193</v>
      </c>
      <c r="B344" s="757"/>
      <c r="C344" s="430">
        <f t="shared" si="85"/>
        <v>0</v>
      </c>
      <c r="D344" s="430"/>
      <c r="E344" s="430"/>
      <c r="F344" s="430"/>
      <c r="G344" s="1286"/>
      <c r="H344" s="1286"/>
      <c r="I344" s="1286"/>
      <c r="J344" s="1286"/>
      <c r="K344" s="1286"/>
      <c r="L344" s="1286"/>
      <c r="M344" s="1286"/>
      <c r="R344" s="282"/>
      <c r="S344" s="282"/>
      <c r="T344" s="282"/>
      <c r="U344" s="282"/>
      <c r="V344" s="282"/>
      <c r="W344" s="282"/>
      <c r="X344" s="282"/>
      <c r="Y344" s="282"/>
      <c r="Z344" s="282"/>
      <c r="AA344" s="282"/>
    </row>
    <row r="345" spans="1:27" s="428" customFormat="1" outlineLevel="3">
      <c r="A345" s="276">
        <f t="shared" si="87"/>
        <v>194</v>
      </c>
      <c r="B345" s="757" t="str">
        <f>$B194</f>
        <v>3rd Grade Teacher</v>
      </c>
      <c r="C345" s="430">
        <f t="shared" si="85"/>
        <v>307249.46950424998</v>
      </c>
      <c r="D345" s="430"/>
      <c r="E345" s="430"/>
      <c r="F345" s="430"/>
      <c r="G345" s="1286">
        <f>G194*$E194</f>
        <v>0</v>
      </c>
      <c r="H345" s="1286">
        <f>(H194*$E194)</f>
        <v>47500</v>
      </c>
      <c r="I345" s="1286">
        <f t="shared" ref="I345:M349" si="91">(I194*$E194)*$C$46^(I$11-$H$11)</f>
        <v>48925</v>
      </c>
      <c r="J345" s="1286">
        <f t="shared" si="91"/>
        <v>50392.75</v>
      </c>
      <c r="K345" s="1286">
        <f t="shared" si="91"/>
        <v>51904.532500000001</v>
      </c>
      <c r="L345" s="1286">
        <f t="shared" si="91"/>
        <v>53461.668474999999</v>
      </c>
      <c r="M345" s="1286">
        <f t="shared" si="91"/>
        <v>55065.518529249995</v>
      </c>
      <c r="R345" s="282"/>
      <c r="S345" s="282"/>
      <c r="T345" s="282"/>
      <c r="U345" s="282"/>
      <c r="V345" s="282"/>
      <c r="W345" s="282"/>
      <c r="X345" s="282"/>
      <c r="Y345" s="282"/>
      <c r="Z345" s="282"/>
      <c r="AA345" s="282"/>
    </row>
    <row r="346" spans="1:27" s="428" customFormat="1" outlineLevel="3">
      <c r="A346" s="276">
        <f t="shared" si="87"/>
        <v>195</v>
      </c>
      <c r="B346" s="757" t="str">
        <f>$B195</f>
        <v>3rd Grade Teacher</v>
      </c>
      <c r="C346" s="430">
        <f t="shared" si="85"/>
        <v>210824.46950424998</v>
      </c>
      <c r="D346" s="430"/>
      <c r="E346" s="430"/>
      <c r="F346" s="430"/>
      <c r="G346" s="1286">
        <f>G195*$E195</f>
        <v>0</v>
      </c>
      <c r="H346" s="1286">
        <f>(H195*$E195)</f>
        <v>0</v>
      </c>
      <c r="I346" s="1286">
        <f t="shared" si="91"/>
        <v>0</v>
      </c>
      <c r="J346" s="1286">
        <f t="shared" si="91"/>
        <v>50392.75</v>
      </c>
      <c r="K346" s="1286">
        <f t="shared" si="91"/>
        <v>51904.532500000001</v>
      </c>
      <c r="L346" s="1286">
        <f t="shared" si="91"/>
        <v>53461.668474999999</v>
      </c>
      <c r="M346" s="1286">
        <f t="shared" si="91"/>
        <v>55065.518529249995</v>
      </c>
      <c r="R346" s="282"/>
      <c r="S346" s="282"/>
      <c r="T346" s="282"/>
      <c r="U346" s="282"/>
      <c r="V346" s="282"/>
      <c r="W346" s="282"/>
      <c r="X346" s="282"/>
      <c r="Y346" s="282"/>
      <c r="Z346" s="282"/>
      <c r="AA346" s="282"/>
    </row>
    <row r="347" spans="1:27" s="428" customFormat="1" outlineLevel="3">
      <c r="A347" s="276">
        <f t="shared" si="87"/>
        <v>196</v>
      </c>
      <c r="B347" s="757" t="str">
        <f>$B196</f>
        <v>3rd Grade Teacher</v>
      </c>
      <c r="C347" s="430">
        <f t="shared" si="85"/>
        <v>160431.71950424998</v>
      </c>
      <c r="D347" s="430"/>
      <c r="E347" s="430"/>
      <c r="F347" s="430"/>
      <c r="G347" s="1286">
        <f>G196*$E196</f>
        <v>0</v>
      </c>
      <c r="H347" s="1286">
        <f>(H196*$E196)</f>
        <v>0</v>
      </c>
      <c r="I347" s="1286">
        <f t="shared" si="91"/>
        <v>0</v>
      </c>
      <c r="J347" s="1286">
        <f t="shared" si="91"/>
        <v>0</v>
      </c>
      <c r="K347" s="1286">
        <f t="shared" si="91"/>
        <v>51904.532500000001</v>
      </c>
      <c r="L347" s="1286">
        <f t="shared" si="91"/>
        <v>53461.668474999999</v>
      </c>
      <c r="M347" s="1286">
        <f t="shared" si="91"/>
        <v>55065.518529249995</v>
      </c>
      <c r="R347" s="282"/>
      <c r="S347" s="282"/>
      <c r="T347" s="282"/>
      <c r="U347" s="282"/>
      <c r="V347" s="282"/>
      <c r="W347" s="282"/>
      <c r="X347" s="282"/>
      <c r="Y347" s="282"/>
      <c r="Z347" s="282"/>
      <c r="AA347" s="282"/>
    </row>
    <row r="348" spans="1:27" s="428" customFormat="1" outlineLevel="3">
      <c r="A348" s="276">
        <f t="shared" si="87"/>
        <v>197</v>
      </c>
      <c r="B348" s="757">
        <f>$B197</f>
        <v>0</v>
      </c>
      <c r="C348" s="430">
        <f t="shared" si="85"/>
        <v>0</v>
      </c>
      <c r="D348" s="430"/>
      <c r="E348" s="430"/>
      <c r="F348" s="430"/>
      <c r="G348" s="1286">
        <f>G197*$E197</f>
        <v>0</v>
      </c>
      <c r="H348" s="1286">
        <f>(H197*$E197)</f>
        <v>0</v>
      </c>
      <c r="I348" s="1286">
        <f t="shared" si="91"/>
        <v>0</v>
      </c>
      <c r="J348" s="1286">
        <f t="shared" si="91"/>
        <v>0</v>
      </c>
      <c r="K348" s="1286">
        <f t="shared" si="91"/>
        <v>0</v>
      </c>
      <c r="L348" s="1286">
        <f t="shared" si="91"/>
        <v>0</v>
      </c>
      <c r="M348" s="1286">
        <f t="shared" si="91"/>
        <v>0</v>
      </c>
      <c r="R348" s="282"/>
      <c r="S348" s="282"/>
      <c r="T348" s="282"/>
      <c r="U348" s="282"/>
      <c r="V348" s="282"/>
      <c r="W348" s="282"/>
      <c r="X348" s="282"/>
      <c r="Y348" s="282"/>
      <c r="Z348" s="282"/>
      <c r="AA348" s="282"/>
    </row>
    <row r="349" spans="1:27" s="428" customFormat="1" outlineLevel="3">
      <c r="A349" s="276">
        <f t="shared" si="87"/>
        <v>198</v>
      </c>
      <c r="B349" s="757">
        <f>$B198</f>
        <v>0</v>
      </c>
      <c r="C349" s="430">
        <f t="shared" si="85"/>
        <v>0</v>
      </c>
      <c r="D349" s="430"/>
      <c r="E349" s="430"/>
      <c r="F349" s="430"/>
      <c r="G349" s="1286">
        <f>G198*$E198</f>
        <v>0</v>
      </c>
      <c r="H349" s="1286">
        <f>(H198*$E198)</f>
        <v>0</v>
      </c>
      <c r="I349" s="1286">
        <f t="shared" si="91"/>
        <v>0</v>
      </c>
      <c r="J349" s="1286">
        <f t="shared" si="91"/>
        <v>0</v>
      </c>
      <c r="K349" s="1286">
        <f t="shared" si="91"/>
        <v>0</v>
      </c>
      <c r="L349" s="1286">
        <f t="shared" si="91"/>
        <v>0</v>
      </c>
      <c r="M349" s="1286">
        <f t="shared" si="91"/>
        <v>0</v>
      </c>
      <c r="R349" s="282"/>
      <c r="S349" s="282"/>
      <c r="T349" s="282"/>
      <c r="U349" s="282"/>
      <c r="V349" s="282"/>
      <c r="W349" s="282"/>
      <c r="X349" s="282"/>
      <c r="Y349" s="282"/>
      <c r="Z349" s="282"/>
      <c r="AA349" s="282"/>
    </row>
    <row r="350" spans="1:27" s="428" customFormat="1" outlineLevel="3">
      <c r="A350" s="276">
        <f t="shared" si="87"/>
        <v>199</v>
      </c>
      <c r="B350" s="757"/>
      <c r="C350" s="430">
        <f t="shared" si="85"/>
        <v>0</v>
      </c>
      <c r="D350" s="430"/>
      <c r="E350" s="430"/>
      <c r="F350" s="430"/>
      <c r="G350" s="1286"/>
      <c r="H350" s="1286"/>
      <c r="I350" s="1286"/>
      <c r="J350" s="1286"/>
      <c r="K350" s="1286"/>
      <c r="L350" s="1286"/>
      <c r="M350" s="1286"/>
      <c r="R350" s="282"/>
      <c r="S350" s="282"/>
      <c r="T350" s="282"/>
      <c r="U350" s="282"/>
      <c r="V350" s="282"/>
      <c r="W350" s="282"/>
      <c r="X350" s="282"/>
      <c r="Y350" s="282"/>
      <c r="Z350" s="282"/>
      <c r="AA350" s="282"/>
    </row>
    <row r="351" spans="1:27" s="428" customFormat="1" outlineLevel="3">
      <c r="A351" s="276">
        <f t="shared" si="87"/>
        <v>200</v>
      </c>
      <c r="B351" s="757" t="str">
        <f>$B200</f>
        <v>4th Grade Teacher</v>
      </c>
      <c r="C351" s="430">
        <f t="shared" si="85"/>
        <v>307249.46950424998</v>
      </c>
      <c r="D351" s="430"/>
      <c r="E351" s="430"/>
      <c r="F351" s="430"/>
      <c r="G351" s="1286">
        <f>G200*$E200</f>
        <v>0</v>
      </c>
      <c r="H351" s="1286">
        <f>(H200*$E200)</f>
        <v>47500</v>
      </c>
      <c r="I351" s="1286">
        <f t="shared" ref="I351:M355" si="92">(I200*$E200)*$C$46^(I$11-$H$11)</f>
        <v>48925</v>
      </c>
      <c r="J351" s="1286">
        <f t="shared" si="92"/>
        <v>50392.75</v>
      </c>
      <c r="K351" s="1286">
        <f t="shared" si="92"/>
        <v>51904.532500000001</v>
      </c>
      <c r="L351" s="1286">
        <f t="shared" si="92"/>
        <v>53461.668474999999</v>
      </c>
      <c r="M351" s="1286">
        <f t="shared" si="92"/>
        <v>55065.518529249995</v>
      </c>
      <c r="R351" s="282"/>
      <c r="S351" s="282"/>
      <c r="T351" s="282"/>
      <c r="U351" s="282"/>
      <c r="V351" s="282"/>
      <c r="W351" s="282"/>
      <c r="X351" s="282"/>
      <c r="Y351" s="282"/>
      <c r="Z351" s="282"/>
      <c r="AA351" s="282"/>
    </row>
    <row r="352" spans="1:27" s="428" customFormat="1" outlineLevel="3">
      <c r="A352" s="276">
        <f t="shared" si="87"/>
        <v>201</v>
      </c>
      <c r="B352" s="757" t="str">
        <f>$B201</f>
        <v>4th Grade Teacher</v>
      </c>
      <c r="C352" s="430">
        <f t="shared" si="85"/>
        <v>160431.71950424998</v>
      </c>
      <c r="D352" s="430"/>
      <c r="E352" s="430"/>
      <c r="F352" s="430"/>
      <c r="G352" s="1286">
        <f>G201*$E201</f>
        <v>0</v>
      </c>
      <c r="H352" s="1286">
        <f>(H201*$E201)</f>
        <v>0</v>
      </c>
      <c r="I352" s="1286">
        <f t="shared" si="92"/>
        <v>0</v>
      </c>
      <c r="J352" s="1286">
        <f t="shared" si="92"/>
        <v>0</v>
      </c>
      <c r="K352" s="1286">
        <f t="shared" si="92"/>
        <v>51904.532500000001</v>
      </c>
      <c r="L352" s="1286">
        <f t="shared" si="92"/>
        <v>53461.668474999999</v>
      </c>
      <c r="M352" s="1286">
        <f t="shared" si="92"/>
        <v>55065.518529249995</v>
      </c>
      <c r="R352" s="282"/>
      <c r="S352" s="282"/>
      <c r="T352" s="282"/>
      <c r="U352" s="282"/>
      <c r="V352" s="282"/>
      <c r="W352" s="282"/>
      <c r="X352" s="282"/>
      <c r="Y352" s="282"/>
      <c r="Z352" s="282"/>
      <c r="AA352" s="282"/>
    </row>
    <row r="353" spans="1:27" s="428" customFormat="1" outlineLevel="3">
      <c r="A353" s="276">
        <f t="shared" si="87"/>
        <v>202</v>
      </c>
      <c r="B353" s="757" t="str">
        <f>$B202</f>
        <v>4th Grade Teacher</v>
      </c>
      <c r="C353" s="430">
        <f t="shared" si="85"/>
        <v>108527.18700424999</v>
      </c>
      <c r="D353" s="430"/>
      <c r="E353" s="430"/>
      <c r="F353" s="430"/>
      <c r="G353" s="1286">
        <f>G202*$E202</f>
        <v>0</v>
      </c>
      <c r="H353" s="1286">
        <f>(H202*$E202)</f>
        <v>0</v>
      </c>
      <c r="I353" s="1286">
        <f t="shared" si="92"/>
        <v>0</v>
      </c>
      <c r="J353" s="1286">
        <f t="shared" si="92"/>
        <v>0</v>
      </c>
      <c r="K353" s="1286">
        <f t="shared" si="92"/>
        <v>0</v>
      </c>
      <c r="L353" s="1286">
        <f t="shared" si="92"/>
        <v>53461.668474999999</v>
      </c>
      <c r="M353" s="1286">
        <f t="shared" si="92"/>
        <v>55065.518529249995</v>
      </c>
      <c r="R353" s="282"/>
      <c r="S353" s="282"/>
      <c r="T353" s="282"/>
      <c r="U353" s="282"/>
      <c r="V353" s="282"/>
      <c r="W353" s="282"/>
      <c r="X353" s="282"/>
      <c r="Y353" s="282"/>
      <c r="Z353" s="282"/>
      <c r="AA353" s="282"/>
    </row>
    <row r="354" spans="1:27" s="428" customFormat="1" outlineLevel="3">
      <c r="A354" s="276">
        <f t="shared" si="87"/>
        <v>203</v>
      </c>
      <c r="B354" s="757">
        <f>$B203</f>
        <v>0</v>
      </c>
      <c r="C354" s="430">
        <f t="shared" si="85"/>
        <v>0</v>
      </c>
      <c r="D354" s="430"/>
      <c r="E354" s="430"/>
      <c r="F354" s="430"/>
      <c r="G354" s="1286">
        <f>G203*$E203</f>
        <v>0</v>
      </c>
      <c r="H354" s="1286">
        <f>(H203*$E203)</f>
        <v>0</v>
      </c>
      <c r="I354" s="1286">
        <f t="shared" si="92"/>
        <v>0</v>
      </c>
      <c r="J354" s="1286">
        <f t="shared" si="92"/>
        <v>0</v>
      </c>
      <c r="K354" s="1286">
        <f t="shared" si="92"/>
        <v>0</v>
      </c>
      <c r="L354" s="1286">
        <f t="shared" si="92"/>
        <v>0</v>
      </c>
      <c r="M354" s="1286">
        <f t="shared" si="92"/>
        <v>0</v>
      </c>
      <c r="R354" s="282"/>
      <c r="S354" s="282"/>
      <c r="T354" s="282"/>
      <c r="U354" s="282"/>
      <c r="V354" s="282"/>
      <c r="W354" s="282"/>
      <c r="X354" s="282"/>
      <c r="Y354" s="282"/>
      <c r="Z354" s="282"/>
      <c r="AA354" s="282"/>
    </row>
    <row r="355" spans="1:27" s="431" customFormat="1" outlineLevel="3">
      <c r="A355" s="276">
        <f t="shared" si="87"/>
        <v>204</v>
      </c>
      <c r="B355" s="757">
        <f>$B204</f>
        <v>0</v>
      </c>
      <c r="C355" s="430">
        <f t="shared" ref="C355:C386" si="93">SUM(G355:M355)</f>
        <v>0</v>
      </c>
      <c r="D355" s="430"/>
      <c r="E355" s="430"/>
      <c r="F355" s="430"/>
      <c r="G355" s="1286">
        <f>G204*$E204</f>
        <v>0</v>
      </c>
      <c r="H355" s="1286">
        <f>(H204*$E204)</f>
        <v>0</v>
      </c>
      <c r="I355" s="1286">
        <f t="shared" si="92"/>
        <v>0</v>
      </c>
      <c r="J355" s="1286">
        <f t="shared" si="92"/>
        <v>0</v>
      </c>
      <c r="K355" s="1286">
        <f t="shared" si="92"/>
        <v>0</v>
      </c>
      <c r="L355" s="1286">
        <f t="shared" si="92"/>
        <v>0</v>
      </c>
      <c r="M355" s="1286">
        <f t="shared" si="92"/>
        <v>0</v>
      </c>
      <c r="R355" s="282"/>
      <c r="S355" s="282"/>
      <c r="T355" s="282"/>
      <c r="U355" s="282"/>
      <c r="V355" s="282"/>
      <c r="W355" s="282"/>
      <c r="X355" s="282"/>
      <c r="Y355" s="282"/>
      <c r="Z355" s="282"/>
      <c r="AA355" s="282"/>
    </row>
    <row r="356" spans="1:27" s="431" customFormat="1" outlineLevel="3">
      <c r="A356" s="276">
        <f t="shared" si="87"/>
        <v>205</v>
      </c>
      <c r="B356" s="757"/>
      <c r="C356" s="430">
        <f t="shared" si="93"/>
        <v>0</v>
      </c>
      <c r="D356" s="430"/>
      <c r="E356" s="430"/>
      <c r="F356" s="430"/>
      <c r="G356" s="1286"/>
      <c r="H356" s="1286"/>
      <c r="I356" s="1286"/>
      <c r="J356" s="1286"/>
      <c r="K356" s="1286"/>
      <c r="L356" s="1286"/>
      <c r="M356" s="1286"/>
      <c r="R356" s="282"/>
      <c r="S356" s="282"/>
      <c r="T356" s="282"/>
      <c r="U356" s="282"/>
      <c r="V356" s="282"/>
      <c r="W356" s="282"/>
      <c r="X356" s="282"/>
      <c r="Y356" s="282"/>
      <c r="Z356" s="282"/>
      <c r="AA356" s="282"/>
    </row>
    <row r="357" spans="1:27" s="428" customFormat="1" outlineLevel="3">
      <c r="A357" s="276">
        <f t="shared" si="87"/>
        <v>206</v>
      </c>
      <c r="B357" s="757" t="str">
        <f>$B206</f>
        <v>5th Grade Teacher</v>
      </c>
      <c r="C357" s="430">
        <f t="shared" si="93"/>
        <v>307249.46950424998</v>
      </c>
      <c r="D357" s="430"/>
      <c r="E357" s="430"/>
      <c r="F357" s="430"/>
      <c r="G357" s="1286">
        <f>G206*$E206</f>
        <v>0</v>
      </c>
      <c r="H357" s="1286">
        <f>(H206*$E206)</f>
        <v>47500</v>
      </c>
      <c r="I357" s="1286">
        <f t="shared" ref="I357:M361" si="94">(I206*$E206)*$C$46^(I$11-$H$11)</f>
        <v>48925</v>
      </c>
      <c r="J357" s="1286">
        <f t="shared" si="94"/>
        <v>50392.75</v>
      </c>
      <c r="K357" s="1286">
        <f t="shared" si="94"/>
        <v>51904.532500000001</v>
      </c>
      <c r="L357" s="1286">
        <f t="shared" si="94"/>
        <v>53461.668474999999</v>
      </c>
      <c r="M357" s="1286">
        <f t="shared" si="94"/>
        <v>55065.518529249995</v>
      </c>
      <c r="R357" s="282"/>
      <c r="S357" s="282"/>
      <c r="T357" s="282"/>
      <c r="U357" s="282"/>
      <c r="V357" s="282"/>
      <c r="W357" s="282"/>
      <c r="X357" s="282"/>
      <c r="Y357" s="282"/>
      <c r="Z357" s="282"/>
      <c r="AA357" s="282"/>
    </row>
    <row r="358" spans="1:27" s="428" customFormat="1" outlineLevel="3">
      <c r="A358" s="276">
        <f t="shared" si="87"/>
        <v>207</v>
      </c>
      <c r="B358" s="757" t="str">
        <f>$B207</f>
        <v>5th Grade Teacher</v>
      </c>
      <c r="C358" s="430">
        <f t="shared" si="93"/>
        <v>108527.18700424999</v>
      </c>
      <c r="D358" s="430"/>
      <c r="E358" s="430"/>
      <c r="F358" s="430"/>
      <c r="G358" s="1286">
        <f>G207*$E207</f>
        <v>0</v>
      </c>
      <c r="H358" s="1286">
        <f>(H207*$E207)</f>
        <v>0</v>
      </c>
      <c r="I358" s="1286">
        <f t="shared" si="94"/>
        <v>0</v>
      </c>
      <c r="J358" s="1286">
        <f t="shared" si="94"/>
        <v>0</v>
      </c>
      <c r="K358" s="1286">
        <f t="shared" si="94"/>
        <v>0</v>
      </c>
      <c r="L358" s="1286">
        <f t="shared" si="94"/>
        <v>53461.668474999999</v>
      </c>
      <c r="M358" s="1286">
        <f t="shared" si="94"/>
        <v>55065.518529249995</v>
      </c>
      <c r="R358" s="282"/>
      <c r="S358" s="282"/>
      <c r="T358" s="282"/>
      <c r="U358" s="282"/>
      <c r="V358" s="282"/>
      <c r="W358" s="282"/>
      <c r="X358" s="282"/>
      <c r="Y358" s="282"/>
      <c r="Z358" s="282"/>
      <c r="AA358" s="282"/>
    </row>
    <row r="359" spans="1:27" s="428" customFormat="1" outlineLevel="3">
      <c r="A359" s="276">
        <f t="shared" si="87"/>
        <v>208</v>
      </c>
      <c r="B359" s="757" t="str">
        <f>$B208</f>
        <v>5th Grade Teacher</v>
      </c>
      <c r="C359" s="430">
        <f t="shared" si="93"/>
        <v>55065.518529249995</v>
      </c>
      <c r="D359" s="430"/>
      <c r="E359" s="430"/>
      <c r="F359" s="430"/>
      <c r="G359" s="1286">
        <f>G208*$E208</f>
        <v>0</v>
      </c>
      <c r="H359" s="1286">
        <f>(H208*$E208)</f>
        <v>0</v>
      </c>
      <c r="I359" s="1286">
        <f t="shared" si="94"/>
        <v>0</v>
      </c>
      <c r="J359" s="1286">
        <f t="shared" si="94"/>
        <v>0</v>
      </c>
      <c r="K359" s="1286">
        <f t="shared" si="94"/>
        <v>0</v>
      </c>
      <c r="L359" s="1286">
        <f t="shared" si="94"/>
        <v>0</v>
      </c>
      <c r="M359" s="1286">
        <f t="shared" si="94"/>
        <v>55065.518529249995</v>
      </c>
      <c r="R359" s="282"/>
      <c r="S359" s="282"/>
      <c r="T359" s="282"/>
      <c r="U359" s="282"/>
      <c r="V359" s="282"/>
      <c r="W359" s="282"/>
      <c r="X359" s="282"/>
      <c r="Y359" s="282"/>
      <c r="Z359" s="282"/>
      <c r="AA359" s="282"/>
    </row>
    <row r="360" spans="1:27" s="428" customFormat="1" outlineLevel="3">
      <c r="A360" s="276">
        <f t="shared" si="87"/>
        <v>209</v>
      </c>
      <c r="B360" s="757">
        <f>$B209</f>
        <v>0</v>
      </c>
      <c r="C360" s="430">
        <f t="shared" si="93"/>
        <v>0</v>
      </c>
      <c r="D360" s="430"/>
      <c r="E360" s="430"/>
      <c r="F360" s="430"/>
      <c r="G360" s="1286">
        <f>G209*$E209</f>
        <v>0</v>
      </c>
      <c r="H360" s="1286">
        <f>(H209*$E209)</f>
        <v>0</v>
      </c>
      <c r="I360" s="1286">
        <f t="shared" si="94"/>
        <v>0</v>
      </c>
      <c r="J360" s="1286">
        <f t="shared" si="94"/>
        <v>0</v>
      </c>
      <c r="K360" s="1286">
        <f t="shared" si="94"/>
        <v>0</v>
      </c>
      <c r="L360" s="1286">
        <f t="shared" si="94"/>
        <v>0</v>
      </c>
      <c r="M360" s="1286">
        <f t="shared" si="94"/>
        <v>0</v>
      </c>
      <c r="R360" s="282"/>
      <c r="S360" s="533"/>
      <c r="T360" s="282"/>
      <c r="U360" s="282"/>
      <c r="V360" s="282"/>
      <c r="W360" s="282"/>
      <c r="X360" s="282"/>
      <c r="Y360" s="282"/>
      <c r="Z360" s="282"/>
      <c r="AA360" s="282"/>
    </row>
    <row r="361" spans="1:27" s="428" customFormat="1" outlineLevel="3">
      <c r="A361" s="276">
        <f t="shared" si="87"/>
        <v>210</v>
      </c>
      <c r="B361" s="757">
        <f>$B210</f>
        <v>0</v>
      </c>
      <c r="C361" s="430">
        <f t="shared" si="93"/>
        <v>0</v>
      </c>
      <c r="D361" s="430"/>
      <c r="E361" s="430"/>
      <c r="F361" s="430"/>
      <c r="G361" s="1286">
        <f>G210*$E210</f>
        <v>0</v>
      </c>
      <c r="H361" s="1286">
        <f>(H210*$E210)</f>
        <v>0</v>
      </c>
      <c r="I361" s="1286">
        <f t="shared" si="94"/>
        <v>0</v>
      </c>
      <c r="J361" s="1286">
        <f t="shared" si="94"/>
        <v>0</v>
      </c>
      <c r="K361" s="1286">
        <f t="shared" si="94"/>
        <v>0</v>
      </c>
      <c r="L361" s="1286">
        <f t="shared" si="94"/>
        <v>0</v>
      </c>
      <c r="M361" s="1286">
        <f t="shared" si="94"/>
        <v>0</v>
      </c>
      <c r="R361" s="282"/>
      <c r="S361" s="282"/>
      <c r="T361" s="282"/>
      <c r="U361" s="282"/>
      <c r="V361" s="282"/>
      <c r="W361" s="282"/>
      <c r="X361" s="282"/>
      <c r="Y361" s="282"/>
      <c r="Z361" s="282"/>
      <c r="AA361" s="282"/>
    </row>
    <row r="362" spans="1:27" s="428" customFormat="1" outlineLevel="3">
      <c r="A362" s="276">
        <f t="shared" si="87"/>
        <v>211</v>
      </c>
      <c r="B362" s="757"/>
      <c r="C362" s="430">
        <f t="shared" si="93"/>
        <v>0</v>
      </c>
      <c r="D362" s="430"/>
      <c r="E362" s="430"/>
      <c r="F362" s="430"/>
      <c r="G362" s="1286"/>
      <c r="H362" s="1286"/>
      <c r="I362" s="1286"/>
      <c r="J362" s="1286"/>
      <c r="K362" s="1286"/>
      <c r="L362" s="1286"/>
      <c r="M362" s="1286"/>
      <c r="R362" s="282"/>
      <c r="S362" s="282"/>
      <c r="T362" s="282"/>
      <c r="U362" s="282"/>
      <c r="V362" s="282"/>
      <c r="W362" s="282"/>
      <c r="X362" s="282"/>
      <c r="Y362" s="282"/>
      <c r="Z362" s="282"/>
      <c r="AA362" s="282"/>
    </row>
    <row r="363" spans="1:27" s="428" customFormat="1" outlineLevel="3">
      <c r="A363" s="276">
        <f t="shared" si="87"/>
        <v>212</v>
      </c>
      <c r="B363" s="757" t="str">
        <f>$B212</f>
        <v>6th Grade Teacher</v>
      </c>
      <c r="C363" s="430">
        <f t="shared" si="93"/>
        <v>307249.46950424998</v>
      </c>
      <c r="D363" s="430"/>
      <c r="E363" s="430"/>
      <c r="F363" s="430"/>
      <c r="G363" s="1286">
        <f>G212*$E212</f>
        <v>0</v>
      </c>
      <c r="H363" s="1286">
        <f>(H212*$E212)</f>
        <v>47500</v>
      </c>
      <c r="I363" s="1286">
        <f t="shared" ref="I363:M367" si="95">(I212*$E212)*$C$46^(I$11-$H$11)</f>
        <v>48925</v>
      </c>
      <c r="J363" s="1286">
        <f t="shared" si="95"/>
        <v>50392.75</v>
      </c>
      <c r="K363" s="1286">
        <f t="shared" si="95"/>
        <v>51904.532500000001</v>
      </c>
      <c r="L363" s="1286">
        <f t="shared" si="95"/>
        <v>53461.668474999999</v>
      </c>
      <c r="M363" s="1286">
        <f t="shared" si="95"/>
        <v>55065.518529249995</v>
      </c>
      <c r="R363" s="282"/>
      <c r="S363" s="282"/>
      <c r="T363" s="282"/>
      <c r="U363" s="282"/>
      <c r="V363" s="282"/>
      <c r="W363" s="282"/>
      <c r="X363" s="282"/>
      <c r="Y363" s="282"/>
      <c r="Z363" s="282"/>
      <c r="AA363" s="282"/>
    </row>
    <row r="364" spans="1:27" s="428" customFormat="1" outlineLevel="3">
      <c r="A364" s="276">
        <f t="shared" si="87"/>
        <v>213</v>
      </c>
      <c r="B364" s="757" t="str">
        <f>$B213</f>
        <v>6th Grade Teacher</v>
      </c>
      <c r="C364" s="430">
        <f t="shared" si="93"/>
        <v>307249.46950424998</v>
      </c>
      <c r="D364" s="430"/>
      <c r="E364" s="430"/>
      <c r="F364" s="430"/>
      <c r="G364" s="1286">
        <f>G213*$E213</f>
        <v>0</v>
      </c>
      <c r="H364" s="1286">
        <f>(H213*$E213)</f>
        <v>47500</v>
      </c>
      <c r="I364" s="1286">
        <f t="shared" si="95"/>
        <v>48925</v>
      </c>
      <c r="J364" s="1286">
        <f t="shared" si="95"/>
        <v>50392.75</v>
      </c>
      <c r="K364" s="1286">
        <f t="shared" si="95"/>
        <v>51904.532500000001</v>
      </c>
      <c r="L364" s="1286">
        <f t="shared" si="95"/>
        <v>53461.668474999999</v>
      </c>
      <c r="M364" s="1286">
        <f t="shared" si="95"/>
        <v>55065.518529249995</v>
      </c>
      <c r="R364" s="282"/>
      <c r="S364" s="282"/>
      <c r="T364" s="282"/>
      <c r="U364" s="282"/>
      <c r="V364" s="282"/>
      <c r="W364" s="282"/>
      <c r="X364" s="282"/>
      <c r="Y364" s="282"/>
      <c r="Z364" s="282"/>
      <c r="AA364" s="282"/>
    </row>
    <row r="365" spans="1:27" s="428" customFormat="1" outlineLevel="3">
      <c r="A365" s="276">
        <f t="shared" si="87"/>
        <v>214</v>
      </c>
      <c r="B365" s="757" t="str">
        <f>$B214</f>
        <v>6th Grade Teacher</v>
      </c>
      <c r="C365" s="430">
        <f t="shared" si="93"/>
        <v>55065.518529249995</v>
      </c>
      <c r="D365" s="430"/>
      <c r="E365" s="430"/>
      <c r="F365" s="430"/>
      <c r="G365" s="1286">
        <f>G214*$E214</f>
        <v>0</v>
      </c>
      <c r="H365" s="1286">
        <f>(H214*$E214)</f>
        <v>0</v>
      </c>
      <c r="I365" s="1286">
        <f t="shared" si="95"/>
        <v>0</v>
      </c>
      <c r="J365" s="1286">
        <f t="shared" si="95"/>
        <v>0</v>
      </c>
      <c r="K365" s="1286">
        <f t="shared" si="95"/>
        <v>0</v>
      </c>
      <c r="L365" s="1286">
        <f t="shared" si="95"/>
        <v>0</v>
      </c>
      <c r="M365" s="1286">
        <f t="shared" si="95"/>
        <v>55065.518529249995</v>
      </c>
      <c r="R365" s="282"/>
      <c r="S365" s="282"/>
      <c r="T365" s="282"/>
      <c r="U365" s="282"/>
      <c r="V365" s="282"/>
      <c r="W365" s="282"/>
      <c r="X365" s="282"/>
      <c r="Y365" s="282"/>
      <c r="Z365" s="282"/>
      <c r="AA365" s="282"/>
    </row>
    <row r="366" spans="1:27" s="428" customFormat="1" outlineLevel="3">
      <c r="A366" s="276">
        <f t="shared" si="87"/>
        <v>215</v>
      </c>
      <c r="B366" s="757">
        <f>$B215</f>
        <v>0</v>
      </c>
      <c r="C366" s="430">
        <f t="shared" si="93"/>
        <v>0</v>
      </c>
      <c r="D366" s="430"/>
      <c r="E366" s="430"/>
      <c r="F366" s="430"/>
      <c r="G366" s="1286">
        <f>G215*$E215</f>
        <v>0</v>
      </c>
      <c r="H366" s="1286">
        <f>(H215*$E215)</f>
        <v>0</v>
      </c>
      <c r="I366" s="1286">
        <f t="shared" si="95"/>
        <v>0</v>
      </c>
      <c r="J366" s="1286">
        <f t="shared" si="95"/>
        <v>0</v>
      </c>
      <c r="K366" s="1286">
        <f t="shared" si="95"/>
        <v>0</v>
      </c>
      <c r="L366" s="1286">
        <f t="shared" si="95"/>
        <v>0</v>
      </c>
      <c r="M366" s="1286">
        <f t="shared" si="95"/>
        <v>0</v>
      </c>
      <c r="R366" s="282"/>
      <c r="S366" s="282"/>
      <c r="T366" s="282"/>
      <c r="U366" s="282"/>
      <c r="V366" s="282"/>
      <c r="W366" s="282"/>
      <c r="X366" s="282"/>
      <c r="Y366" s="282"/>
      <c r="Z366" s="282"/>
      <c r="AA366" s="282"/>
    </row>
    <row r="367" spans="1:27" s="431" customFormat="1" outlineLevel="3">
      <c r="A367" s="276">
        <f t="shared" si="87"/>
        <v>216</v>
      </c>
      <c r="B367" s="757">
        <f>$B216</f>
        <v>0</v>
      </c>
      <c r="C367" s="430">
        <f t="shared" si="93"/>
        <v>0</v>
      </c>
      <c r="D367" s="430"/>
      <c r="E367" s="430"/>
      <c r="F367" s="430"/>
      <c r="G367" s="1286">
        <f>G216*$E216</f>
        <v>0</v>
      </c>
      <c r="H367" s="1286">
        <f>(H216*$E216)</f>
        <v>0</v>
      </c>
      <c r="I367" s="1286">
        <f t="shared" si="95"/>
        <v>0</v>
      </c>
      <c r="J367" s="1286">
        <f t="shared" si="95"/>
        <v>0</v>
      </c>
      <c r="K367" s="1286">
        <f t="shared" si="95"/>
        <v>0</v>
      </c>
      <c r="L367" s="1286">
        <f t="shared" si="95"/>
        <v>0</v>
      </c>
      <c r="M367" s="1286">
        <f t="shared" si="95"/>
        <v>0</v>
      </c>
      <c r="R367" s="282"/>
      <c r="S367" s="282"/>
      <c r="T367" s="282"/>
      <c r="U367" s="282"/>
      <c r="V367" s="282"/>
      <c r="W367" s="282"/>
      <c r="X367" s="282"/>
      <c r="Y367" s="282"/>
      <c r="Z367" s="282"/>
      <c r="AA367" s="282"/>
    </row>
    <row r="368" spans="1:27" s="431" customFormat="1" outlineLevel="3">
      <c r="A368" s="276">
        <f t="shared" si="87"/>
        <v>217</v>
      </c>
      <c r="B368" s="757"/>
      <c r="C368" s="430">
        <f t="shared" si="93"/>
        <v>0</v>
      </c>
      <c r="D368" s="430"/>
      <c r="E368" s="430"/>
      <c r="F368" s="430"/>
      <c r="G368" s="1286"/>
      <c r="H368" s="1286"/>
      <c r="I368" s="1286"/>
      <c r="J368" s="1286"/>
      <c r="K368" s="1286"/>
      <c r="L368" s="1286"/>
      <c r="M368" s="1286"/>
      <c r="R368" s="282"/>
      <c r="S368" s="282"/>
      <c r="T368" s="282"/>
      <c r="U368" s="282"/>
      <c r="V368" s="282"/>
      <c r="W368" s="282"/>
      <c r="X368" s="282"/>
      <c r="Y368" s="282"/>
      <c r="Z368" s="282"/>
      <c r="AA368" s="282"/>
    </row>
    <row r="369" spans="1:27" s="428" customFormat="1" outlineLevel="3">
      <c r="A369" s="276">
        <f t="shared" si="87"/>
        <v>218</v>
      </c>
      <c r="B369" s="757" t="str">
        <f t="shared" ref="B369:B374" si="96">$B218</f>
        <v>7th Grade Teacher</v>
      </c>
      <c r="C369" s="430">
        <f t="shared" si="93"/>
        <v>307249.46950424998</v>
      </c>
      <c r="D369" s="430"/>
      <c r="E369" s="430"/>
      <c r="F369" s="430"/>
      <c r="G369" s="1286">
        <f t="shared" ref="G369:G374" si="97">G218*$E218</f>
        <v>0</v>
      </c>
      <c r="H369" s="1286">
        <f t="shared" ref="H369:H374" si="98">(H218*$E218)</f>
        <v>47500</v>
      </c>
      <c r="I369" s="1286">
        <f t="shared" ref="I369:M374" si="99">(I218*$E218)*$C$46^(I$11-$H$11)</f>
        <v>48925</v>
      </c>
      <c r="J369" s="1286">
        <f t="shared" si="99"/>
        <v>50392.75</v>
      </c>
      <c r="K369" s="1286">
        <f t="shared" si="99"/>
        <v>51904.532500000001</v>
      </c>
      <c r="L369" s="1286">
        <f t="shared" si="99"/>
        <v>53461.668474999999</v>
      </c>
      <c r="M369" s="1286">
        <f t="shared" si="99"/>
        <v>55065.518529249995</v>
      </c>
      <c r="R369" s="282"/>
      <c r="S369" s="282"/>
      <c r="T369" s="282"/>
      <c r="U369" s="282"/>
      <c r="V369" s="282"/>
      <c r="W369" s="282"/>
      <c r="X369" s="282"/>
      <c r="Y369" s="282"/>
      <c r="Z369" s="282"/>
      <c r="AA369" s="282"/>
    </row>
    <row r="370" spans="1:27" s="428" customFormat="1" outlineLevel="3">
      <c r="A370" s="276">
        <f t="shared" si="87"/>
        <v>219</v>
      </c>
      <c r="B370" s="757" t="str">
        <f t="shared" si="96"/>
        <v>7th Grade Teacher</v>
      </c>
      <c r="C370" s="430">
        <f t="shared" si="93"/>
        <v>307249.46950424998</v>
      </c>
      <c r="D370" s="430"/>
      <c r="E370" s="430"/>
      <c r="F370" s="430"/>
      <c r="G370" s="1286">
        <f t="shared" si="97"/>
        <v>0</v>
      </c>
      <c r="H370" s="1286">
        <f t="shared" si="98"/>
        <v>47500</v>
      </c>
      <c r="I370" s="1286">
        <f t="shared" si="99"/>
        <v>48925</v>
      </c>
      <c r="J370" s="1286">
        <f t="shared" si="99"/>
        <v>50392.75</v>
      </c>
      <c r="K370" s="1286">
        <f t="shared" si="99"/>
        <v>51904.532500000001</v>
      </c>
      <c r="L370" s="1286">
        <f t="shared" si="99"/>
        <v>53461.668474999999</v>
      </c>
      <c r="M370" s="1286">
        <f t="shared" si="99"/>
        <v>55065.518529249995</v>
      </c>
      <c r="R370" s="282"/>
      <c r="S370" s="282"/>
      <c r="T370" s="282"/>
      <c r="U370" s="282"/>
      <c r="V370" s="282"/>
      <c r="W370" s="282"/>
      <c r="X370" s="282"/>
      <c r="Y370" s="282"/>
      <c r="Z370" s="282"/>
      <c r="AA370" s="282"/>
    </row>
    <row r="371" spans="1:27" s="428" customFormat="1" outlineLevel="3">
      <c r="A371" s="276">
        <f t="shared" si="87"/>
        <v>220</v>
      </c>
      <c r="B371" s="757" t="str">
        <f t="shared" si="96"/>
        <v>7th Grade Teacher</v>
      </c>
      <c r="C371" s="430">
        <f t="shared" si="93"/>
        <v>55065.518529249995</v>
      </c>
      <c r="D371" s="430"/>
      <c r="E371" s="430"/>
      <c r="F371" s="430"/>
      <c r="G371" s="1286">
        <f t="shared" si="97"/>
        <v>0</v>
      </c>
      <c r="H371" s="1286">
        <f t="shared" si="98"/>
        <v>0</v>
      </c>
      <c r="I371" s="1286">
        <f t="shared" si="99"/>
        <v>0</v>
      </c>
      <c r="J371" s="1286">
        <f t="shared" si="99"/>
        <v>0</v>
      </c>
      <c r="K371" s="1286">
        <f t="shared" si="99"/>
        <v>0</v>
      </c>
      <c r="L371" s="1286">
        <f t="shared" si="99"/>
        <v>0</v>
      </c>
      <c r="M371" s="1286">
        <f t="shared" si="99"/>
        <v>55065.518529249995</v>
      </c>
      <c r="R371" s="282"/>
      <c r="S371" s="282"/>
      <c r="T371" s="282"/>
      <c r="U371" s="282"/>
      <c r="V371" s="282"/>
      <c r="W371" s="282"/>
      <c r="X371" s="282"/>
      <c r="Y371" s="282"/>
      <c r="Z371" s="282"/>
      <c r="AA371" s="282"/>
    </row>
    <row r="372" spans="1:27" s="428" customFormat="1" outlineLevel="3">
      <c r="A372" s="276">
        <f t="shared" si="87"/>
        <v>221</v>
      </c>
      <c r="B372" s="757">
        <f t="shared" si="96"/>
        <v>0</v>
      </c>
      <c r="C372" s="430">
        <f t="shared" si="93"/>
        <v>0</v>
      </c>
      <c r="D372" s="430"/>
      <c r="E372" s="430"/>
      <c r="F372" s="430"/>
      <c r="G372" s="1286">
        <f t="shared" si="97"/>
        <v>0</v>
      </c>
      <c r="H372" s="1286">
        <f t="shared" si="98"/>
        <v>0</v>
      </c>
      <c r="I372" s="1286">
        <f t="shared" si="99"/>
        <v>0</v>
      </c>
      <c r="J372" s="1286">
        <f t="shared" si="99"/>
        <v>0</v>
      </c>
      <c r="K372" s="1286">
        <f t="shared" si="99"/>
        <v>0</v>
      </c>
      <c r="L372" s="1286">
        <f t="shared" si="99"/>
        <v>0</v>
      </c>
      <c r="M372" s="1286">
        <f t="shared" si="99"/>
        <v>0</v>
      </c>
      <c r="R372" s="282"/>
      <c r="S372" s="282"/>
      <c r="T372" s="282"/>
      <c r="U372" s="282"/>
      <c r="V372" s="282"/>
      <c r="W372" s="282"/>
      <c r="X372" s="282"/>
      <c r="Y372" s="282"/>
      <c r="Z372" s="282"/>
      <c r="AA372" s="282"/>
    </row>
    <row r="373" spans="1:27" s="428" customFormat="1" outlineLevel="3">
      <c r="A373" s="276">
        <f t="shared" si="87"/>
        <v>222</v>
      </c>
      <c r="B373" s="757">
        <f t="shared" si="96"/>
        <v>0</v>
      </c>
      <c r="C373" s="430">
        <f t="shared" si="93"/>
        <v>0</v>
      </c>
      <c r="D373" s="430"/>
      <c r="E373" s="430"/>
      <c r="F373" s="430"/>
      <c r="G373" s="1286">
        <f t="shared" si="97"/>
        <v>0</v>
      </c>
      <c r="H373" s="1286">
        <f t="shared" si="98"/>
        <v>0</v>
      </c>
      <c r="I373" s="1286">
        <f t="shared" si="99"/>
        <v>0</v>
      </c>
      <c r="J373" s="1286">
        <f t="shared" si="99"/>
        <v>0</v>
      </c>
      <c r="K373" s="1286">
        <f t="shared" si="99"/>
        <v>0</v>
      </c>
      <c r="L373" s="1286">
        <f t="shared" si="99"/>
        <v>0</v>
      </c>
      <c r="M373" s="1286">
        <f t="shared" si="99"/>
        <v>0</v>
      </c>
      <c r="R373" s="282"/>
      <c r="S373" s="282"/>
      <c r="T373" s="282"/>
      <c r="U373" s="282"/>
      <c r="V373" s="282"/>
      <c r="W373" s="282"/>
      <c r="X373" s="282"/>
      <c r="Y373" s="282"/>
      <c r="Z373" s="282"/>
      <c r="AA373" s="282"/>
    </row>
    <row r="374" spans="1:27" s="428" customFormat="1" outlineLevel="3">
      <c r="A374" s="276">
        <f t="shared" si="87"/>
        <v>223</v>
      </c>
      <c r="B374" s="757">
        <f t="shared" si="96"/>
        <v>0</v>
      </c>
      <c r="C374" s="430">
        <f t="shared" si="93"/>
        <v>0</v>
      </c>
      <c r="D374" s="430"/>
      <c r="E374" s="430"/>
      <c r="F374" s="430"/>
      <c r="G374" s="1286">
        <f t="shared" si="97"/>
        <v>0</v>
      </c>
      <c r="H374" s="1286">
        <f t="shared" si="98"/>
        <v>0</v>
      </c>
      <c r="I374" s="1286">
        <f t="shared" si="99"/>
        <v>0</v>
      </c>
      <c r="J374" s="1286">
        <f t="shared" si="99"/>
        <v>0</v>
      </c>
      <c r="K374" s="1286">
        <f t="shared" si="99"/>
        <v>0</v>
      </c>
      <c r="L374" s="1286">
        <f t="shared" si="99"/>
        <v>0</v>
      </c>
      <c r="M374" s="1286">
        <f t="shared" si="99"/>
        <v>0</v>
      </c>
      <c r="R374" s="282"/>
      <c r="S374" s="282"/>
      <c r="T374" s="282"/>
      <c r="U374" s="282"/>
      <c r="V374" s="282"/>
      <c r="W374" s="282"/>
      <c r="X374" s="282"/>
      <c r="Y374" s="282"/>
      <c r="Z374" s="282"/>
      <c r="AA374" s="282"/>
    </row>
    <row r="375" spans="1:27" s="431" customFormat="1" outlineLevel="3">
      <c r="A375" s="276">
        <f t="shared" si="87"/>
        <v>224</v>
      </c>
      <c r="B375" s="757"/>
      <c r="C375" s="430">
        <f t="shared" si="93"/>
        <v>0</v>
      </c>
      <c r="D375" s="430"/>
      <c r="E375" s="430"/>
      <c r="F375" s="430"/>
      <c r="G375" s="1286"/>
      <c r="H375" s="1286"/>
      <c r="I375" s="1286"/>
      <c r="J375" s="1286"/>
      <c r="K375" s="1286"/>
      <c r="L375" s="1286"/>
      <c r="M375" s="1286"/>
      <c r="R375" s="282"/>
      <c r="S375" s="282"/>
      <c r="T375" s="282"/>
      <c r="U375" s="282"/>
      <c r="V375" s="282"/>
      <c r="W375" s="282"/>
      <c r="X375" s="282"/>
      <c r="Y375" s="282"/>
      <c r="Z375" s="282"/>
      <c r="AA375" s="282"/>
    </row>
    <row r="376" spans="1:27" s="428" customFormat="1" outlineLevel="3">
      <c r="A376" s="276">
        <f t="shared" si="87"/>
        <v>225</v>
      </c>
      <c r="B376" s="757" t="str">
        <f>$B225</f>
        <v>8th Grade Teacher</v>
      </c>
      <c r="C376" s="430">
        <f t="shared" si="93"/>
        <v>259749.46950424998</v>
      </c>
      <c r="D376" s="430"/>
      <c r="E376" s="430"/>
      <c r="F376" s="430"/>
      <c r="G376" s="1286">
        <f>G225*$E225</f>
        <v>0</v>
      </c>
      <c r="H376" s="1286">
        <f>(H225*$E225)</f>
        <v>0</v>
      </c>
      <c r="I376" s="1286">
        <f t="shared" ref="I376:M380" si="100">(I225*$E225)*$C$46^(I$11-$H$11)</f>
        <v>48925</v>
      </c>
      <c r="J376" s="1286">
        <f t="shared" si="100"/>
        <v>50392.75</v>
      </c>
      <c r="K376" s="1286">
        <f t="shared" si="100"/>
        <v>51904.532500000001</v>
      </c>
      <c r="L376" s="1286">
        <f t="shared" si="100"/>
        <v>53461.668474999999</v>
      </c>
      <c r="M376" s="1286">
        <f t="shared" si="100"/>
        <v>55065.518529249995</v>
      </c>
      <c r="R376" s="282"/>
      <c r="S376" s="282"/>
      <c r="T376" s="282"/>
      <c r="U376" s="282"/>
      <c r="V376" s="282"/>
      <c r="W376" s="282"/>
      <c r="X376" s="282"/>
      <c r="Y376" s="282"/>
      <c r="Z376" s="282"/>
      <c r="AA376" s="282"/>
    </row>
    <row r="377" spans="1:27" s="428" customFormat="1" outlineLevel="3">
      <c r="A377" s="276">
        <f t="shared" si="87"/>
        <v>226</v>
      </c>
      <c r="B377" s="757" t="str">
        <f>$B$226</f>
        <v>8th Grade Teacher</v>
      </c>
      <c r="C377" s="430">
        <f t="shared" si="93"/>
        <v>259749.46950424998</v>
      </c>
      <c r="D377" s="430"/>
      <c r="E377" s="430"/>
      <c r="F377" s="430"/>
      <c r="G377" s="1286">
        <f>G226*$E226</f>
        <v>0</v>
      </c>
      <c r="H377" s="1286">
        <f>(H226*$E226)</f>
        <v>0</v>
      </c>
      <c r="I377" s="1286">
        <f t="shared" si="100"/>
        <v>48925</v>
      </c>
      <c r="J377" s="1286">
        <f t="shared" si="100"/>
        <v>50392.75</v>
      </c>
      <c r="K377" s="1286">
        <f t="shared" si="100"/>
        <v>51904.532500000001</v>
      </c>
      <c r="L377" s="1286">
        <f t="shared" si="100"/>
        <v>53461.668474999999</v>
      </c>
      <c r="M377" s="1286">
        <f t="shared" si="100"/>
        <v>55065.518529249995</v>
      </c>
      <c r="R377" s="282"/>
      <c r="S377" s="282"/>
      <c r="T377" s="282"/>
      <c r="U377" s="282"/>
      <c r="V377" s="282"/>
      <c r="W377" s="282"/>
      <c r="X377" s="282"/>
      <c r="Y377" s="282"/>
      <c r="Z377" s="282"/>
      <c r="AA377" s="282"/>
    </row>
    <row r="378" spans="1:27" s="428" customFormat="1" outlineLevel="3">
      <c r="A378" s="276">
        <f t="shared" si="87"/>
        <v>227</v>
      </c>
      <c r="B378" s="757" t="str">
        <f>$B$227</f>
        <v>8th Grade Teacher</v>
      </c>
      <c r="C378" s="430">
        <f t="shared" si="93"/>
        <v>55065.518529249995</v>
      </c>
      <c r="D378" s="430"/>
      <c r="E378" s="430"/>
      <c r="F378" s="430"/>
      <c r="G378" s="1286">
        <f>G227*$E227</f>
        <v>0</v>
      </c>
      <c r="H378" s="1286">
        <f>(H227*$E227)</f>
        <v>0</v>
      </c>
      <c r="I378" s="1286">
        <f t="shared" si="100"/>
        <v>0</v>
      </c>
      <c r="J378" s="1286">
        <f t="shared" si="100"/>
        <v>0</v>
      </c>
      <c r="K378" s="1286">
        <f t="shared" si="100"/>
        <v>0</v>
      </c>
      <c r="L378" s="1286">
        <f t="shared" si="100"/>
        <v>0</v>
      </c>
      <c r="M378" s="1286">
        <f t="shared" si="100"/>
        <v>55065.518529249995</v>
      </c>
      <c r="R378" s="282"/>
      <c r="S378" s="282"/>
      <c r="T378" s="282"/>
      <c r="U378" s="282"/>
      <c r="V378" s="282"/>
      <c r="W378" s="282"/>
      <c r="X378" s="282"/>
      <c r="Y378" s="282"/>
      <c r="Z378" s="282"/>
      <c r="AA378" s="282"/>
    </row>
    <row r="379" spans="1:27" s="428" customFormat="1" outlineLevel="3">
      <c r="A379" s="276">
        <f t="shared" si="87"/>
        <v>228</v>
      </c>
      <c r="B379" s="757">
        <f>$B$228</f>
        <v>0</v>
      </c>
      <c r="C379" s="430">
        <f t="shared" si="93"/>
        <v>0</v>
      </c>
      <c r="D379" s="430"/>
      <c r="E379" s="430"/>
      <c r="F379" s="430"/>
      <c r="G379" s="1286">
        <f>G228*$E228</f>
        <v>0</v>
      </c>
      <c r="H379" s="1286">
        <f>(H228*$E228)</f>
        <v>0</v>
      </c>
      <c r="I379" s="1286">
        <f t="shared" si="100"/>
        <v>0</v>
      </c>
      <c r="J379" s="1286">
        <f t="shared" si="100"/>
        <v>0</v>
      </c>
      <c r="K379" s="1286">
        <f t="shared" si="100"/>
        <v>0</v>
      </c>
      <c r="L379" s="1286">
        <f t="shared" si="100"/>
        <v>0</v>
      </c>
      <c r="M379" s="1286">
        <f t="shared" si="100"/>
        <v>0</v>
      </c>
      <c r="R379" s="282"/>
      <c r="S379" s="282"/>
      <c r="T379" s="282"/>
      <c r="U379" s="282"/>
      <c r="V379" s="282"/>
      <c r="W379" s="282"/>
      <c r="X379" s="282"/>
      <c r="Y379" s="282"/>
      <c r="Z379" s="282"/>
      <c r="AA379" s="282"/>
    </row>
    <row r="380" spans="1:27" s="428" customFormat="1" outlineLevel="3">
      <c r="A380" s="276">
        <f t="shared" si="87"/>
        <v>229</v>
      </c>
      <c r="B380" s="757">
        <f>$B$229</f>
        <v>0</v>
      </c>
      <c r="C380" s="430">
        <f t="shared" si="93"/>
        <v>0</v>
      </c>
      <c r="D380" s="430"/>
      <c r="E380" s="430"/>
      <c r="F380" s="430"/>
      <c r="G380" s="1286">
        <f>G229*$E229</f>
        <v>0</v>
      </c>
      <c r="H380" s="1286">
        <f>(H229*$E229)</f>
        <v>0</v>
      </c>
      <c r="I380" s="1286">
        <f t="shared" si="100"/>
        <v>0</v>
      </c>
      <c r="J380" s="1286">
        <f t="shared" si="100"/>
        <v>0</v>
      </c>
      <c r="K380" s="1286">
        <f t="shared" si="100"/>
        <v>0</v>
      </c>
      <c r="L380" s="1286">
        <f t="shared" si="100"/>
        <v>0</v>
      </c>
      <c r="M380" s="1286">
        <f t="shared" si="100"/>
        <v>0</v>
      </c>
      <c r="R380" s="282"/>
      <c r="S380" s="282"/>
      <c r="T380" s="282"/>
      <c r="U380" s="282"/>
      <c r="V380" s="282"/>
      <c r="W380" s="282"/>
      <c r="X380" s="282"/>
      <c r="Y380" s="282"/>
      <c r="Z380" s="282"/>
      <c r="AA380" s="282"/>
    </row>
    <row r="381" spans="1:27" s="428" customFormat="1" outlineLevel="3">
      <c r="A381" s="276">
        <f t="shared" si="87"/>
        <v>230</v>
      </c>
      <c r="B381" s="757"/>
      <c r="C381" s="430">
        <f t="shared" si="93"/>
        <v>0</v>
      </c>
      <c r="D381" s="430"/>
      <c r="E381" s="430"/>
      <c r="F381" s="430"/>
      <c r="G381" s="1286"/>
      <c r="H381" s="1286"/>
      <c r="I381" s="1286"/>
      <c r="J381" s="1286"/>
      <c r="K381" s="1286"/>
      <c r="L381" s="1286"/>
      <c r="M381" s="1286"/>
      <c r="R381" s="282"/>
      <c r="S381" s="282"/>
      <c r="T381" s="282"/>
      <c r="U381" s="282"/>
      <c r="V381" s="282"/>
      <c r="W381" s="282"/>
      <c r="X381" s="282"/>
      <c r="Y381" s="282"/>
      <c r="Z381" s="282"/>
      <c r="AA381" s="282"/>
    </row>
    <row r="382" spans="1:27" s="428" customFormat="1" outlineLevel="3">
      <c r="A382" s="276">
        <f t="shared" si="87"/>
        <v>231</v>
      </c>
      <c r="B382" s="757" t="str">
        <f>$B$231</f>
        <v>9th Grade Teacher</v>
      </c>
      <c r="C382" s="430">
        <f t="shared" si="93"/>
        <v>210824.46950424998</v>
      </c>
      <c r="D382" s="430"/>
      <c r="E382" s="430"/>
      <c r="F382" s="430"/>
      <c r="G382" s="1286">
        <f>G231*$E231</f>
        <v>0</v>
      </c>
      <c r="H382" s="1286">
        <f>(H231*$E231)</f>
        <v>0</v>
      </c>
      <c r="I382" s="1286">
        <f t="shared" ref="I382:M386" si="101">(I231*$E231)*$C$46^(I$11-$H$11)</f>
        <v>0</v>
      </c>
      <c r="J382" s="1286">
        <f t="shared" si="101"/>
        <v>50392.75</v>
      </c>
      <c r="K382" s="1286">
        <f t="shared" si="101"/>
        <v>51904.532500000001</v>
      </c>
      <c r="L382" s="1286">
        <f t="shared" si="101"/>
        <v>53461.668474999999</v>
      </c>
      <c r="M382" s="1286">
        <f t="shared" si="101"/>
        <v>55065.518529249995</v>
      </c>
      <c r="R382" s="282"/>
      <c r="S382" s="282"/>
      <c r="T382" s="282"/>
      <c r="U382" s="282"/>
      <c r="V382" s="282"/>
      <c r="W382" s="282"/>
      <c r="X382" s="282"/>
      <c r="Y382" s="282"/>
      <c r="Z382" s="282"/>
      <c r="AA382" s="282"/>
    </row>
    <row r="383" spans="1:27" s="428" customFormat="1" outlineLevel="3">
      <c r="A383" s="276">
        <f t="shared" si="87"/>
        <v>232</v>
      </c>
      <c r="B383" s="757" t="str">
        <f>$B$232</f>
        <v>9th Grade Teacher</v>
      </c>
      <c r="C383" s="430">
        <f t="shared" si="93"/>
        <v>210824.46950424998</v>
      </c>
      <c r="D383" s="430"/>
      <c r="E383" s="430"/>
      <c r="F383" s="430"/>
      <c r="G383" s="1286">
        <f>G232*$E232</f>
        <v>0</v>
      </c>
      <c r="H383" s="1286">
        <f>(H232*$E232)</f>
        <v>0</v>
      </c>
      <c r="I383" s="1286">
        <f t="shared" si="101"/>
        <v>0</v>
      </c>
      <c r="J383" s="1286">
        <f t="shared" si="101"/>
        <v>50392.75</v>
      </c>
      <c r="K383" s="1286">
        <f t="shared" si="101"/>
        <v>51904.532500000001</v>
      </c>
      <c r="L383" s="1286">
        <f t="shared" si="101"/>
        <v>53461.668474999999</v>
      </c>
      <c r="M383" s="1286">
        <f t="shared" si="101"/>
        <v>55065.518529249995</v>
      </c>
      <c r="R383" s="282"/>
      <c r="S383" s="282"/>
      <c r="T383" s="282"/>
      <c r="U383" s="282"/>
      <c r="V383" s="282"/>
      <c r="W383" s="282"/>
      <c r="X383" s="282"/>
      <c r="Y383" s="282"/>
      <c r="Z383" s="282"/>
      <c r="AA383" s="282"/>
    </row>
    <row r="384" spans="1:27" s="428" customFormat="1" outlineLevel="3">
      <c r="A384" s="276">
        <f t="shared" si="87"/>
        <v>233</v>
      </c>
      <c r="B384" s="757" t="str">
        <f>$B$233</f>
        <v>9th Grade Teacher</v>
      </c>
      <c r="C384" s="430">
        <f t="shared" si="93"/>
        <v>210824.46950424998</v>
      </c>
      <c r="D384" s="430"/>
      <c r="E384" s="430"/>
      <c r="F384" s="430"/>
      <c r="G384" s="1286">
        <f>G233*$E233</f>
        <v>0</v>
      </c>
      <c r="H384" s="1286">
        <f>(H233*$E233)</f>
        <v>0</v>
      </c>
      <c r="I384" s="1286">
        <f t="shared" si="101"/>
        <v>0</v>
      </c>
      <c r="J384" s="1286">
        <f t="shared" si="101"/>
        <v>50392.75</v>
      </c>
      <c r="K384" s="1286">
        <f t="shared" si="101"/>
        <v>51904.532500000001</v>
      </c>
      <c r="L384" s="1286">
        <f t="shared" si="101"/>
        <v>53461.668474999999</v>
      </c>
      <c r="M384" s="1286">
        <f t="shared" si="101"/>
        <v>55065.518529249995</v>
      </c>
      <c r="R384" s="282"/>
      <c r="S384" s="282"/>
      <c r="T384" s="282"/>
      <c r="U384" s="282"/>
      <c r="V384" s="282"/>
      <c r="W384" s="282"/>
      <c r="X384" s="282"/>
      <c r="Y384" s="282"/>
      <c r="Z384" s="282"/>
      <c r="AA384" s="282"/>
    </row>
    <row r="385" spans="1:27" s="428" customFormat="1" outlineLevel="3">
      <c r="A385" s="276">
        <f t="shared" si="87"/>
        <v>234</v>
      </c>
      <c r="B385" s="757">
        <f>$B$234</f>
        <v>0</v>
      </c>
      <c r="C385" s="430">
        <f t="shared" si="93"/>
        <v>0</v>
      </c>
      <c r="D385" s="430"/>
      <c r="E385" s="430"/>
      <c r="F385" s="430"/>
      <c r="G385" s="1286">
        <f>G234*$E234</f>
        <v>0</v>
      </c>
      <c r="H385" s="1286">
        <f>(H234*$E234)</f>
        <v>0</v>
      </c>
      <c r="I385" s="1286">
        <f t="shared" si="101"/>
        <v>0</v>
      </c>
      <c r="J385" s="1286">
        <f t="shared" si="101"/>
        <v>0</v>
      </c>
      <c r="K385" s="1286">
        <f t="shared" si="101"/>
        <v>0</v>
      </c>
      <c r="L385" s="1286">
        <f t="shared" si="101"/>
        <v>0</v>
      </c>
      <c r="M385" s="1286">
        <f t="shared" si="101"/>
        <v>0</v>
      </c>
      <c r="R385" s="282"/>
      <c r="S385" s="282"/>
      <c r="T385" s="282"/>
      <c r="U385" s="282"/>
      <c r="V385" s="282"/>
      <c r="W385" s="282"/>
      <c r="X385" s="282"/>
      <c r="Y385" s="282"/>
      <c r="Z385" s="282"/>
      <c r="AA385" s="282"/>
    </row>
    <row r="386" spans="1:27" s="428" customFormat="1" outlineLevel="3">
      <c r="A386" s="276">
        <f t="shared" si="87"/>
        <v>235</v>
      </c>
      <c r="B386" s="757">
        <f>$B$235</f>
        <v>0</v>
      </c>
      <c r="C386" s="430">
        <f t="shared" si="93"/>
        <v>0</v>
      </c>
      <c r="D386" s="430"/>
      <c r="E386" s="430"/>
      <c r="F386" s="430"/>
      <c r="G386" s="1286">
        <f>G235*$E235</f>
        <v>0</v>
      </c>
      <c r="H386" s="1286">
        <f>(H235*$E235)</f>
        <v>0</v>
      </c>
      <c r="I386" s="1286">
        <f t="shared" si="101"/>
        <v>0</v>
      </c>
      <c r="J386" s="1286">
        <f t="shared" si="101"/>
        <v>0</v>
      </c>
      <c r="K386" s="1286">
        <f t="shared" si="101"/>
        <v>0</v>
      </c>
      <c r="L386" s="1286">
        <f t="shared" si="101"/>
        <v>0</v>
      </c>
      <c r="M386" s="1286">
        <f t="shared" si="101"/>
        <v>0</v>
      </c>
      <c r="R386" s="282"/>
      <c r="S386" s="282"/>
      <c r="T386" s="282"/>
      <c r="U386" s="282"/>
      <c r="V386" s="282"/>
      <c r="W386" s="282"/>
      <c r="X386" s="282"/>
      <c r="Y386" s="282"/>
      <c r="Z386" s="282"/>
      <c r="AA386" s="282"/>
    </row>
    <row r="387" spans="1:27" s="428" customFormat="1" outlineLevel="3">
      <c r="A387" s="276">
        <f t="shared" si="87"/>
        <v>236</v>
      </c>
      <c r="B387" s="757"/>
      <c r="C387" s="430">
        <f t="shared" ref="C387:C416" si="102">SUM(G387:M387)</f>
        <v>0</v>
      </c>
      <c r="D387" s="430"/>
      <c r="E387" s="430"/>
      <c r="F387" s="430"/>
      <c r="G387" s="1286"/>
      <c r="H387" s="1286"/>
      <c r="I387" s="1286"/>
      <c r="J387" s="1286"/>
      <c r="K387" s="1286"/>
      <c r="L387" s="1286"/>
      <c r="M387" s="1286"/>
      <c r="R387" s="282"/>
      <c r="S387" s="282"/>
      <c r="T387" s="282"/>
      <c r="U387" s="282"/>
      <c r="V387" s="282"/>
      <c r="W387" s="282"/>
      <c r="X387" s="282"/>
      <c r="Y387" s="282"/>
      <c r="Z387" s="282"/>
      <c r="AA387" s="282"/>
    </row>
    <row r="388" spans="1:27" s="428" customFormat="1" outlineLevel="3">
      <c r="A388" s="276">
        <f t="shared" ref="A388:A417" si="103">ROW(A237)</f>
        <v>237</v>
      </c>
      <c r="B388" s="757" t="str">
        <f>$B$237</f>
        <v>10th Grade Teacher</v>
      </c>
      <c r="C388" s="430">
        <f t="shared" si="102"/>
        <v>160431.71950424998</v>
      </c>
      <c r="D388" s="430"/>
      <c r="E388" s="430"/>
      <c r="F388" s="430"/>
      <c r="G388" s="1286">
        <f>G237*$E237</f>
        <v>0</v>
      </c>
      <c r="H388" s="1286">
        <f>(H237*$E237)</f>
        <v>0</v>
      </c>
      <c r="I388" s="1286">
        <f t="shared" ref="I388:M392" si="104">(I237*$E237)*$C$46^(I$11-$H$11)</f>
        <v>0</v>
      </c>
      <c r="J388" s="1286">
        <f t="shared" si="104"/>
        <v>0</v>
      </c>
      <c r="K388" s="1286">
        <f t="shared" si="104"/>
        <v>51904.532500000001</v>
      </c>
      <c r="L388" s="1286">
        <f t="shared" si="104"/>
        <v>53461.668474999999</v>
      </c>
      <c r="M388" s="1286">
        <f t="shared" si="104"/>
        <v>55065.518529249995</v>
      </c>
      <c r="R388" s="282"/>
      <c r="S388" s="282"/>
      <c r="T388" s="282"/>
      <c r="U388" s="282"/>
      <c r="V388" s="282"/>
      <c r="W388" s="282"/>
      <c r="X388" s="282"/>
      <c r="Y388" s="282"/>
      <c r="Z388" s="282"/>
      <c r="AA388" s="282"/>
    </row>
    <row r="389" spans="1:27" s="428" customFormat="1" outlineLevel="3">
      <c r="A389" s="276">
        <f t="shared" si="103"/>
        <v>238</v>
      </c>
      <c r="B389" s="757" t="str">
        <f>$B$238</f>
        <v>10th Grade Teacher</v>
      </c>
      <c r="C389" s="430">
        <f t="shared" si="102"/>
        <v>160431.71950424998</v>
      </c>
      <c r="D389" s="430"/>
      <c r="E389" s="430"/>
      <c r="F389" s="430"/>
      <c r="G389" s="1286">
        <f>G238*$E238</f>
        <v>0</v>
      </c>
      <c r="H389" s="1286">
        <f>(H238*$E238)</f>
        <v>0</v>
      </c>
      <c r="I389" s="1286">
        <f t="shared" si="104"/>
        <v>0</v>
      </c>
      <c r="J389" s="1286">
        <f t="shared" si="104"/>
        <v>0</v>
      </c>
      <c r="K389" s="1286">
        <f t="shared" si="104"/>
        <v>51904.532500000001</v>
      </c>
      <c r="L389" s="1286">
        <f t="shared" si="104"/>
        <v>53461.668474999999</v>
      </c>
      <c r="M389" s="1286">
        <f t="shared" si="104"/>
        <v>55065.518529249995</v>
      </c>
      <c r="R389" s="282"/>
      <c r="S389" s="282"/>
      <c r="T389" s="282"/>
      <c r="U389" s="282"/>
      <c r="V389" s="282"/>
      <c r="W389" s="282"/>
      <c r="X389" s="282"/>
      <c r="Y389" s="282"/>
      <c r="Z389" s="282"/>
      <c r="AA389" s="282"/>
    </row>
    <row r="390" spans="1:27" s="428" customFormat="1" outlineLevel="3">
      <c r="A390" s="276">
        <f t="shared" si="103"/>
        <v>239</v>
      </c>
      <c r="B390" s="757" t="str">
        <f>$B$239</f>
        <v>10th Grade Teacher</v>
      </c>
      <c r="C390" s="430">
        <f t="shared" si="102"/>
        <v>160431.71950424998</v>
      </c>
      <c r="D390" s="430"/>
      <c r="E390" s="430"/>
      <c r="F390" s="430"/>
      <c r="G390" s="1286">
        <f>G239*$E239</f>
        <v>0</v>
      </c>
      <c r="H390" s="1286">
        <f>(H239*$E239)</f>
        <v>0</v>
      </c>
      <c r="I390" s="1286">
        <f t="shared" si="104"/>
        <v>0</v>
      </c>
      <c r="J390" s="1286">
        <f t="shared" si="104"/>
        <v>0</v>
      </c>
      <c r="K390" s="1286">
        <f t="shared" si="104"/>
        <v>51904.532500000001</v>
      </c>
      <c r="L390" s="1286">
        <f t="shared" si="104"/>
        <v>53461.668474999999</v>
      </c>
      <c r="M390" s="1286">
        <f t="shared" si="104"/>
        <v>55065.518529249995</v>
      </c>
      <c r="R390" s="282"/>
      <c r="S390" s="282"/>
      <c r="T390" s="282"/>
      <c r="U390" s="282"/>
      <c r="V390" s="282"/>
      <c r="W390" s="282"/>
      <c r="X390" s="282"/>
      <c r="Y390" s="282"/>
      <c r="Z390" s="282"/>
      <c r="AA390" s="282"/>
    </row>
    <row r="391" spans="1:27" s="428" customFormat="1" outlineLevel="3">
      <c r="A391" s="276">
        <f t="shared" si="103"/>
        <v>240</v>
      </c>
      <c r="B391" s="757">
        <f>$B$240</f>
        <v>0</v>
      </c>
      <c r="C391" s="430">
        <f t="shared" si="102"/>
        <v>0</v>
      </c>
      <c r="D391" s="430"/>
      <c r="E391" s="430"/>
      <c r="F391" s="430"/>
      <c r="G391" s="1286">
        <f>G240*$E240</f>
        <v>0</v>
      </c>
      <c r="H391" s="1286">
        <f>(H240*$E240)</f>
        <v>0</v>
      </c>
      <c r="I391" s="1286">
        <f t="shared" si="104"/>
        <v>0</v>
      </c>
      <c r="J391" s="1286">
        <f t="shared" si="104"/>
        <v>0</v>
      </c>
      <c r="K391" s="1286">
        <f t="shared" si="104"/>
        <v>0</v>
      </c>
      <c r="L391" s="1286">
        <f t="shared" si="104"/>
        <v>0</v>
      </c>
      <c r="M391" s="1286">
        <f t="shared" si="104"/>
        <v>0</v>
      </c>
      <c r="R391" s="282"/>
      <c r="S391" s="282"/>
      <c r="T391" s="282"/>
      <c r="U391" s="282"/>
      <c r="V391" s="282"/>
      <c r="W391" s="282"/>
      <c r="X391" s="282"/>
      <c r="Y391" s="282"/>
      <c r="Z391" s="282"/>
      <c r="AA391" s="282"/>
    </row>
    <row r="392" spans="1:27" s="428" customFormat="1" outlineLevel="3">
      <c r="A392" s="276">
        <f t="shared" si="103"/>
        <v>241</v>
      </c>
      <c r="B392" s="757">
        <f>$B$241</f>
        <v>0</v>
      </c>
      <c r="C392" s="430">
        <f t="shared" si="102"/>
        <v>0</v>
      </c>
      <c r="D392" s="430"/>
      <c r="E392" s="430"/>
      <c r="F392" s="430"/>
      <c r="G392" s="1286">
        <f>G241*$E241</f>
        <v>0</v>
      </c>
      <c r="H392" s="1286">
        <f>(H241*$E241)</f>
        <v>0</v>
      </c>
      <c r="I392" s="1286">
        <f t="shared" si="104"/>
        <v>0</v>
      </c>
      <c r="J392" s="1286">
        <f t="shared" si="104"/>
        <v>0</v>
      </c>
      <c r="K392" s="1286">
        <f t="shared" si="104"/>
        <v>0</v>
      </c>
      <c r="L392" s="1286">
        <f t="shared" si="104"/>
        <v>0</v>
      </c>
      <c r="M392" s="1286">
        <f t="shared" si="104"/>
        <v>0</v>
      </c>
      <c r="R392" s="282"/>
      <c r="S392" s="282"/>
      <c r="T392" s="282"/>
      <c r="U392" s="282"/>
      <c r="V392" s="282"/>
      <c r="W392" s="282"/>
      <c r="X392" s="282"/>
      <c r="Y392" s="282"/>
      <c r="Z392" s="282"/>
      <c r="AA392" s="282"/>
    </row>
    <row r="393" spans="1:27" s="431" customFormat="1" outlineLevel="3">
      <c r="A393" s="276">
        <f t="shared" si="103"/>
        <v>242</v>
      </c>
      <c r="B393" s="757"/>
      <c r="C393" s="430">
        <f t="shared" si="102"/>
        <v>0</v>
      </c>
      <c r="D393" s="430"/>
      <c r="E393" s="430"/>
      <c r="F393" s="430"/>
      <c r="G393" s="1286"/>
      <c r="H393" s="1286"/>
      <c r="I393" s="1286"/>
      <c r="J393" s="1286"/>
      <c r="K393" s="1286"/>
      <c r="L393" s="1286"/>
      <c r="M393" s="1286"/>
      <c r="R393" s="282"/>
      <c r="S393" s="282"/>
      <c r="T393" s="282"/>
      <c r="U393" s="282"/>
      <c r="V393" s="282"/>
      <c r="W393" s="282"/>
      <c r="X393" s="282"/>
      <c r="Y393" s="282"/>
      <c r="Z393" s="282"/>
      <c r="AA393" s="282"/>
    </row>
    <row r="394" spans="1:27" s="428" customFormat="1" outlineLevel="3">
      <c r="A394" s="276">
        <f t="shared" si="103"/>
        <v>243</v>
      </c>
      <c r="B394" s="757" t="str">
        <f>$B$243</f>
        <v>11th Grade Teacher</v>
      </c>
      <c r="C394" s="430">
        <f t="shared" si="102"/>
        <v>108527.18700424999</v>
      </c>
      <c r="D394" s="430"/>
      <c r="E394" s="430"/>
      <c r="F394" s="430"/>
      <c r="G394" s="1286">
        <f>G243*$E243</f>
        <v>0</v>
      </c>
      <c r="H394" s="1286">
        <f>(H243*$E243)</f>
        <v>0</v>
      </c>
      <c r="I394" s="1286">
        <f t="shared" ref="I394:M398" si="105">(I243*$E243)*$C$46^(I$11-$H$11)</f>
        <v>0</v>
      </c>
      <c r="J394" s="1286">
        <f t="shared" si="105"/>
        <v>0</v>
      </c>
      <c r="K394" s="1286">
        <f t="shared" si="105"/>
        <v>0</v>
      </c>
      <c r="L394" s="1286">
        <f t="shared" si="105"/>
        <v>53461.668474999999</v>
      </c>
      <c r="M394" s="1286">
        <f t="shared" si="105"/>
        <v>55065.518529249995</v>
      </c>
      <c r="R394" s="282"/>
      <c r="S394" s="282"/>
      <c r="T394" s="282"/>
      <c r="U394" s="282"/>
      <c r="V394" s="282"/>
      <c r="W394" s="282"/>
      <c r="X394" s="282"/>
      <c r="Y394" s="282"/>
      <c r="Z394" s="282"/>
      <c r="AA394" s="282"/>
    </row>
    <row r="395" spans="1:27" s="428" customFormat="1" outlineLevel="3">
      <c r="A395" s="276">
        <f t="shared" si="103"/>
        <v>244</v>
      </c>
      <c r="B395" s="757" t="str">
        <f>$B$244</f>
        <v>11th Grade Teacher</v>
      </c>
      <c r="C395" s="430">
        <f t="shared" si="102"/>
        <v>108527.18700424999</v>
      </c>
      <c r="D395" s="430"/>
      <c r="E395" s="430"/>
      <c r="F395" s="430"/>
      <c r="G395" s="1286">
        <f>G244*$E244</f>
        <v>0</v>
      </c>
      <c r="H395" s="1286">
        <f>(H244*$E244)</f>
        <v>0</v>
      </c>
      <c r="I395" s="1286">
        <f t="shared" si="105"/>
        <v>0</v>
      </c>
      <c r="J395" s="1286">
        <f t="shared" si="105"/>
        <v>0</v>
      </c>
      <c r="K395" s="1286">
        <f t="shared" si="105"/>
        <v>0</v>
      </c>
      <c r="L395" s="1286">
        <f t="shared" si="105"/>
        <v>53461.668474999999</v>
      </c>
      <c r="M395" s="1286">
        <f t="shared" si="105"/>
        <v>55065.518529249995</v>
      </c>
      <c r="R395" s="282"/>
      <c r="S395" s="282"/>
      <c r="T395" s="282"/>
      <c r="U395" s="282"/>
      <c r="V395" s="282"/>
      <c r="W395" s="282"/>
      <c r="X395" s="282"/>
      <c r="Y395" s="282"/>
      <c r="Z395" s="282"/>
      <c r="AA395" s="282"/>
    </row>
    <row r="396" spans="1:27" s="428" customFormat="1" outlineLevel="3">
      <c r="A396" s="276">
        <f t="shared" si="103"/>
        <v>245</v>
      </c>
      <c r="B396" s="757" t="str">
        <f>$B$245</f>
        <v>11th Grade Teacher</v>
      </c>
      <c r="C396" s="430">
        <f t="shared" si="102"/>
        <v>108527.18700424999</v>
      </c>
      <c r="D396" s="430"/>
      <c r="E396" s="430"/>
      <c r="F396" s="430"/>
      <c r="G396" s="1286">
        <f>G245*$E245</f>
        <v>0</v>
      </c>
      <c r="H396" s="1286">
        <f>(H245*$E245)</f>
        <v>0</v>
      </c>
      <c r="I396" s="1286">
        <f t="shared" si="105"/>
        <v>0</v>
      </c>
      <c r="J396" s="1286">
        <f t="shared" si="105"/>
        <v>0</v>
      </c>
      <c r="K396" s="1286">
        <f t="shared" si="105"/>
        <v>0</v>
      </c>
      <c r="L396" s="1286">
        <f t="shared" si="105"/>
        <v>53461.668474999999</v>
      </c>
      <c r="M396" s="1286">
        <f t="shared" si="105"/>
        <v>55065.518529249995</v>
      </c>
      <c r="R396" s="282"/>
      <c r="S396" s="282"/>
      <c r="T396" s="282"/>
      <c r="U396" s="282"/>
      <c r="V396" s="282"/>
      <c r="W396" s="282"/>
      <c r="X396" s="282"/>
      <c r="Y396" s="282"/>
      <c r="Z396" s="282"/>
      <c r="AA396" s="282"/>
    </row>
    <row r="397" spans="1:27" s="428" customFormat="1" outlineLevel="3">
      <c r="A397" s="276">
        <f t="shared" si="103"/>
        <v>246</v>
      </c>
      <c r="B397" s="757">
        <f>$B$246</f>
        <v>0</v>
      </c>
      <c r="C397" s="430">
        <f t="shared" si="102"/>
        <v>0</v>
      </c>
      <c r="D397" s="430"/>
      <c r="E397" s="430"/>
      <c r="F397" s="430"/>
      <c r="G397" s="1286">
        <f>G246*$E246</f>
        <v>0</v>
      </c>
      <c r="H397" s="1286">
        <f>(H246*$E246)</f>
        <v>0</v>
      </c>
      <c r="I397" s="1286">
        <f t="shared" si="105"/>
        <v>0</v>
      </c>
      <c r="J397" s="1286">
        <f t="shared" si="105"/>
        <v>0</v>
      </c>
      <c r="K397" s="1286">
        <f t="shared" si="105"/>
        <v>0</v>
      </c>
      <c r="L397" s="1286">
        <f t="shared" si="105"/>
        <v>0</v>
      </c>
      <c r="M397" s="1286">
        <f t="shared" si="105"/>
        <v>0</v>
      </c>
      <c r="R397" s="282"/>
      <c r="S397" s="282"/>
      <c r="T397" s="282"/>
      <c r="U397" s="282"/>
      <c r="V397" s="282"/>
      <c r="W397" s="282"/>
      <c r="X397" s="282"/>
      <c r="Y397" s="282"/>
      <c r="Z397" s="282"/>
      <c r="AA397" s="282"/>
    </row>
    <row r="398" spans="1:27" s="428" customFormat="1" outlineLevel="3">
      <c r="A398" s="276">
        <f t="shared" si="103"/>
        <v>247</v>
      </c>
      <c r="B398" s="757">
        <f>$B$247</f>
        <v>0</v>
      </c>
      <c r="C398" s="430">
        <f t="shared" si="102"/>
        <v>0</v>
      </c>
      <c r="D398" s="430"/>
      <c r="E398" s="430"/>
      <c r="F398" s="430"/>
      <c r="G398" s="1286">
        <f>G247*$E247</f>
        <v>0</v>
      </c>
      <c r="H398" s="1286">
        <f>(H247*$E247)</f>
        <v>0</v>
      </c>
      <c r="I398" s="1286">
        <f t="shared" si="105"/>
        <v>0</v>
      </c>
      <c r="J398" s="1286">
        <f t="shared" si="105"/>
        <v>0</v>
      </c>
      <c r="K398" s="1286">
        <f t="shared" si="105"/>
        <v>0</v>
      </c>
      <c r="L398" s="1286">
        <f t="shared" si="105"/>
        <v>0</v>
      </c>
      <c r="M398" s="1286">
        <f t="shared" si="105"/>
        <v>0</v>
      </c>
      <c r="R398" s="282"/>
      <c r="S398" s="282"/>
      <c r="T398" s="282"/>
      <c r="U398" s="282"/>
      <c r="V398" s="282"/>
      <c r="W398" s="282"/>
      <c r="X398" s="282"/>
      <c r="Y398" s="282"/>
      <c r="Z398" s="282"/>
      <c r="AA398" s="282"/>
    </row>
    <row r="399" spans="1:27" s="431" customFormat="1" outlineLevel="3">
      <c r="A399" s="276">
        <f t="shared" si="103"/>
        <v>248</v>
      </c>
      <c r="B399" s="757"/>
      <c r="C399" s="430">
        <f t="shared" si="102"/>
        <v>0</v>
      </c>
      <c r="D399" s="430"/>
      <c r="E399" s="430"/>
      <c r="F399" s="430"/>
      <c r="G399" s="1286"/>
      <c r="H399" s="1286"/>
      <c r="I399" s="1286"/>
      <c r="J399" s="1286"/>
      <c r="K399" s="1286"/>
      <c r="L399" s="1286"/>
      <c r="M399" s="1286"/>
      <c r="R399" s="282"/>
      <c r="S399" s="282"/>
      <c r="T399" s="282"/>
      <c r="U399" s="282"/>
      <c r="V399" s="282"/>
      <c r="W399" s="282"/>
      <c r="X399" s="282"/>
      <c r="Y399" s="282"/>
      <c r="Z399" s="282"/>
      <c r="AA399" s="282"/>
    </row>
    <row r="400" spans="1:27" s="428" customFormat="1" outlineLevel="3">
      <c r="A400" s="276">
        <f t="shared" si="103"/>
        <v>249</v>
      </c>
      <c r="B400" s="757" t="str">
        <f>$B$249</f>
        <v>12th Grade Teacher</v>
      </c>
      <c r="C400" s="430">
        <f t="shared" si="102"/>
        <v>55065.518529249995</v>
      </c>
      <c r="D400" s="430"/>
      <c r="E400" s="430"/>
      <c r="F400" s="430"/>
      <c r="G400" s="1286">
        <f>G249*$E249</f>
        <v>0</v>
      </c>
      <c r="H400" s="1286">
        <f>(H249*$E249)</f>
        <v>0</v>
      </c>
      <c r="I400" s="1286">
        <f t="shared" ref="I400:M404" si="106">(I249*$E249)*$C$46^(I$11-$H$11)</f>
        <v>0</v>
      </c>
      <c r="J400" s="1286">
        <f t="shared" si="106"/>
        <v>0</v>
      </c>
      <c r="K400" s="1286">
        <f t="shared" si="106"/>
        <v>0</v>
      </c>
      <c r="L400" s="1286">
        <f t="shared" si="106"/>
        <v>0</v>
      </c>
      <c r="M400" s="1286">
        <f t="shared" si="106"/>
        <v>55065.518529249995</v>
      </c>
      <c r="R400" s="282"/>
      <c r="S400" s="282"/>
      <c r="T400" s="282"/>
      <c r="U400" s="282"/>
      <c r="V400" s="282"/>
      <c r="W400" s="282"/>
      <c r="X400" s="282"/>
      <c r="Y400" s="282"/>
      <c r="Z400" s="282"/>
      <c r="AA400" s="282"/>
    </row>
    <row r="401" spans="1:27" s="428" customFormat="1" outlineLevel="3">
      <c r="A401" s="276">
        <f t="shared" si="103"/>
        <v>250</v>
      </c>
      <c r="B401" s="757" t="str">
        <f>$B$250</f>
        <v>12th Grade Teacher</v>
      </c>
      <c r="C401" s="430">
        <f t="shared" si="102"/>
        <v>55065.518529249995</v>
      </c>
      <c r="D401" s="430"/>
      <c r="E401" s="430"/>
      <c r="F401" s="430"/>
      <c r="G401" s="1286">
        <f>G250*$E250</f>
        <v>0</v>
      </c>
      <c r="H401" s="1286">
        <f>(H250*$E250)</f>
        <v>0</v>
      </c>
      <c r="I401" s="1286">
        <f t="shared" si="106"/>
        <v>0</v>
      </c>
      <c r="J401" s="1286">
        <f t="shared" si="106"/>
        <v>0</v>
      </c>
      <c r="K401" s="1286">
        <f t="shared" si="106"/>
        <v>0</v>
      </c>
      <c r="L401" s="1286">
        <f t="shared" si="106"/>
        <v>0</v>
      </c>
      <c r="M401" s="1286">
        <f t="shared" si="106"/>
        <v>55065.518529249995</v>
      </c>
      <c r="R401" s="282"/>
      <c r="S401" s="282"/>
      <c r="T401" s="282"/>
      <c r="U401" s="282"/>
      <c r="V401" s="282"/>
      <c r="W401" s="282"/>
      <c r="X401" s="282"/>
      <c r="Y401" s="282"/>
      <c r="Z401" s="282"/>
      <c r="AA401" s="282"/>
    </row>
    <row r="402" spans="1:27" s="428" customFormat="1" outlineLevel="3">
      <c r="A402" s="276">
        <f t="shared" si="103"/>
        <v>251</v>
      </c>
      <c r="B402" s="757" t="str">
        <f>$B$251</f>
        <v>12th Grade Teacher</v>
      </c>
      <c r="C402" s="430">
        <f t="shared" si="102"/>
        <v>55065.518529249995</v>
      </c>
      <c r="D402" s="430"/>
      <c r="E402" s="430"/>
      <c r="F402" s="430"/>
      <c r="G402" s="1286">
        <f>G251*$E251</f>
        <v>0</v>
      </c>
      <c r="H402" s="1286">
        <f>(H251*$E251)</f>
        <v>0</v>
      </c>
      <c r="I402" s="1286">
        <f t="shared" si="106"/>
        <v>0</v>
      </c>
      <c r="J402" s="1286">
        <f t="shared" si="106"/>
        <v>0</v>
      </c>
      <c r="K402" s="1286">
        <f t="shared" si="106"/>
        <v>0</v>
      </c>
      <c r="L402" s="1286">
        <f t="shared" si="106"/>
        <v>0</v>
      </c>
      <c r="M402" s="1286">
        <f t="shared" si="106"/>
        <v>55065.518529249995</v>
      </c>
      <c r="R402" s="282"/>
      <c r="S402" s="282"/>
      <c r="T402" s="282"/>
      <c r="U402" s="282"/>
      <c r="V402" s="282"/>
      <c r="W402" s="282"/>
      <c r="X402" s="282"/>
      <c r="Y402" s="282"/>
      <c r="Z402" s="282"/>
      <c r="AA402" s="282"/>
    </row>
    <row r="403" spans="1:27" s="428" customFormat="1" outlineLevel="3">
      <c r="A403" s="276">
        <f t="shared" si="103"/>
        <v>252</v>
      </c>
      <c r="B403" s="757">
        <f>$B$252</f>
        <v>0</v>
      </c>
      <c r="C403" s="430">
        <f t="shared" si="102"/>
        <v>0</v>
      </c>
      <c r="D403" s="430"/>
      <c r="E403" s="430"/>
      <c r="F403" s="430"/>
      <c r="G403" s="1286">
        <f>G252*$E252</f>
        <v>0</v>
      </c>
      <c r="H403" s="1286">
        <f>(H252*$E252)</f>
        <v>0</v>
      </c>
      <c r="I403" s="1286">
        <f t="shared" si="106"/>
        <v>0</v>
      </c>
      <c r="J403" s="1286">
        <f t="shared" si="106"/>
        <v>0</v>
      </c>
      <c r="K403" s="1286">
        <f t="shared" si="106"/>
        <v>0</v>
      </c>
      <c r="L403" s="1286">
        <f t="shared" si="106"/>
        <v>0</v>
      </c>
      <c r="M403" s="1286">
        <f t="shared" si="106"/>
        <v>0</v>
      </c>
      <c r="R403" s="282"/>
      <c r="S403" s="282"/>
      <c r="T403" s="282"/>
      <c r="U403" s="282"/>
      <c r="V403" s="282"/>
      <c r="W403" s="282"/>
      <c r="X403" s="282"/>
      <c r="Y403" s="282"/>
      <c r="Z403" s="282"/>
      <c r="AA403" s="282"/>
    </row>
    <row r="404" spans="1:27" s="428" customFormat="1" outlineLevel="3">
      <c r="A404" s="276">
        <f t="shared" si="103"/>
        <v>253</v>
      </c>
      <c r="B404" s="757">
        <f>$B$253</f>
        <v>0</v>
      </c>
      <c r="C404" s="430">
        <f t="shared" si="102"/>
        <v>0</v>
      </c>
      <c r="D404" s="430"/>
      <c r="E404" s="430"/>
      <c r="F404" s="430"/>
      <c r="G404" s="1286">
        <f>G253*$E253</f>
        <v>0</v>
      </c>
      <c r="H404" s="1286">
        <f>(H253*$E253)</f>
        <v>0</v>
      </c>
      <c r="I404" s="1286">
        <f t="shared" si="106"/>
        <v>0</v>
      </c>
      <c r="J404" s="1286">
        <f t="shared" si="106"/>
        <v>0</v>
      </c>
      <c r="K404" s="1286">
        <f t="shared" si="106"/>
        <v>0</v>
      </c>
      <c r="L404" s="1286">
        <f t="shared" si="106"/>
        <v>0</v>
      </c>
      <c r="M404" s="1286">
        <f t="shared" si="106"/>
        <v>0</v>
      </c>
      <c r="R404" s="282"/>
      <c r="S404" s="282"/>
      <c r="T404" s="282"/>
      <c r="U404" s="282"/>
      <c r="V404" s="282"/>
      <c r="W404" s="282"/>
      <c r="X404" s="282"/>
      <c r="Y404" s="282"/>
      <c r="Z404" s="282"/>
      <c r="AA404" s="282"/>
    </row>
    <row r="405" spans="1:27" s="428" customFormat="1" outlineLevel="3">
      <c r="A405" s="276">
        <f t="shared" si="103"/>
        <v>254</v>
      </c>
      <c r="B405" s="757"/>
      <c r="C405" s="430">
        <f t="shared" si="102"/>
        <v>0</v>
      </c>
      <c r="D405" s="430"/>
      <c r="E405" s="430"/>
      <c r="F405" s="430"/>
      <c r="G405" s="1286"/>
      <c r="H405" s="1286"/>
      <c r="I405" s="1286"/>
      <c r="J405" s="1286"/>
      <c r="K405" s="1286"/>
      <c r="L405" s="1286"/>
      <c r="M405" s="1286"/>
      <c r="R405" s="282"/>
      <c r="S405" s="282"/>
      <c r="T405" s="282"/>
      <c r="U405" s="282"/>
      <c r="V405" s="282"/>
      <c r="W405" s="282"/>
      <c r="X405" s="282"/>
      <c r="Y405" s="282"/>
      <c r="Z405" s="282"/>
      <c r="AA405" s="282"/>
    </row>
    <row r="406" spans="1:27" s="428" customFormat="1" outlineLevel="3">
      <c r="A406" s="276">
        <f t="shared" si="103"/>
        <v>255</v>
      </c>
      <c r="B406" s="757" t="str">
        <f>$B$255</f>
        <v>Instructional Aide</v>
      </c>
      <c r="C406" s="430">
        <f t="shared" si="102"/>
        <v>194052.29652899998</v>
      </c>
      <c r="D406" s="430"/>
      <c r="E406" s="430"/>
      <c r="F406" s="430"/>
      <c r="G406" s="1286">
        <f>G255*$E255</f>
        <v>0</v>
      </c>
      <c r="H406" s="1286">
        <f>(H255*$E255)</f>
        <v>30000</v>
      </c>
      <c r="I406" s="1286">
        <f t="shared" ref="I406:M410" si="107">(I255*$E255)*$C$46^(I$11-$H$11)</f>
        <v>30900</v>
      </c>
      <c r="J406" s="1286">
        <f t="shared" si="107"/>
        <v>31827</v>
      </c>
      <c r="K406" s="1286">
        <f t="shared" si="107"/>
        <v>32781.81</v>
      </c>
      <c r="L406" s="1286">
        <f t="shared" si="107"/>
        <v>33765.264299999995</v>
      </c>
      <c r="M406" s="1286">
        <f t="shared" si="107"/>
        <v>34778.222228999992</v>
      </c>
      <c r="R406" s="282"/>
      <c r="S406" s="282"/>
      <c r="T406" s="282"/>
      <c r="U406" s="282"/>
      <c r="V406" s="282"/>
      <c r="W406" s="282"/>
      <c r="X406" s="282"/>
      <c r="Y406" s="282"/>
      <c r="Z406" s="282"/>
      <c r="AA406" s="282"/>
    </row>
    <row r="407" spans="1:27" s="428" customFormat="1" outlineLevel="3">
      <c r="A407" s="276">
        <f t="shared" si="103"/>
        <v>256</v>
      </c>
      <c r="B407" s="757" t="str">
        <f>$B$256</f>
        <v>Instructional Aide</v>
      </c>
      <c r="C407" s="430">
        <f t="shared" si="102"/>
        <v>164052.29652899998</v>
      </c>
      <c r="D407" s="430"/>
      <c r="E407" s="430"/>
      <c r="F407" s="430"/>
      <c r="G407" s="1286">
        <f>G256*$E256</f>
        <v>0</v>
      </c>
      <c r="H407" s="1286">
        <f>(H256*$E256)</f>
        <v>0</v>
      </c>
      <c r="I407" s="1286">
        <f t="shared" si="107"/>
        <v>30900</v>
      </c>
      <c r="J407" s="1286">
        <f t="shared" si="107"/>
        <v>31827</v>
      </c>
      <c r="K407" s="1286">
        <f t="shared" si="107"/>
        <v>32781.81</v>
      </c>
      <c r="L407" s="1286">
        <f t="shared" si="107"/>
        <v>33765.264299999995</v>
      </c>
      <c r="M407" s="1286">
        <f t="shared" si="107"/>
        <v>34778.222228999992</v>
      </c>
      <c r="R407" s="282"/>
      <c r="S407" s="282"/>
      <c r="T407" s="282"/>
      <c r="U407" s="282"/>
      <c r="V407" s="282"/>
      <c r="W407" s="282"/>
      <c r="X407" s="282"/>
      <c r="Y407" s="282"/>
      <c r="Z407" s="282"/>
      <c r="AA407" s="282"/>
    </row>
    <row r="408" spans="1:27" s="428" customFormat="1" outlineLevel="3">
      <c r="A408" s="276">
        <f t="shared" si="103"/>
        <v>257</v>
      </c>
      <c r="B408" s="757" t="str">
        <f>$B$257</f>
        <v>Instructional Aide</v>
      </c>
      <c r="C408" s="430">
        <f t="shared" si="102"/>
        <v>164052.29652899998</v>
      </c>
      <c r="D408" s="430"/>
      <c r="E408" s="430"/>
      <c r="F408" s="430"/>
      <c r="G408" s="1286">
        <f>G257*$E257</f>
        <v>0</v>
      </c>
      <c r="H408" s="1286">
        <f>(H257*$E257)</f>
        <v>0</v>
      </c>
      <c r="I408" s="1286">
        <f t="shared" si="107"/>
        <v>30900</v>
      </c>
      <c r="J408" s="1286">
        <f t="shared" si="107"/>
        <v>31827</v>
      </c>
      <c r="K408" s="1286">
        <f t="shared" si="107"/>
        <v>32781.81</v>
      </c>
      <c r="L408" s="1286">
        <f t="shared" si="107"/>
        <v>33765.264299999995</v>
      </c>
      <c r="M408" s="1286">
        <f t="shared" si="107"/>
        <v>34778.222228999992</v>
      </c>
      <c r="R408" s="282"/>
      <c r="S408" s="282"/>
      <c r="T408" s="282"/>
      <c r="U408" s="282"/>
      <c r="V408" s="282"/>
      <c r="W408" s="282"/>
      <c r="X408" s="282"/>
      <c r="Y408" s="282"/>
      <c r="Z408" s="282"/>
      <c r="AA408" s="282"/>
    </row>
    <row r="409" spans="1:27" s="428" customFormat="1" outlineLevel="3">
      <c r="A409" s="276">
        <f t="shared" si="103"/>
        <v>258</v>
      </c>
      <c r="B409" s="757" t="str">
        <f>$B$258</f>
        <v>Instructional Aide</v>
      </c>
      <c r="C409" s="430">
        <f t="shared" si="102"/>
        <v>133152.29652899998</v>
      </c>
      <c r="D409" s="430"/>
      <c r="E409" s="430"/>
      <c r="F409" s="430"/>
      <c r="G409" s="1286">
        <f>G258*$E258</f>
        <v>0</v>
      </c>
      <c r="H409" s="1286">
        <f>(H258*$E258)</f>
        <v>0</v>
      </c>
      <c r="I409" s="1286">
        <f t="shared" si="107"/>
        <v>0</v>
      </c>
      <c r="J409" s="1286">
        <f t="shared" si="107"/>
        <v>31827</v>
      </c>
      <c r="K409" s="1286">
        <f t="shared" si="107"/>
        <v>32781.81</v>
      </c>
      <c r="L409" s="1286">
        <f t="shared" si="107"/>
        <v>33765.264299999995</v>
      </c>
      <c r="M409" s="1286">
        <f t="shared" si="107"/>
        <v>34778.222228999992</v>
      </c>
      <c r="R409" s="282"/>
      <c r="S409" s="282"/>
      <c r="T409" s="282"/>
      <c r="U409" s="282"/>
      <c r="V409" s="282"/>
      <c r="W409" s="282"/>
      <c r="X409" s="282"/>
      <c r="Y409" s="282"/>
      <c r="Z409" s="282"/>
      <c r="AA409" s="282"/>
    </row>
    <row r="410" spans="1:27" s="428" customFormat="1" outlineLevel="3">
      <c r="A410" s="276">
        <f t="shared" si="103"/>
        <v>259</v>
      </c>
      <c r="B410" s="757" t="str">
        <f>$B$259</f>
        <v>Instructional Aide</v>
      </c>
      <c r="C410" s="430">
        <f t="shared" si="102"/>
        <v>133152.29652899998</v>
      </c>
      <c r="D410" s="430"/>
      <c r="E410" s="430"/>
      <c r="F410" s="430"/>
      <c r="G410" s="1286">
        <f>G259*$E259</f>
        <v>0</v>
      </c>
      <c r="H410" s="1286">
        <f>(H259*$E259)</f>
        <v>0</v>
      </c>
      <c r="I410" s="1286">
        <f t="shared" si="107"/>
        <v>0</v>
      </c>
      <c r="J410" s="1286">
        <f t="shared" si="107"/>
        <v>31827</v>
      </c>
      <c r="K410" s="1286">
        <f t="shared" si="107"/>
        <v>32781.81</v>
      </c>
      <c r="L410" s="1286">
        <f t="shared" si="107"/>
        <v>33765.264299999995</v>
      </c>
      <c r="M410" s="1286">
        <f t="shared" si="107"/>
        <v>34778.222228999992</v>
      </c>
      <c r="R410" s="282"/>
      <c r="S410" s="282"/>
      <c r="T410" s="282"/>
      <c r="U410" s="282"/>
      <c r="V410" s="282"/>
      <c r="W410" s="282"/>
      <c r="X410" s="282"/>
      <c r="Y410" s="282"/>
      <c r="Z410" s="282"/>
      <c r="AA410" s="282"/>
    </row>
    <row r="411" spans="1:27" s="428" customFormat="1" outlineLevel="3">
      <c r="A411" s="276">
        <f t="shared" si="103"/>
        <v>260</v>
      </c>
      <c r="B411" s="757"/>
      <c r="C411" s="430">
        <f t="shared" si="102"/>
        <v>0</v>
      </c>
      <c r="D411" s="430"/>
      <c r="E411" s="430"/>
      <c r="F411" s="430"/>
      <c r="G411" s="1286"/>
      <c r="H411" s="1286"/>
      <c r="I411" s="1286"/>
      <c r="J411" s="1286"/>
      <c r="K411" s="1286"/>
      <c r="L411" s="1286"/>
      <c r="M411" s="1286"/>
      <c r="R411" s="282"/>
      <c r="S411" s="282"/>
      <c r="T411" s="282"/>
      <c r="U411" s="282"/>
      <c r="V411" s="282"/>
      <c r="W411" s="282"/>
      <c r="X411" s="282"/>
      <c r="Y411" s="282"/>
      <c r="Z411" s="282"/>
      <c r="AA411" s="282"/>
    </row>
    <row r="412" spans="1:27" s="428" customFormat="1" outlineLevel="3">
      <c r="A412" s="276">
        <f t="shared" si="103"/>
        <v>261</v>
      </c>
      <c r="B412" s="757" t="str">
        <f>$B$261</f>
        <v>Instructional Aide</v>
      </c>
      <c r="C412" s="430">
        <f t="shared" si="102"/>
        <v>101325.29652899998</v>
      </c>
      <c r="D412" s="430"/>
      <c r="E412" s="430"/>
      <c r="F412" s="430"/>
      <c r="G412" s="1286">
        <f>G261*$E261</f>
        <v>0</v>
      </c>
      <c r="H412" s="1286">
        <f>(H261*$E261)</f>
        <v>0</v>
      </c>
      <c r="I412" s="1286">
        <f t="shared" ref="I412:M416" si="108">(I261*$E261)*$C$46^(I$11-$H$11)</f>
        <v>0</v>
      </c>
      <c r="J412" s="1286">
        <f t="shared" si="108"/>
        <v>0</v>
      </c>
      <c r="K412" s="1286">
        <f t="shared" si="108"/>
        <v>32781.81</v>
      </c>
      <c r="L412" s="1286">
        <f t="shared" si="108"/>
        <v>33765.264299999995</v>
      </c>
      <c r="M412" s="1286">
        <f t="shared" si="108"/>
        <v>34778.222228999992</v>
      </c>
      <c r="R412" s="282"/>
      <c r="S412" s="282"/>
      <c r="T412" s="282"/>
      <c r="U412" s="282"/>
      <c r="V412" s="282"/>
      <c r="W412" s="282"/>
      <c r="X412" s="282"/>
      <c r="Y412" s="282"/>
      <c r="Z412" s="282"/>
      <c r="AA412" s="282"/>
    </row>
    <row r="413" spans="1:27" s="428" customFormat="1" outlineLevel="3">
      <c r="A413" s="276">
        <f t="shared" si="103"/>
        <v>262</v>
      </c>
      <c r="B413" s="757" t="str">
        <f>$B$262</f>
        <v>Instructional Aide</v>
      </c>
      <c r="C413" s="430">
        <f t="shared" si="102"/>
        <v>101325.29652899998</v>
      </c>
      <c r="D413" s="430"/>
      <c r="E413" s="430"/>
      <c r="F413" s="430"/>
      <c r="G413" s="1286">
        <f>G262*$E262</f>
        <v>0</v>
      </c>
      <c r="H413" s="1286">
        <f>(H262*$E262)</f>
        <v>0</v>
      </c>
      <c r="I413" s="1286">
        <f t="shared" si="108"/>
        <v>0</v>
      </c>
      <c r="J413" s="1286">
        <f t="shared" si="108"/>
        <v>0</v>
      </c>
      <c r="K413" s="1286">
        <f t="shared" si="108"/>
        <v>32781.81</v>
      </c>
      <c r="L413" s="1286">
        <f t="shared" si="108"/>
        <v>33765.264299999995</v>
      </c>
      <c r="M413" s="1286">
        <f t="shared" si="108"/>
        <v>34778.222228999992</v>
      </c>
      <c r="R413" s="282"/>
      <c r="S413" s="282"/>
      <c r="T413" s="282"/>
      <c r="U413" s="282"/>
      <c r="V413" s="282"/>
      <c r="W413" s="282"/>
      <c r="X413" s="282"/>
      <c r="Y413" s="282"/>
      <c r="Z413" s="282"/>
      <c r="AA413" s="282"/>
    </row>
    <row r="414" spans="1:27" s="428" customFormat="1" outlineLevel="3">
      <c r="A414" s="276">
        <f t="shared" si="103"/>
        <v>263</v>
      </c>
      <c r="B414" s="757" t="str">
        <f>$B$263</f>
        <v>Instructional Aide</v>
      </c>
      <c r="C414" s="430">
        <f t="shared" si="102"/>
        <v>68543.486528999987</v>
      </c>
      <c r="D414" s="430"/>
      <c r="E414" s="430"/>
      <c r="F414" s="430"/>
      <c r="G414" s="1286">
        <f>G263*$E263</f>
        <v>0</v>
      </c>
      <c r="H414" s="1286">
        <f>(H263*$E263)</f>
        <v>0</v>
      </c>
      <c r="I414" s="1286">
        <f t="shared" si="108"/>
        <v>0</v>
      </c>
      <c r="J414" s="1286">
        <f t="shared" si="108"/>
        <v>0</v>
      </c>
      <c r="K414" s="1286">
        <f t="shared" si="108"/>
        <v>0</v>
      </c>
      <c r="L414" s="1286">
        <f t="shared" si="108"/>
        <v>33765.264299999995</v>
      </c>
      <c r="M414" s="1286">
        <f t="shared" si="108"/>
        <v>34778.222228999992</v>
      </c>
      <c r="R414" s="282"/>
      <c r="S414" s="282"/>
      <c r="T414" s="282"/>
      <c r="U414" s="282"/>
      <c r="V414" s="282"/>
      <c r="W414" s="282"/>
      <c r="X414" s="282"/>
      <c r="Y414" s="282"/>
      <c r="Z414" s="282"/>
      <c r="AA414" s="282"/>
    </row>
    <row r="415" spans="1:27" s="428" customFormat="1" outlineLevel="3">
      <c r="A415" s="276">
        <f t="shared" si="103"/>
        <v>264</v>
      </c>
      <c r="B415" s="757" t="str">
        <f>$B$264</f>
        <v>Instructional Aide</v>
      </c>
      <c r="C415" s="430">
        <f t="shared" si="102"/>
        <v>68543.486528999987</v>
      </c>
      <c r="D415" s="430"/>
      <c r="E415" s="430"/>
      <c r="F415" s="430"/>
      <c r="G415" s="1286">
        <f>G264*$E264</f>
        <v>0</v>
      </c>
      <c r="H415" s="1286">
        <f>(H264*$E264)</f>
        <v>0</v>
      </c>
      <c r="I415" s="1286">
        <f t="shared" si="108"/>
        <v>0</v>
      </c>
      <c r="J415" s="1286">
        <f t="shared" si="108"/>
        <v>0</v>
      </c>
      <c r="K415" s="1286">
        <f t="shared" si="108"/>
        <v>0</v>
      </c>
      <c r="L415" s="1286">
        <f t="shared" si="108"/>
        <v>33765.264299999995</v>
      </c>
      <c r="M415" s="1286">
        <f t="shared" si="108"/>
        <v>34778.222228999992</v>
      </c>
      <c r="R415" s="282"/>
      <c r="S415" s="282"/>
      <c r="T415" s="282"/>
      <c r="U415" s="282"/>
      <c r="V415" s="282"/>
      <c r="W415" s="282"/>
      <c r="X415" s="282"/>
      <c r="Y415" s="282"/>
      <c r="Z415" s="282"/>
      <c r="AA415" s="282"/>
    </row>
    <row r="416" spans="1:27" s="428" customFormat="1" outlineLevel="3">
      <c r="A416" s="276">
        <f t="shared" si="103"/>
        <v>265</v>
      </c>
      <c r="B416" s="757" t="str">
        <f>$B$265</f>
        <v>Instructional Aide</v>
      </c>
      <c r="C416" s="430">
        <f t="shared" si="102"/>
        <v>34778.222228999992</v>
      </c>
      <c r="D416" s="430"/>
      <c r="E416" s="430"/>
      <c r="F416" s="430"/>
      <c r="G416" s="1286">
        <f>G265*$E265</f>
        <v>0</v>
      </c>
      <c r="H416" s="1286">
        <f>(H265*$E265)</f>
        <v>0</v>
      </c>
      <c r="I416" s="1286">
        <f t="shared" si="108"/>
        <v>0</v>
      </c>
      <c r="J416" s="1286">
        <f t="shared" si="108"/>
        <v>0</v>
      </c>
      <c r="K416" s="1286">
        <f t="shared" si="108"/>
        <v>0</v>
      </c>
      <c r="L416" s="1286">
        <f t="shared" si="108"/>
        <v>0</v>
      </c>
      <c r="M416" s="1286">
        <f t="shared" si="108"/>
        <v>34778.222228999992</v>
      </c>
      <c r="R416" s="282"/>
      <c r="S416" s="282"/>
      <c r="T416" s="282"/>
      <c r="U416" s="282"/>
      <c r="V416" s="282"/>
      <c r="W416" s="282"/>
      <c r="X416" s="282"/>
      <c r="Y416" s="282"/>
      <c r="Z416" s="282"/>
      <c r="AA416" s="282"/>
    </row>
    <row r="417" spans="1:27" s="431" customFormat="1" outlineLevel="1">
      <c r="A417" s="276">
        <f t="shared" si="103"/>
        <v>266</v>
      </c>
      <c r="B417" s="432"/>
      <c r="C417" s="430"/>
      <c r="D417" s="430"/>
      <c r="E417" s="430"/>
      <c r="F417" s="430"/>
      <c r="G417" s="1286"/>
      <c r="H417" s="1286"/>
      <c r="I417" s="1286"/>
      <c r="J417" s="1286"/>
      <c r="K417" s="1286"/>
      <c r="L417" s="1286"/>
      <c r="M417" s="1286"/>
      <c r="R417" s="282"/>
      <c r="S417" s="282"/>
      <c r="T417" s="282"/>
      <c r="U417" s="282"/>
      <c r="V417" s="282"/>
      <c r="W417" s="282"/>
      <c r="X417" s="282"/>
      <c r="Y417" s="282"/>
      <c r="Z417" s="282"/>
      <c r="AA417" s="282"/>
    </row>
    <row r="418" spans="1:27" ht="19.5" customHeight="1">
      <c r="A418" s="276">
        <f>ROW()</f>
        <v>418</v>
      </c>
      <c r="B418" s="362" t="s">
        <v>94</v>
      </c>
      <c r="C418" s="238">
        <f>SUM(G418:M418)</f>
        <v>8980593.76233075</v>
      </c>
      <c r="D418" s="548"/>
      <c r="E418" s="548"/>
      <c r="F418" s="548"/>
      <c r="G418" s="703">
        <f t="shared" ref="G418:M418" si="109">SUM(G323:G416)</f>
        <v>0</v>
      </c>
      <c r="H418" s="703">
        <f t="shared" si="109"/>
        <v>647500</v>
      </c>
      <c r="I418" s="703">
        <f t="shared" si="109"/>
        <v>924425</v>
      </c>
      <c r="J418" s="703">
        <f t="shared" si="109"/>
        <v>1267775.5</v>
      </c>
      <c r="K418" s="703">
        <f t="shared" si="109"/>
        <v>1630895.0474999999</v>
      </c>
      <c r="L418" s="703">
        <f t="shared" si="109"/>
        <v>2014660.7698999983</v>
      </c>
      <c r="M418" s="703">
        <f t="shared" si="109"/>
        <v>2495337.4449307532</v>
      </c>
      <c r="R418" s="282"/>
      <c r="S418" s="282"/>
      <c r="T418" s="282"/>
      <c r="U418" s="282"/>
      <c r="V418" s="282"/>
      <c r="W418" s="282"/>
      <c r="X418" s="282"/>
      <c r="Y418" s="282"/>
      <c r="Z418" s="282"/>
      <c r="AA418" s="282"/>
    </row>
    <row r="419" spans="1:27" ht="20.25" customHeight="1" outlineLevel="1">
      <c r="A419" s="276">
        <f>ROW()</f>
        <v>419</v>
      </c>
      <c r="B419" s="221"/>
      <c r="C419" s="231"/>
      <c r="D419" s="231"/>
      <c r="E419" s="231"/>
      <c r="F419" s="231"/>
      <c r="G419" s="1286"/>
      <c r="H419" s="1286"/>
      <c r="I419" s="1286"/>
      <c r="J419" s="1286"/>
      <c r="K419" s="1286"/>
      <c r="L419" s="1286"/>
      <c r="M419" s="1286"/>
      <c r="R419" s="282"/>
      <c r="S419" s="282"/>
      <c r="T419" s="282"/>
      <c r="U419" s="282"/>
      <c r="V419" s="282"/>
      <c r="W419" s="282"/>
      <c r="X419" s="282"/>
      <c r="Y419" s="282"/>
      <c r="Z419" s="282"/>
      <c r="AA419" s="282"/>
    </row>
    <row r="420" spans="1:27" ht="21.75" customHeight="1" outlineLevel="1" thickBot="1">
      <c r="A420" s="276">
        <f>ROW()</f>
        <v>420</v>
      </c>
      <c r="B420" s="221"/>
      <c r="C420" s="231"/>
      <c r="D420" s="231"/>
      <c r="E420" s="231"/>
      <c r="F420" s="231"/>
      <c r="G420" s="1286"/>
      <c r="H420" s="1286"/>
      <c r="I420" s="1286"/>
      <c r="J420" s="1286"/>
      <c r="K420" s="1286"/>
      <c r="L420" s="1286"/>
      <c r="M420" s="1286"/>
      <c r="R420" s="282"/>
      <c r="S420" s="282"/>
      <c r="T420" s="282"/>
      <c r="U420" s="282"/>
      <c r="V420" s="282"/>
      <c r="W420" s="282"/>
      <c r="X420" s="282"/>
      <c r="Y420" s="282"/>
      <c r="Z420" s="282"/>
      <c r="AA420" s="282"/>
    </row>
    <row r="421" spans="1:27" ht="15" thickBot="1">
      <c r="A421" s="276"/>
      <c r="B421" s="374" t="s">
        <v>88</v>
      </c>
      <c r="C421" s="556">
        <f>SUM(G421:M421)</f>
        <v>13809507.630485153</v>
      </c>
      <c r="D421" s="375"/>
      <c r="E421" s="375"/>
      <c r="F421" s="375"/>
      <c r="G421" s="1343">
        <f t="shared" ref="G421" si="110">G418+G309+G285+G297</f>
        <v>0</v>
      </c>
      <c r="H421" s="1343">
        <f t="shared" ref="H421:M421" si="111">H418+H309+H285+H297+H321</f>
        <v>961500</v>
      </c>
      <c r="I421" s="1343">
        <f t="shared" si="111"/>
        <v>1453845</v>
      </c>
      <c r="J421" s="1343">
        <f t="shared" si="111"/>
        <v>2013588.2</v>
      </c>
      <c r="K421" s="1343">
        <f t="shared" si="111"/>
        <v>2524745.7335000001</v>
      </c>
      <c r="L421" s="1343">
        <f t="shared" si="111"/>
        <v>3076015.5777299982</v>
      </c>
      <c r="M421" s="1343">
        <f t="shared" si="111"/>
        <v>3779813.1192551535</v>
      </c>
      <c r="N421" s="221"/>
      <c r="O421" s="221"/>
      <c r="P421" s="221"/>
      <c r="Q421" s="221"/>
      <c r="R421" s="282"/>
      <c r="S421" s="282"/>
      <c r="T421" s="282"/>
      <c r="U421" s="282"/>
      <c r="V421" s="282"/>
      <c r="W421" s="282"/>
      <c r="X421" s="282"/>
      <c r="Y421" s="282"/>
      <c r="Z421" s="282"/>
      <c r="AA421" s="282"/>
    </row>
    <row r="422" spans="1:27" outlineLevel="1">
      <c r="A422" s="276"/>
      <c r="B422" s="221"/>
      <c r="C422" s="557"/>
      <c r="D422" s="221"/>
      <c r="E422" s="221"/>
      <c r="F422" s="221"/>
      <c r="G422" s="168"/>
      <c r="H422" s="1338"/>
      <c r="I422" s="1338"/>
      <c r="J422" s="1338"/>
      <c r="K422" s="1338"/>
      <c r="L422" s="1338"/>
      <c r="M422" s="1338"/>
      <c r="N422" s="231"/>
      <c r="O422" s="231"/>
      <c r="P422" s="231"/>
      <c r="Q422" s="231"/>
      <c r="R422" s="282"/>
      <c r="S422" s="282"/>
      <c r="T422" s="282"/>
      <c r="U422" s="282"/>
      <c r="V422" s="282"/>
      <c r="W422" s="282"/>
      <c r="X422" s="282"/>
      <c r="Y422" s="282"/>
      <c r="Z422" s="282"/>
      <c r="AA422" s="282"/>
    </row>
    <row r="423" spans="1:27" ht="16" outlineLevel="1">
      <c r="A423" s="276">
        <f t="shared" ref="A423:A443" si="112">ROW(A110)</f>
        <v>110</v>
      </c>
      <c r="B423" s="423" t="s">
        <v>89</v>
      </c>
      <c r="C423" s="558"/>
      <c r="D423" s="423"/>
      <c r="E423" s="423"/>
      <c r="F423" s="423"/>
      <c r="G423" s="1344"/>
      <c r="H423" s="1340"/>
      <c r="I423" s="1340"/>
      <c r="J423" s="1340"/>
      <c r="K423" s="1340"/>
      <c r="L423" s="1340"/>
      <c r="M423" s="1340"/>
      <c r="N423" s="822"/>
      <c r="O423" s="822"/>
      <c r="P423" s="822"/>
      <c r="Q423" s="822"/>
      <c r="R423" s="282"/>
      <c r="S423" s="282"/>
      <c r="T423" s="282"/>
      <c r="U423" s="282"/>
      <c r="V423" s="282"/>
      <c r="W423" s="282"/>
      <c r="X423" s="282"/>
      <c r="Y423" s="282"/>
      <c r="Z423" s="282"/>
      <c r="AA423" s="282"/>
    </row>
    <row r="424" spans="1:27" s="431" customFormat="1" outlineLevel="1">
      <c r="A424" s="276">
        <f t="shared" si="112"/>
        <v>111</v>
      </c>
      <c r="B424" s="432"/>
      <c r="C424" s="559"/>
      <c r="D424" s="432"/>
      <c r="E424" s="432"/>
      <c r="F424" s="432"/>
      <c r="G424" s="168"/>
      <c r="H424" s="1338"/>
      <c r="I424" s="1338"/>
      <c r="J424" s="1338"/>
      <c r="K424" s="1338"/>
      <c r="L424" s="1338"/>
      <c r="M424" s="1338"/>
      <c r="N424" s="430"/>
      <c r="O424" s="430"/>
      <c r="P424" s="430"/>
      <c r="Q424" s="430"/>
      <c r="R424" s="282"/>
      <c r="S424" s="282"/>
      <c r="T424" s="282"/>
      <c r="U424" s="282"/>
      <c r="V424" s="282"/>
      <c r="W424" s="282"/>
      <c r="X424" s="282"/>
      <c r="Y424" s="282"/>
      <c r="Z424" s="282"/>
      <c r="AA424" s="282"/>
    </row>
    <row r="425" spans="1:27" s="431" customFormat="1" outlineLevel="2">
      <c r="A425" s="276">
        <f t="shared" si="112"/>
        <v>112</v>
      </c>
      <c r="B425" s="1353" t="s">
        <v>935</v>
      </c>
      <c r="C425" s="1354"/>
      <c r="D425" s="1355"/>
      <c r="E425" s="1355"/>
      <c r="F425" s="1355"/>
      <c r="G425" s="1373"/>
      <c r="H425" s="1374"/>
      <c r="I425" s="1374"/>
      <c r="J425" s="1374"/>
      <c r="K425" s="1374"/>
      <c r="L425" s="1374"/>
      <c r="M425" s="1374"/>
      <c r="N425" s="430"/>
      <c r="O425" s="430"/>
      <c r="P425" s="430"/>
      <c r="Q425" s="430"/>
      <c r="R425" s="282"/>
      <c r="S425" s="282"/>
      <c r="T425" s="282"/>
      <c r="U425" s="282"/>
      <c r="V425" s="282"/>
      <c r="W425" s="282"/>
      <c r="X425" s="282"/>
      <c r="Y425" s="282"/>
      <c r="Z425" s="282"/>
      <c r="AA425" s="282"/>
    </row>
    <row r="426" spans="1:27" s="431" customFormat="1" outlineLevel="3">
      <c r="A426" s="276">
        <f t="shared" si="112"/>
        <v>113</v>
      </c>
      <c r="B426" s="376"/>
      <c r="C426" s="559"/>
      <c r="D426" s="432"/>
      <c r="E426" s="432"/>
      <c r="F426" s="432"/>
      <c r="G426" s="168"/>
      <c r="H426" s="1338"/>
      <c r="I426" s="1338"/>
      <c r="J426" s="1338"/>
      <c r="K426" s="1338"/>
      <c r="L426" s="1338"/>
      <c r="M426" s="1338"/>
      <c r="N426" s="430"/>
      <c r="O426" s="430"/>
      <c r="P426" s="430"/>
      <c r="Q426" s="430"/>
      <c r="R426" s="282"/>
      <c r="S426" s="282"/>
      <c r="T426" s="282"/>
      <c r="U426" s="282"/>
      <c r="V426" s="282"/>
      <c r="W426" s="282"/>
      <c r="X426" s="282"/>
      <c r="Y426" s="282"/>
      <c r="Z426" s="282"/>
      <c r="AA426" s="282"/>
    </row>
    <row r="427" spans="1:27" s="431" customFormat="1" outlineLevel="3">
      <c r="A427" s="276">
        <f t="shared" si="112"/>
        <v>114</v>
      </c>
      <c r="B427" s="753" t="str">
        <f>$B$113</f>
        <v>Administrators</v>
      </c>
      <c r="C427" s="759"/>
      <c r="D427" s="756"/>
      <c r="E427" s="756"/>
      <c r="F427" s="756"/>
      <c r="G427" s="461"/>
      <c r="H427" s="816"/>
      <c r="I427" s="816"/>
      <c r="J427" s="816"/>
      <c r="K427" s="816"/>
      <c r="L427" s="816"/>
      <c r="M427" s="816"/>
      <c r="N427" s="430"/>
      <c r="O427" s="430"/>
      <c r="P427" s="430"/>
      <c r="Q427" s="430"/>
      <c r="R427" s="282"/>
      <c r="S427" s="282"/>
      <c r="T427" s="282"/>
      <c r="U427" s="282"/>
      <c r="V427" s="282"/>
      <c r="W427" s="282"/>
      <c r="X427" s="282"/>
      <c r="Y427" s="282"/>
      <c r="Z427" s="282"/>
      <c r="AA427" s="282"/>
    </row>
    <row r="428" spans="1:27" s="431" customFormat="1" outlineLevel="3">
      <c r="A428" s="276">
        <f t="shared" si="112"/>
        <v>115</v>
      </c>
      <c r="B428" s="432" t="str">
        <f>$B$114</f>
        <v>Executive Director</v>
      </c>
      <c r="C428" s="559"/>
      <c r="D428" s="432"/>
      <c r="E428" s="432"/>
      <c r="F428" s="432"/>
      <c r="G428" s="1286">
        <f>(G114*$C$88*$C$86)</f>
        <v>0</v>
      </c>
      <c r="H428" s="1286">
        <f t="shared" ref="H428:M432" si="113">(H114*$C$88*$C$86)*$C$46^(H$11-$G$11)</f>
        <v>4763.75</v>
      </c>
      <c r="I428" s="1286">
        <f t="shared" si="113"/>
        <v>4906.6624999999995</v>
      </c>
      <c r="J428" s="1286">
        <f t="shared" si="113"/>
        <v>5053.8623749999997</v>
      </c>
      <c r="K428" s="1286">
        <f t="shared" si="113"/>
        <v>5205.4782462499998</v>
      </c>
      <c r="L428" s="1286">
        <f t="shared" si="113"/>
        <v>5361.642593637499</v>
      </c>
      <c r="M428" s="1286">
        <f t="shared" si="113"/>
        <v>5522.4918714466248</v>
      </c>
      <c r="R428" s="282"/>
      <c r="S428" s="282"/>
      <c r="T428" s="282"/>
      <c r="U428" s="282"/>
      <c r="V428" s="282"/>
      <c r="W428" s="282"/>
      <c r="X428" s="282"/>
      <c r="Y428" s="282"/>
      <c r="Z428" s="282"/>
      <c r="AA428" s="282"/>
    </row>
    <row r="429" spans="1:27" s="431" customFormat="1" outlineLevel="3">
      <c r="A429" s="276">
        <f t="shared" si="112"/>
        <v>116</v>
      </c>
      <c r="B429" s="432" t="str">
        <f>$B$115</f>
        <v>Director of Data, Instruction, Asses.</v>
      </c>
      <c r="C429" s="559"/>
      <c r="D429" s="432"/>
      <c r="E429" s="432"/>
      <c r="F429" s="432"/>
      <c r="G429" s="1286">
        <f>(G115*$C$88*$C$86)</f>
        <v>0</v>
      </c>
      <c r="H429" s="1286">
        <f t="shared" si="113"/>
        <v>0</v>
      </c>
      <c r="I429" s="1286">
        <f t="shared" si="113"/>
        <v>4906.6624999999995</v>
      </c>
      <c r="J429" s="1286">
        <f t="shared" si="113"/>
        <v>5053.8623749999997</v>
      </c>
      <c r="K429" s="1286">
        <f t="shared" si="113"/>
        <v>5205.4782462499998</v>
      </c>
      <c r="L429" s="1286">
        <f t="shared" si="113"/>
        <v>5361.642593637499</v>
      </c>
      <c r="M429" s="1286">
        <f t="shared" si="113"/>
        <v>5522.4918714466248</v>
      </c>
      <c r="R429" s="282"/>
      <c r="S429" s="282"/>
      <c r="T429" s="282"/>
      <c r="U429" s="282"/>
      <c r="V429" s="282"/>
      <c r="W429" s="282"/>
      <c r="X429" s="282"/>
      <c r="Y429" s="282"/>
      <c r="Z429" s="282"/>
      <c r="AA429" s="282"/>
    </row>
    <row r="430" spans="1:27" s="431" customFormat="1" outlineLevel="3">
      <c r="A430" s="276">
        <f t="shared" si="112"/>
        <v>117</v>
      </c>
      <c r="B430" s="432" t="str">
        <f>$B$116</f>
        <v>Director of Data, Instruction, Asses.</v>
      </c>
      <c r="C430" s="559"/>
      <c r="D430" s="432"/>
      <c r="E430" s="432"/>
      <c r="F430" s="432"/>
      <c r="G430" s="1286">
        <f>(G116*$C$88*$C$86)</f>
        <v>0</v>
      </c>
      <c r="H430" s="1286">
        <f t="shared" si="113"/>
        <v>0</v>
      </c>
      <c r="I430" s="1286">
        <f t="shared" si="113"/>
        <v>0</v>
      </c>
      <c r="J430" s="1286">
        <f t="shared" si="113"/>
        <v>0</v>
      </c>
      <c r="K430" s="1286">
        <f t="shared" si="113"/>
        <v>5205.4782462499998</v>
      </c>
      <c r="L430" s="1286">
        <f t="shared" si="113"/>
        <v>5361.642593637499</v>
      </c>
      <c r="M430" s="1286">
        <f t="shared" si="113"/>
        <v>5522.4918714466248</v>
      </c>
      <c r="R430" s="282"/>
      <c r="S430" s="282"/>
      <c r="T430" s="282"/>
      <c r="U430" s="282"/>
      <c r="V430" s="282"/>
      <c r="W430" s="282"/>
      <c r="X430" s="282"/>
      <c r="Y430" s="282"/>
      <c r="Z430" s="282"/>
      <c r="AA430" s="282"/>
    </row>
    <row r="431" spans="1:27" s="431" customFormat="1" outlineLevel="3">
      <c r="A431" s="276">
        <f t="shared" si="112"/>
        <v>118</v>
      </c>
      <c r="B431" s="432" t="str">
        <f>$B$117</f>
        <v>Director of Data, Instruction, Asses.</v>
      </c>
      <c r="C431" s="559"/>
      <c r="D431" s="432"/>
      <c r="E431" s="432"/>
      <c r="F431" s="432"/>
      <c r="G431" s="1286">
        <f>(G117*$C$88*$C$86)</f>
        <v>0</v>
      </c>
      <c r="H431" s="1286">
        <f t="shared" si="113"/>
        <v>0</v>
      </c>
      <c r="I431" s="1286">
        <f t="shared" si="113"/>
        <v>0</v>
      </c>
      <c r="J431" s="1286">
        <f t="shared" si="113"/>
        <v>0</v>
      </c>
      <c r="K431" s="1286">
        <f t="shared" si="113"/>
        <v>0</v>
      </c>
      <c r="L431" s="1286">
        <f t="shared" si="113"/>
        <v>0</v>
      </c>
      <c r="M431" s="1286">
        <f t="shared" si="113"/>
        <v>5522.4918714466248</v>
      </c>
      <c r="R431" s="282"/>
      <c r="S431" s="282"/>
      <c r="T431" s="282"/>
      <c r="U431" s="282"/>
      <c r="V431" s="282"/>
      <c r="W431" s="282"/>
      <c r="X431" s="282"/>
      <c r="Y431" s="282"/>
      <c r="Z431" s="282"/>
      <c r="AA431" s="282"/>
    </row>
    <row r="432" spans="1:27" s="431" customFormat="1" outlineLevel="3">
      <c r="A432" s="276">
        <f t="shared" si="112"/>
        <v>119</v>
      </c>
      <c r="B432" s="432" t="str">
        <f>$B$118</f>
        <v>Superintendent</v>
      </c>
      <c r="C432" s="559"/>
      <c r="D432" s="432"/>
      <c r="E432" s="432"/>
      <c r="F432" s="432"/>
      <c r="G432" s="1286">
        <f>(G118*$C$88*$C$86)</f>
        <v>0</v>
      </c>
      <c r="H432" s="1286">
        <f t="shared" si="113"/>
        <v>0</v>
      </c>
      <c r="I432" s="1286">
        <f t="shared" si="113"/>
        <v>0</v>
      </c>
      <c r="J432" s="1286">
        <f t="shared" si="113"/>
        <v>0</v>
      </c>
      <c r="K432" s="1286">
        <f t="shared" si="113"/>
        <v>0</v>
      </c>
      <c r="L432" s="1286">
        <f t="shared" si="113"/>
        <v>5361.642593637499</v>
      </c>
      <c r="M432" s="1286">
        <f t="shared" si="113"/>
        <v>5522.4918714466248</v>
      </c>
      <c r="R432" s="282"/>
      <c r="S432" s="282"/>
      <c r="T432" s="282"/>
      <c r="U432" s="282"/>
      <c r="V432" s="282"/>
      <c r="W432" s="282"/>
      <c r="X432" s="282"/>
      <c r="Y432" s="282"/>
      <c r="Z432" s="282"/>
      <c r="AA432" s="282"/>
    </row>
    <row r="433" spans="1:27" s="431" customFormat="1" outlineLevel="3">
      <c r="A433" s="276">
        <f t="shared" si="112"/>
        <v>120</v>
      </c>
      <c r="B433" s="432"/>
      <c r="C433" s="559"/>
      <c r="D433" s="432"/>
      <c r="E433" s="432"/>
      <c r="F433" s="432"/>
      <c r="G433" s="1286"/>
      <c r="H433" s="1286"/>
      <c r="I433" s="1286"/>
      <c r="J433" s="1286"/>
      <c r="K433" s="1286"/>
      <c r="L433" s="1286"/>
      <c r="M433" s="1286"/>
      <c r="R433" s="282"/>
      <c r="S433" s="282"/>
      <c r="T433" s="282"/>
      <c r="U433" s="282"/>
      <c r="V433" s="282"/>
      <c r="W433" s="282"/>
      <c r="X433" s="282"/>
      <c r="Y433" s="282"/>
      <c r="Z433" s="282"/>
      <c r="AA433" s="282"/>
    </row>
    <row r="434" spans="1:27" s="431" customFormat="1" outlineLevel="3">
      <c r="A434" s="276">
        <f t="shared" si="112"/>
        <v>121</v>
      </c>
      <c r="B434" s="432"/>
      <c r="C434" s="559"/>
      <c r="D434" s="432"/>
      <c r="E434" s="432"/>
      <c r="F434" s="432"/>
      <c r="G434" s="1286"/>
      <c r="H434" s="1286"/>
      <c r="I434" s="1286"/>
      <c r="J434" s="1286"/>
      <c r="K434" s="1286"/>
      <c r="L434" s="1286"/>
      <c r="M434" s="1286"/>
      <c r="R434" s="282"/>
      <c r="S434" s="282"/>
      <c r="T434" s="282"/>
      <c r="U434" s="282"/>
      <c r="V434" s="282"/>
      <c r="W434" s="282"/>
      <c r="X434" s="282"/>
      <c r="Y434" s="282"/>
      <c r="Z434" s="282"/>
      <c r="AA434" s="282"/>
    </row>
    <row r="435" spans="1:27" s="431" customFormat="1" outlineLevel="3">
      <c r="A435" s="276">
        <f t="shared" si="112"/>
        <v>122</v>
      </c>
      <c r="B435" s="753" t="str">
        <f>$B$122</f>
        <v>Office Staff</v>
      </c>
      <c r="C435" s="759"/>
      <c r="D435" s="756"/>
      <c r="E435" s="756"/>
      <c r="F435" s="756"/>
      <c r="G435" s="1291"/>
      <c r="H435" s="1291"/>
      <c r="I435" s="1291"/>
      <c r="J435" s="1291"/>
      <c r="K435" s="1291"/>
      <c r="L435" s="1291"/>
      <c r="M435" s="1291"/>
      <c r="R435" s="282"/>
      <c r="S435" s="282"/>
      <c r="T435" s="282"/>
      <c r="U435" s="282"/>
      <c r="V435" s="282"/>
      <c r="W435" s="282"/>
      <c r="X435" s="282"/>
      <c r="Y435" s="282"/>
      <c r="Z435" s="282"/>
      <c r="AA435" s="282"/>
    </row>
    <row r="436" spans="1:27" s="431" customFormat="1" outlineLevel="3">
      <c r="A436" s="276">
        <f t="shared" si="112"/>
        <v>123</v>
      </c>
      <c r="B436" s="432" t="str">
        <f>$B$123</f>
        <v>Office Manager</v>
      </c>
      <c r="C436" s="559"/>
      <c r="D436" s="432"/>
      <c r="E436" s="432"/>
      <c r="F436" s="432"/>
      <c r="G436" s="1286">
        <f>(G123*$C$88*$C$86)</f>
        <v>0</v>
      </c>
      <c r="H436" s="1286">
        <f t="shared" ref="H436:M438" si="114">(H123*$C$88*$C$86)*$C$46^(H$11-$G$11)</f>
        <v>4763.75</v>
      </c>
      <c r="I436" s="1286">
        <f t="shared" si="114"/>
        <v>4906.6624999999995</v>
      </c>
      <c r="J436" s="1286">
        <f t="shared" si="114"/>
        <v>5053.8623749999997</v>
      </c>
      <c r="K436" s="1286">
        <f t="shared" si="114"/>
        <v>5205.4782462499998</v>
      </c>
      <c r="L436" s="1286">
        <f t="shared" si="114"/>
        <v>5361.642593637499</v>
      </c>
      <c r="M436" s="1286">
        <f t="shared" si="114"/>
        <v>5522.4918714466248</v>
      </c>
      <c r="R436" s="282"/>
      <c r="S436" s="282"/>
      <c r="T436" s="282"/>
      <c r="U436" s="282"/>
      <c r="V436" s="282"/>
      <c r="W436" s="282"/>
      <c r="X436" s="282"/>
      <c r="Y436" s="282"/>
      <c r="Z436" s="282"/>
      <c r="AA436" s="282"/>
    </row>
    <row r="437" spans="1:27" s="431" customFormat="1" outlineLevel="3">
      <c r="A437" s="276">
        <f t="shared" si="112"/>
        <v>124</v>
      </c>
      <c r="B437" s="432" t="str">
        <f>$B$124</f>
        <v>Office Technician</v>
      </c>
      <c r="C437" s="559"/>
      <c r="D437" s="432"/>
      <c r="E437" s="432"/>
      <c r="F437" s="432"/>
      <c r="G437" s="1286">
        <f>(G124*$C$88*$C$86)</f>
        <v>0</v>
      </c>
      <c r="H437" s="1286">
        <f t="shared" si="114"/>
        <v>4763.75</v>
      </c>
      <c r="I437" s="1286">
        <f t="shared" si="114"/>
        <v>4906.6624999999995</v>
      </c>
      <c r="J437" s="1286">
        <f t="shared" si="114"/>
        <v>5053.8623749999997</v>
      </c>
      <c r="K437" s="1286">
        <f t="shared" si="114"/>
        <v>5205.4782462499998</v>
      </c>
      <c r="L437" s="1286">
        <f t="shared" si="114"/>
        <v>5361.642593637499</v>
      </c>
      <c r="M437" s="1286">
        <f t="shared" si="114"/>
        <v>5522.4918714466248</v>
      </c>
      <c r="R437" s="282"/>
      <c r="S437" s="282"/>
      <c r="T437" s="282"/>
      <c r="U437" s="282"/>
      <c r="V437" s="282"/>
      <c r="W437" s="282"/>
      <c r="X437" s="282"/>
      <c r="Y437" s="282"/>
      <c r="Z437" s="282"/>
      <c r="AA437" s="282"/>
    </row>
    <row r="438" spans="1:27" s="431" customFormat="1" outlineLevel="3">
      <c r="A438" s="276">
        <f t="shared" si="112"/>
        <v>125</v>
      </c>
      <c r="B438" s="432" t="str">
        <f>$B$125</f>
        <v>Office Technician</v>
      </c>
      <c r="C438" s="559"/>
      <c r="D438" s="432"/>
      <c r="E438" s="432"/>
      <c r="F438" s="432"/>
      <c r="G438" s="1286">
        <f>(G125*$C$88*$C$86)</f>
        <v>0</v>
      </c>
      <c r="H438" s="1286">
        <f t="shared" si="114"/>
        <v>0</v>
      </c>
      <c r="I438" s="1286">
        <f t="shared" si="114"/>
        <v>0</v>
      </c>
      <c r="J438" s="1286">
        <f t="shared" si="114"/>
        <v>5053.8623749999997</v>
      </c>
      <c r="K438" s="1286">
        <f t="shared" si="114"/>
        <v>5205.4782462499998</v>
      </c>
      <c r="L438" s="1286">
        <f t="shared" si="114"/>
        <v>5361.642593637499</v>
      </c>
      <c r="M438" s="1286">
        <f t="shared" si="114"/>
        <v>5522.4918714466248</v>
      </c>
      <c r="R438" s="282"/>
      <c r="S438" s="282"/>
      <c r="T438" s="282"/>
      <c r="U438" s="282"/>
      <c r="V438" s="282"/>
      <c r="W438" s="282"/>
      <c r="X438" s="282"/>
      <c r="Y438" s="282"/>
      <c r="Z438" s="282"/>
      <c r="AA438" s="282"/>
    </row>
    <row r="439" spans="1:27" s="431" customFormat="1" outlineLevel="3">
      <c r="A439" s="276">
        <f t="shared" si="112"/>
        <v>126</v>
      </c>
      <c r="B439" s="432"/>
      <c r="C439" s="559"/>
      <c r="D439" s="432"/>
      <c r="E439" s="432"/>
      <c r="F439" s="432"/>
      <c r="G439" s="1286"/>
      <c r="H439" s="1286"/>
      <c r="I439" s="1286"/>
      <c r="J439" s="1286"/>
      <c r="K439" s="1286"/>
      <c r="L439" s="1286"/>
      <c r="M439" s="1286"/>
      <c r="R439" s="282"/>
      <c r="S439" s="282"/>
      <c r="T439" s="282"/>
      <c r="U439" s="282"/>
      <c r="V439" s="282"/>
      <c r="W439" s="282"/>
      <c r="X439" s="282"/>
      <c r="Y439" s="282"/>
      <c r="Z439" s="282"/>
      <c r="AA439" s="282"/>
    </row>
    <row r="440" spans="1:27" s="431" customFormat="1" outlineLevel="3">
      <c r="A440" s="276">
        <f t="shared" si="112"/>
        <v>127</v>
      </c>
      <c r="B440" s="376"/>
      <c r="C440" s="559"/>
      <c r="D440" s="432"/>
      <c r="E440" s="432"/>
      <c r="F440" s="432"/>
      <c r="G440" s="1286"/>
      <c r="H440" s="1286"/>
      <c r="I440" s="1286"/>
      <c r="J440" s="1286"/>
      <c r="K440" s="1286"/>
      <c r="L440" s="1286"/>
      <c r="M440" s="1286"/>
      <c r="R440" s="282"/>
      <c r="S440" s="282"/>
      <c r="T440" s="282"/>
      <c r="U440" s="282"/>
      <c r="V440" s="282"/>
      <c r="W440" s="282"/>
      <c r="X440" s="282"/>
      <c r="Y440" s="282"/>
      <c r="Z440" s="282"/>
      <c r="AA440" s="282"/>
    </row>
    <row r="441" spans="1:27" s="431" customFormat="1" outlineLevel="3">
      <c r="A441" s="276">
        <f t="shared" si="112"/>
        <v>128</v>
      </c>
      <c r="B441" s="700" t="str">
        <f>$B$128</f>
        <v>Total Administrators and Office Staff</v>
      </c>
      <c r="C441" s="701"/>
      <c r="D441" s="702"/>
      <c r="E441" s="702"/>
      <c r="F441" s="702"/>
      <c r="G441" s="1287">
        <f t="shared" ref="G441:M441" si="115">SUM(G428:G439)</f>
        <v>0</v>
      </c>
      <c r="H441" s="1287">
        <f t="shared" si="115"/>
        <v>14291.25</v>
      </c>
      <c r="I441" s="1287">
        <f t="shared" si="115"/>
        <v>19626.649999999998</v>
      </c>
      <c r="J441" s="1287">
        <f t="shared" si="115"/>
        <v>25269.311874999999</v>
      </c>
      <c r="K441" s="1287">
        <f t="shared" si="115"/>
        <v>31232.8694775</v>
      </c>
      <c r="L441" s="1287">
        <f t="shared" si="115"/>
        <v>37531.49815546249</v>
      </c>
      <c r="M441" s="1287">
        <f t="shared" si="115"/>
        <v>44179.934971572999</v>
      </c>
      <c r="R441" s="282"/>
      <c r="S441" s="282"/>
      <c r="T441" s="282"/>
      <c r="U441" s="282"/>
      <c r="V441" s="282"/>
      <c r="W441" s="282"/>
      <c r="X441" s="282"/>
      <c r="Y441" s="282"/>
      <c r="Z441" s="282"/>
      <c r="AA441" s="282"/>
    </row>
    <row r="442" spans="1:27" s="431" customFormat="1" outlineLevel="3">
      <c r="A442" s="276">
        <f t="shared" si="112"/>
        <v>129</v>
      </c>
      <c r="B442" s="376"/>
      <c r="C442" s="559"/>
      <c r="D442" s="432"/>
      <c r="E442" s="432"/>
      <c r="F442" s="432"/>
      <c r="G442" s="1286"/>
      <c r="H442" s="1286"/>
      <c r="I442" s="1286"/>
      <c r="J442" s="1286"/>
      <c r="K442" s="1286"/>
      <c r="L442" s="1286"/>
      <c r="M442" s="1286"/>
      <c r="R442" s="282"/>
      <c r="S442" s="282"/>
      <c r="T442" s="282"/>
      <c r="U442" s="282"/>
      <c r="V442" s="282"/>
      <c r="W442" s="282"/>
      <c r="X442" s="282"/>
      <c r="Y442" s="282"/>
      <c r="Z442" s="282"/>
      <c r="AA442" s="282"/>
    </row>
    <row r="443" spans="1:27" s="431" customFormat="1" outlineLevel="3">
      <c r="A443" s="276">
        <f t="shared" si="112"/>
        <v>130</v>
      </c>
      <c r="B443" s="376" t="str">
        <f>$B$130</f>
        <v>Special Education (SPED) Teachers</v>
      </c>
      <c r="C443" s="559"/>
      <c r="D443" s="432"/>
      <c r="E443" s="432"/>
      <c r="F443" s="432"/>
      <c r="G443" s="1286"/>
      <c r="H443" s="1286"/>
      <c r="I443" s="1286"/>
      <c r="J443" s="1286"/>
      <c r="K443" s="1286"/>
      <c r="L443" s="1286"/>
      <c r="M443" s="1286"/>
      <c r="R443" s="282"/>
      <c r="S443" s="282"/>
      <c r="T443" s="282"/>
      <c r="U443" s="282"/>
      <c r="V443" s="282"/>
      <c r="W443" s="282"/>
      <c r="X443" s="282"/>
      <c r="Y443" s="282"/>
      <c r="Z443" s="282"/>
      <c r="AA443" s="282"/>
    </row>
    <row r="444" spans="1:27" s="431" customFormat="1" outlineLevel="3">
      <c r="A444" s="276">
        <f t="shared" ref="A444:A465" si="116">ROW(A131)</f>
        <v>131</v>
      </c>
      <c r="B444" s="1359" t="str">
        <f>$B$131</f>
        <v>Special Education Teacher</v>
      </c>
      <c r="C444" s="701"/>
      <c r="D444" s="702"/>
      <c r="E444" s="702"/>
      <c r="F444" s="702"/>
      <c r="G444" s="1292">
        <f t="shared" ref="G444:G452" si="117">(G131*$C$88*$C$86)</f>
        <v>0</v>
      </c>
      <c r="H444" s="1292">
        <f t="shared" ref="H444:M444" si="118">(H131*$C$88*$C$86)*$C$46^(H$11-$G$11)</f>
        <v>4763.75</v>
      </c>
      <c r="I444" s="1292">
        <f t="shared" si="118"/>
        <v>4906.6624999999995</v>
      </c>
      <c r="J444" s="1292">
        <f t="shared" si="118"/>
        <v>5053.8623749999997</v>
      </c>
      <c r="K444" s="1292">
        <f t="shared" si="118"/>
        <v>5205.4782462499998</v>
      </c>
      <c r="L444" s="1292">
        <f t="shared" si="118"/>
        <v>5361.642593637499</v>
      </c>
      <c r="M444" s="1292">
        <f t="shared" si="118"/>
        <v>5522.4918714466248</v>
      </c>
      <c r="R444" s="282"/>
      <c r="S444" s="282"/>
      <c r="T444" s="282"/>
      <c r="U444" s="282"/>
      <c r="V444" s="282"/>
      <c r="W444" s="282"/>
      <c r="X444" s="282"/>
      <c r="Y444" s="282"/>
      <c r="Z444" s="282"/>
      <c r="AA444" s="282"/>
    </row>
    <row r="445" spans="1:27" s="431" customFormat="1" outlineLevel="3">
      <c r="A445" s="276">
        <f t="shared" si="116"/>
        <v>132</v>
      </c>
      <c r="B445" s="1365" t="str">
        <f>$B$132</f>
        <v>Special Education Teacher</v>
      </c>
      <c r="C445" s="559"/>
      <c r="D445" s="432"/>
      <c r="E445" s="432"/>
      <c r="F445" s="432"/>
      <c r="G445" s="1286">
        <f t="shared" si="117"/>
        <v>0</v>
      </c>
      <c r="H445" s="1286">
        <f t="shared" ref="H445:M445" si="119">(H132*$C$88*$C$86)*$C$46^(H$11-$G$11)</f>
        <v>0</v>
      </c>
      <c r="I445" s="1286">
        <f t="shared" si="119"/>
        <v>4906.6624999999995</v>
      </c>
      <c r="J445" s="1286">
        <f t="shared" si="119"/>
        <v>5053.8623749999997</v>
      </c>
      <c r="K445" s="1286">
        <f t="shared" si="119"/>
        <v>5205.4782462499998</v>
      </c>
      <c r="L445" s="1286">
        <f t="shared" si="119"/>
        <v>5361.642593637499</v>
      </c>
      <c r="M445" s="1286">
        <f t="shared" si="119"/>
        <v>5522.4918714466248</v>
      </c>
      <c r="R445" s="282"/>
      <c r="S445" s="282"/>
      <c r="T445" s="282"/>
      <c r="U445" s="282"/>
      <c r="V445" s="282"/>
      <c r="W445" s="282"/>
      <c r="X445" s="282"/>
      <c r="Y445" s="282"/>
      <c r="Z445" s="282"/>
      <c r="AA445" s="282"/>
    </row>
    <row r="446" spans="1:27" s="431" customFormat="1" outlineLevel="3">
      <c r="A446" s="276">
        <f t="shared" si="116"/>
        <v>133</v>
      </c>
      <c r="B446" s="1365" t="str">
        <f>$B$133</f>
        <v>Special Education Teacher</v>
      </c>
      <c r="C446" s="559"/>
      <c r="D446" s="432"/>
      <c r="E446" s="432"/>
      <c r="F446" s="432"/>
      <c r="G446" s="1286">
        <f t="shared" si="117"/>
        <v>0</v>
      </c>
      <c r="H446" s="1286">
        <f t="shared" ref="H446:M446" si="120">(H133*$C$88*$C$86)*$C$46^(H$11-$G$11)</f>
        <v>0</v>
      </c>
      <c r="I446" s="1286">
        <f t="shared" si="120"/>
        <v>0</v>
      </c>
      <c r="J446" s="1286">
        <f t="shared" si="120"/>
        <v>0</v>
      </c>
      <c r="K446" s="1286">
        <f t="shared" si="120"/>
        <v>5205.4782462499998</v>
      </c>
      <c r="L446" s="1286">
        <f t="shared" si="120"/>
        <v>5361.642593637499</v>
      </c>
      <c r="M446" s="1286">
        <f t="shared" si="120"/>
        <v>5522.4918714466248</v>
      </c>
      <c r="R446" s="282"/>
      <c r="S446" s="282"/>
      <c r="T446" s="282"/>
      <c r="U446" s="282"/>
      <c r="V446" s="282"/>
      <c r="W446" s="282"/>
      <c r="X446" s="282"/>
      <c r="Y446" s="282"/>
      <c r="Z446" s="282"/>
      <c r="AA446" s="282"/>
    </row>
    <row r="447" spans="1:27" s="431" customFormat="1" outlineLevel="3">
      <c r="A447" s="276">
        <f t="shared" si="116"/>
        <v>134</v>
      </c>
      <c r="B447" s="1365" t="str">
        <f>$B$134</f>
        <v>Special Education Teacher</v>
      </c>
      <c r="C447" s="559"/>
      <c r="D447" s="432"/>
      <c r="E447" s="432"/>
      <c r="F447" s="432"/>
      <c r="G447" s="1286">
        <f t="shared" si="117"/>
        <v>0</v>
      </c>
      <c r="H447" s="1286">
        <f t="shared" ref="H447:M447" si="121">(H134*$C$88*$C$86)*$C$46^(H$11-$G$11)</f>
        <v>0</v>
      </c>
      <c r="I447" s="1286">
        <f t="shared" si="121"/>
        <v>0</v>
      </c>
      <c r="J447" s="1286">
        <f t="shared" si="121"/>
        <v>0</v>
      </c>
      <c r="K447" s="1286">
        <f t="shared" si="121"/>
        <v>0</v>
      </c>
      <c r="L447" s="1286">
        <f t="shared" si="121"/>
        <v>0</v>
      </c>
      <c r="M447" s="1286">
        <f t="shared" si="121"/>
        <v>5522.4918714466248</v>
      </c>
      <c r="R447" s="282"/>
      <c r="S447" s="282"/>
      <c r="T447" s="282"/>
      <c r="U447" s="282"/>
      <c r="V447" s="282"/>
      <c r="W447" s="282"/>
      <c r="X447" s="282"/>
      <c r="Y447" s="282"/>
      <c r="Z447" s="282"/>
      <c r="AA447" s="282"/>
    </row>
    <row r="448" spans="1:27" s="431" customFormat="1" outlineLevel="3">
      <c r="A448" s="276">
        <f t="shared" si="116"/>
        <v>135</v>
      </c>
      <c r="B448" s="1365">
        <f>$B$135</f>
        <v>0</v>
      </c>
      <c r="C448" s="559"/>
      <c r="D448" s="432"/>
      <c r="E448" s="432"/>
      <c r="F448" s="432"/>
      <c r="G448" s="1286">
        <f t="shared" si="117"/>
        <v>0</v>
      </c>
      <c r="H448" s="1286">
        <f t="shared" ref="H448:M448" si="122">(H135*$C$88*$C$86)*$C$46^(H$11-$G$11)</f>
        <v>0</v>
      </c>
      <c r="I448" s="1286">
        <f t="shared" si="122"/>
        <v>0</v>
      </c>
      <c r="J448" s="1286">
        <f t="shared" si="122"/>
        <v>0</v>
      </c>
      <c r="K448" s="1286">
        <f t="shared" si="122"/>
        <v>0</v>
      </c>
      <c r="L448" s="1286">
        <f t="shared" si="122"/>
        <v>0</v>
      </c>
      <c r="M448" s="1286">
        <f t="shared" si="122"/>
        <v>0</v>
      </c>
      <c r="R448" s="282"/>
      <c r="S448" s="282"/>
      <c r="T448" s="282"/>
      <c r="U448" s="282"/>
      <c r="V448" s="282"/>
      <c r="W448" s="282"/>
      <c r="X448" s="282"/>
      <c r="Y448" s="282"/>
      <c r="Z448" s="282"/>
      <c r="AA448" s="282"/>
    </row>
    <row r="449" spans="1:27" s="431" customFormat="1" outlineLevel="3">
      <c r="A449" s="276">
        <f t="shared" si="116"/>
        <v>136</v>
      </c>
      <c r="B449" s="1365">
        <f>$B$136</f>
        <v>0</v>
      </c>
      <c r="C449" s="559"/>
      <c r="D449" s="432"/>
      <c r="E449" s="432"/>
      <c r="F449" s="432"/>
      <c r="G449" s="1286">
        <f t="shared" si="117"/>
        <v>0</v>
      </c>
      <c r="H449" s="1286">
        <f t="shared" ref="H449:M449" si="123">(H136*$C$88*$C$86)*$C$46^(H$11-$G$11)</f>
        <v>0</v>
      </c>
      <c r="I449" s="1286">
        <f t="shared" si="123"/>
        <v>0</v>
      </c>
      <c r="J449" s="1286">
        <f t="shared" si="123"/>
        <v>0</v>
      </c>
      <c r="K449" s="1286">
        <f t="shared" si="123"/>
        <v>0</v>
      </c>
      <c r="L449" s="1286">
        <f t="shared" si="123"/>
        <v>0</v>
      </c>
      <c r="M449" s="1286">
        <f t="shared" si="123"/>
        <v>0</v>
      </c>
      <c r="R449" s="282"/>
      <c r="S449" s="282"/>
      <c r="T449" s="282"/>
      <c r="U449" s="282"/>
      <c r="V449" s="282"/>
      <c r="W449" s="282"/>
      <c r="X449" s="282"/>
      <c r="Y449" s="282"/>
      <c r="Z449" s="282"/>
      <c r="AA449" s="282"/>
    </row>
    <row r="450" spans="1:27" s="431" customFormat="1" outlineLevel="3">
      <c r="A450" s="276">
        <f t="shared" si="116"/>
        <v>137</v>
      </c>
      <c r="B450" s="1365">
        <f>$B137</f>
        <v>0</v>
      </c>
      <c r="C450" s="559"/>
      <c r="D450" s="432"/>
      <c r="E450" s="432"/>
      <c r="F450" s="432"/>
      <c r="G450" s="1286">
        <f t="shared" si="117"/>
        <v>0</v>
      </c>
      <c r="H450" s="1286">
        <f t="shared" ref="H450:M450" si="124">(H137*$C$88*$C$86)*$C$46^(H$11-$G$11)</f>
        <v>0</v>
      </c>
      <c r="I450" s="1286">
        <f t="shared" si="124"/>
        <v>0</v>
      </c>
      <c r="J450" s="1286">
        <f t="shared" si="124"/>
        <v>0</v>
      </c>
      <c r="K450" s="1286">
        <f t="shared" si="124"/>
        <v>0</v>
      </c>
      <c r="L450" s="1286">
        <f t="shared" si="124"/>
        <v>0</v>
      </c>
      <c r="M450" s="1286">
        <f t="shared" si="124"/>
        <v>0</v>
      </c>
      <c r="R450" s="282"/>
      <c r="S450" s="282"/>
      <c r="T450" s="282"/>
      <c r="U450" s="282"/>
      <c r="V450" s="282"/>
      <c r="W450" s="282"/>
      <c r="X450" s="282"/>
      <c r="Y450" s="282"/>
      <c r="Z450" s="282"/>
      <c r="AA450" s="282"/>
    </row>
    <row r="451" spans="1:27" s="431" customFormat="1" outlineLevel="3">
      <c r="A451" s="276">
        <f t="shared" si="116"/>
        <v>138</v>
      </c>
      <c r="B451" s="1365">
        <f>$B138</f>
        <v>0</v>
      </c>
      <c r="C451" s="559"/>
      <c r="D451" s="432"/>
      <c r="E451" s="432"/>
      <c r="F451" s="432"/>
      <c r="G451" s="1286">
        <f t="shared" si="117"/>
        <v>0</v>
      </c>
      <c r="H451" s="1286">
        <f t="shared" ref="H451:M451" si="125">(H138*$C$88*$C$86)*$C$46^(H$11-$G$11)</f>
        <v>0</v>
      </c>
      <c r="I451" s="1286">
        <f t="shared" si="125"/>
        <v>0</v>
      </c>
      <c r="J451" s="1286">
        <f t="shared" si="125"/>
        <v>0</v>
      </c>
      <c r="K451" s="1286">
        <f t="shared" si="125"/>
        <v>0</v>
      </c>
      <c r="L451" s="1286">
        <f t="shared" si="125"/>
        <v>0</v>
      </c>
      <c r="M451" s="1286">
        <f t="shared" si="125"/>
        <v>0</v>
      </c>
      <c r="R451" s="282"/>
      <c r="S451" s="282"/>
      <c r="T451" s="282"/>
      <c r="U451" s="282"/>
      <c r="V451" s="282"/>
      <c r="W451" s="282"/>
      <c r="X451" s="282"/>
      <c r="Y451" s="282"/>
      <c r="Z451" s="282"/>
      <c r="AA451" s="282"/>
    </row>
    <row r="452" spans="1:27" s="431" customFormat="1" outlineLevel="3">
      <c r="A452" s="276">
        <f t="shared" si="116"/>
        <v>139</v>
      </c>
      <c r="B452" s="1365">
        <f>$B139</f>
        <v>0</v>
      </c>
      <c r="C452" s="559"/>
      <c r="D452" s="432"/>
      <c r="E452" s="432"/>
      <c r="F452" s="432"/>
      <c r="G452" s="1286">
        <f t="shared" si="117"/>
        <v>0</v>
      </c>
      <c r="H452" s="1286">
        <f t="shared" ref="H452:M452" si="126">(H139*$C$88*$C$86)*$C$46^(H$11-$G$11)</f>
        <v>0</v>
      </c>
      <c r="I452" s="1286">
        <f t="shared" si="126"/>
        <v>0</v>
      </c>
      <c r="J452" s="1286">
        <f t="shared" si="126"/>
        <v>0</v>
      </c>
      <c r="K452" s="1286">
        <f t="shared" si="126"/>
        <v>0</v>
      </c>
      <c r="L452" s="1286">
        <f t="shared" si="126"/>
        <v>0</v>
      </c>
      <c r="M452" s="1286">
        <f t="shared" si="126"/>
        <v>0</v>
      </c>
      <c r="R452" s="282"/>
      <c r="S452" s="282"/>
      <c r="T452" s="282"/>
      <c r="U452" s="282"/>
      <c r="V452" s="282"/>
      <c r="W452" s="282"/>
      <c r="X452" s="282"/>
      <c r="Y452" s="282"/>
      <c r="Z452" s="282"/>
      <c r="AA452" s="282"/>
    </row>
    <row r="453" spans="1:27" s="431" customFormat="1" outlineLevel="3">
      <c r="A453" s="276">
        <f t="shared" si="116"/>
        <v>140</v>
      </c>
      <c r="B453" s="700" t="str">
        <f>$B140</f>
        <v xml:space="preserve">Total Special EducationTeachers </v>
      </c>
      <c r="C453" s="701"/>
      <c r="D453" s="702"/>
      <c r="E453" s="702"/>
      <c r="F453" s="702"/>
      <c r="G453" s="1292">
        <f t="shared" ref="G453:M453" si="127">SUM(G444:G452)</f>
        <v>0</v>
      </c>
      <c r="H453" s="1292">
        <f t="shared" si="127"/>
        <v>4763.75</v>
      </c>
      <c r="I453" s="1292">
        <f t="shared" si="127"/>
        <v>9813.3249999999989</v>
      </c>
      <c r="J453" s="1292">
        <f t="shared" si="127"/>
        <v>10107.724749999999</v>
      </c>
      <c r="K453" s="1292">
        <f t="shared" si="127"/>
        <v>15616.434738749998</v>
      </c>
      <c r="L453" s="1292">
        <f t="shared" si="127"/>
        <v>16084.927780912498</v>
      </c>
      <c r="M453" s="1292">
        <f t="shared" si="127"/>
        <v>22089.967485786499</v>
      </c>
      <c r="R453" s="282"/>
      <c r="S453" s="282"/>
      <c r="T453" s="282"/>
      <c r="U453" s="282"/>
      <c r="V453" s="282"/>
      <c r="W453" s="282"/>
      <c r="X453" s="282"/>
      <c r="Y453" s="282"/>
      <c r="Z453" s="282"/>
      <c r="AA453" s="282"/>
    </row>
    <row r="454" spans="1:27" s="431" customFormat="1" outlineLevel="3">
      <c r="A454" s="276">
        <f t="shared" si="116"/>
        <v>141</v>
      </c>
      <c r="B454" s="432"/>
      <c r="C454" s="559"/>
      <c r="D454" s="432"/>
      <c r="E454" s="432"/>
      <c r="F454" s="432"/>
      <c r="G454" s="1286"/>
      <c r="H454" s="1286"/>
      <c r="I454" s="1286"/>
      <c r="J454" s="1286"/>
      <c r="K454" s="1286"/>
      <c r="L454" s="1286"/>
      <c r="M454" s="1286"/>
      <c r="R454" s="282"/>
      <c r="S454" s="282"/>
      <c r="T454" s="282"/>
      <c r="U454" s="282"/>
      <c r="V454" s="282"/>
      <c r="W454" s="282"/>
      <c r="X454" s="282"/>
      <c r="Y454" s="282"/>
      <c r="Z454" s="282"/>
      <c r="AA454" s="282"/>
    </row>
    <row r="455" spans="1:27" s="431" customFormat="1" outlineLevel="3">
      <c r="A455" s="276">
        <f t="shared" si="116"/>
        <v>142</v>
      </c>
      <c r="B455" s="376" t="str">
        <f t="shared" ref="B455:B463" si="128">$B142</f>
        <v>English Language Learner (ELL) Teachers</v>
      </c>
      <c r="C455" s="559"/>
      <c r="D455" s="432"/>
      <c r="E455" s="432"/>
      <c r="F455" s="432"/>
      <c r="G455" s="1286"/>
      <c r="H455" s="1286"/>
      <c r="I455" s="1286"/>
      <c r="J455" s="1286"/>
      <c r="K455" s="1286"/>
      <c r="L455" s="1286"/>
      <c r="M455" s="1286"/>
      <c r="R455" s="282"/>
      <c r="S455" s="282"/>
      <c r="T455" s="282"/>
      <c r="U455" s="282"/>
      <c r="V455" s="282"/>
      <c r="W455" s="282"/>
      <c r="X455" s="282"/>
      <c r="Y455" s="282"/>
      <c r="Z455" s="282"/>
      <c r="AA455" s="282"/>
    </row>
    <row r="456" spans="1:27" s="431" customFormat="1" outlineLevel="3">
      <c r="A456" s="276">
        <f t="shared" si="116"/>
        <v>143</v>
      </c>
      <c r="B456" s="1359" t="str">
        <f t="shared" si="128"/>
        <v xml:space="preserve">EL Coordinator </v>
      </c>
      <c r="C456" s="701"/>
      <c r="D456" s="702"/>
      <c r="E456" s="702"/>
      <c r="F456" s="702"/>
      <c r="G456" s="1292">
        <f t="shared" ref="G456:G463" si="129">(G143*$C$88*$C$86)</f>
        <v>0</v>
      </c>
      <c r="H456" s="1292">
        <f t="shared" ref="H456:M456" si="130">(H143*$C$88*$C$86)*$C$46^(H$11-$G$11)</f>
        <v>4763.75</v>
      </c>
      <c r="I456" s="1292">
        <f t="shared" si="130"/>
        <v>4906.6624999999995</v>
      </c>
      <c r="J456" s="1292">
        <f t="shared" si="130"/>
        <v>5053.8623749999997</v>
      </c>
      <c r="K456" s="1292">
        <f t="shared" si="130"/>
        <v>5205.4782462499998</v>
      </c>
      <c r="L456" s="1292">
        <f t="shared" si="130"/>
        <v>5361.642593637499</v>
      </c>
      <c r="M456" s="1292">
        <f t="shared" si="130"/>
        <v>5522.4918714466248</v>
      </c>
      <c r="R456" s="282"/>
      <c r="S456" s="282"/>
      <c r="T456" s="282"/>
      <c r="U456" s="282"/>
      <c r="V456" s="282"/>
      <c r="W456" s="282"/>
      <c r="X456" s="282"/>
      <c r="Y456" s="282"/>
      <c r="Z456" s="282"/>
      <c r="AA456" s="282"/>
    </row>
    <row r="457" spans="1:27" s="431" customFormat="1" outlineLevel="3">
      <c r="A457" s="276">
        <f t="shared" si="116"/>
        <v>144</v>
      </c>
      <c r="B457" s="1365" t="str">
        <f t="shared" si="128"/>
        <v>ELL Teacher</v>
      </c>
      <c r="C457" s="559"/>
      <c r="D457" s="432"/>
      <c r="E457" s="432"/>
      <c r="F457" s="432"/>
      <c r="G457" s="1286">
        <f t="shared" si="129"/>
        <v>0</v>
      </c>
      <c r="H457" s="1286">
        <f t="shared" ref="H457:M457" si="131">(H144*$C$88*$C$86)*$C$46^(H$11-$G$11)</f>
        <v>0</v>
      </c>
      <c r="I457" s="1286">
        <f t="shared" si="131"/>
        <v>0</v>
      </c>
      <c r="J457" s="1286">
        <f t="shared" si="131"/>
        <v>5053.8623749999997</v>
      </c>
      <c r="K457" s="1286">
        <f t="shared" si="131"/>
        <v>5205.4782462499998</v>
      </c>
      <c r="L457" s="1286">
        <f t="shared" si="131"/>
        <v>5361.642593637499</v>
      </c>
      <c r="M457" s="1286">
        <f t="shared" si="131"/>
        <v>5522.4918714466248</v>
      </c>
      <c r="R457" s="282"/>
      <c r="S457" s="282"/>
      <c r="T457" s="282"/>
      <c r="U457" s="282"/>
      <c r="V457" s="282"/>
      <c r="W457" s="282"/>
      <c r="X457" s="282"/>
      <c r="Y457" s="282"/>
      <c r="Z457" s="282"/>
      <c r="AA457" s="282"/>
    </row>
    <row r="458" spans="1:27" s="431" customFormat="1" outlineLevel="3">
      <c r="A458" s="276">
        <f t="shared" si="116"/>
        <v>145</v>
      </c>
      <c r="B458" s="1365" t="str">
        <f t="shared" si="128"/>
        <v>ELL Teacher</v>
      </c>
      <c r="C458" s="559"/>
      <c r="D458" s="432"/>
      <c r="E458" s="432"/>
      <c r="F458" s="432"/>
      <c r="G458" s="1286">
        <f t="shared" si="129"/>
        <v>0</v>
      </c>
      <c r="H458" s="1286">
        <f t="shared" ref="H458:M458" si="132">(H145*$C$88*$C$86)*$C$46^(H$11-$G$11)</f>
        <v>0</v>
      </c>
      <c r="I458" s="1286">
        <f t="shared" si="132"/>
        <v>0</v>
      </c>
      <c r="J458" s="1286">
        <f t="shared" si="132"/>
        <v>0</v>
      </c>
      <c r="K458" s="1286">
        <f t="shared" si="132"/>
        <v>0</v>
      </c>
      <c r="L458" s="1286">
        <f t="shared" si="132"/>
        <v>5361.642593637499</v>
      </c>
      <c r="M458" s="1286">
        <f t="shared" si="132"/>
        <v>5522.4918714466248</v>
      </c>
      <c r="R458" s="282"/>
      <c r="S458" s="282"/>
      <c r="T458" s="282"/>
      <c r="U458" s="282"/>
      <c r="V458" s="282"/>
      <c r="W458" s="282"/>
      <c r="X458" s="282"/>
      <c r="Y458" s="282"/>
      <c r="Z458" s="282"/>
      <c r="AA458" s="282"/>
    </row>
    <row r="459" spans="1:27" s="431" customFormat="1" outlineLevel="3">
      <c r="A459" s="276">
        <f t="shared" si="116"/>
        <v>146</v>
      </c>
      <c r="B459" s="1365">
        <f t="shared" si="128"/>
        <v>0</v>
      </c>
      <c r="C459" s="559"/>
      <c r="D459" s="432"/>
      <c r="E459" s="432"/>
      <c r="F459" s="432"/>
      <c r="G459" s="1286">
        <f t="shared" si="129"/>
        <v>0</v>
      </c>
      <c r="H459" s="1286">
        <f t="shared" ref="H459:M459" si="133">(H146*$C$88*$C$86)*$C$46^(H$11-$G$11)</f>
        <v>0</v>
      </c>
      <c r="I459" s="1286">
        <f t="shared" si="133"/>
        <v>0</v>
      </c>
      <c r="J459" s="1286">
        <f t="shared" si="133"/>
        <v>0</v>
      </c>
      <c r="K459" s="1286">
        <f t="shared" si="133"/>
        <v>0</v>
      </c>
      <c r="L459" s="1286">
        <f t="shared" si="133"/>
        <v>0</v>
      </c>
      <c r="M459" s="1286">
        <f t="shared" si="133"/>
        <v>0</v>
      </c>
      <c r="R459" s="282"/>
      <c r="S459" s="282"/>
      <c r="T459" s="282"/>
      <c r="U459" s="282"/>
      <c r="V459" s="282"/>
      <c r="W459" s="282"/>
      <c r="X459" s="282"/>
      <c r="Y459" s="282"/>
      <c r="Z459" s="282"/>
      <c r="AA459" s="282"/>
    </row>
    <row r="460" spans="1:27" s="431" customFormat="1" outlineLevel="3">
      <c r="A460" s="276">
        <f t="shared" si="116"/>
        <v>147</v>
      </c>
      <c r="B460" s="1365">
        <f t="shared" si="128"/>
        <v>0</v>
      </c>
      <c r="C460" s="559"/>
      <c r="D460" s="432"/>
      <c r="E460" s="432"/>
      <c r="F460" s="432"/>
      <c r="G460" s="1286">
        <f t="shared" si="129"/>
        <v>0</v>
      </c>
      <c r="H460" s="1286">
        <f t="shared" ref="H460:M460" si="134">(H147*$C$88*$C$86)*$C$46^(H$11-$G$11)</f>
        <v>0</v>
      </c>
      <c r="I460" s="1286">
        <f t="shared" si="134"/>
        <v>0</v>
      </c>
      <c r="J460" s="1286">
        <f t="shared" si="134"/>
        <v>0</v>
      </c>
      <c r="K460" s="1286">
        <f t="shared" si="134"/>
        <v>0</v>
      </c>
      <c r="L460" s="1286">
        <f t="shared" si="134"/>
        <v>0</v>
      </c>
      <c r="M460" s="1286">
        <f t="shared" si="134"/>
        <v>0</v>
      </c>
      <c r="R460" s="282"/>
      <c r="S460" s="282"/>
      <c r="T460" s="282"/>
      <c r="U460" s="282"/>
      <c r="V460" s="282"/>
      <c r="W460" s="282"/>
      <c r="X460" s="282"/>
      <c r="Y460" s="282"/>
      <c r="Z460" s="282"/>
      <c r="AA460" s="282"/>
    </row>
    <row r="461" spans="1:27" s="431" customFormat="1" outlineLevel="3">
      <c r="A461" s="276">
        <f t="shared" si="116"/>
        <v>148</v>
      </c>
      <c r="B461" s="1365">
        <f t="shared" si="128"/>
        <v>0</v>
      </c>
      <c r="C461" s="559"/>
      <c r="D461" s="432"/>
      <c r="E461" s="432"/>
      <c r="F461" s="432"/>
      <c r="G461" s="1286">
        <f t="shared" si="129"/>
        <v>0</v>
      </c>
      <c r="H461" s="1286">
        <f t="shared" ref="H461:M461" si="135">(H148*$C$88*$C$86)*$C$46^(H$11-$G$11)</f>
        <v>0</v>
      </c>
      <c r="I461" s="1286">
        <f t="shared" si="135"/>
        <v>0</v>
      </c>
      <c r="J461" s="1286">
        <f t="shared" si="135"/>
        <v>0</v>
      </c>
      <c r="K461" s="1286">
        <f t="shared" si="135"/>
        <v>0</v>
      </c>
      <c r="L461" s="1286">
        <f t="shared" si="135"/>
        <v>0</v>
      </c>
      <c r="M461" s="1286">
        <f t="shared" si="135"/>
        <v>0</v>
      </c>
      <c r="R461" s="282"/>
      <c r="S461" s="282"/>
      <c r="T461" s="282"/>
      <c r="U461" s="282"/>
      <c r="V461" s="282"/>
      <c r="W461" s="282"/>
      <c r="X461" s="282"/>
      <c r="Y461" s="282"/>
      <c r="Z461" s="282"/>
      <c r="AA461" s="282"/>
    </row>
    <row r="462" spans="1:27" s="431" customFormat="1" outlineLevel="3">
      <c r="A462" s="276">
        <f t="shared" si="116"/>
        <v>149</v>
      </c>
      <c r="B462" s="1365">
        <f t="shared" si="128"/>
        <v>0</v>
      </c>
      <c r="C462" s="559"/>
      <c r="D462" s="432"/>
      <c r="E462" s="432"/>
      <c r="F462" s="432"/>
      <c r="G462" s="1286">
        <f t="shared" si="129"/>
        <v>0</v>
      </c>
      <c r="H462" s="1286">
        <f t="shared" ref="H462:M462" si="136">(H149*$C$88*$C$86)*$C$46^(H$11-$G$11)</f>
        <v>0</v>
      </c>
      <c r="I462" s="1286">
        <f t="shared" si="136"/>
        <v>0</v>
      </c>
      <c r="J462" s="1286">
        <f t="shared" si="136"/>
        <v>0</v>
      </c>
      <c r="K462" s="1286">
        <f t="shared" si="136"/>
        <v>0</v>
      </c>
      <c r="L462" s="1286">
        <f t="shared" si="136"/>
        <v>0</v>
      </c>
      <c r="M462" s="1286">
        <f t="shared" si="136"/>
        <v>0</v>
      </c>
      <c r="R462" s="282"/>
      <c r="S462" s="282"/>
      <c r="T462" s="282"/>
      <c r="U462" s="282"/>
      <c r="V462" s="282"/>
      <c r="W462" s="282"/>
      <c r="X462" s="282"/>
      <c r="Y462" s="282"/>
      <c r="Z462" s="282"/>
      <c r="AA462" s="282"/>
    </row>
    <row r="463" spans="1:27" s="431" customFormat="1" outlineLevel="3">
      <c r="A463" s="276">
        <f t="shared" si="116"/>
        <v>150</v>
      </c>
      <c r="B463" s="1365">
        <f t="shared" si="128"/>
        <v>0</v>
      </c>
      <c r="C463" s="559"/>
      <c r="D463" s="432"/>
      <c r="E463" s="432"/>
      <c r="F463" s="432"/>
      <c r="G463" s="1286">
        <f t="shared" si="129"/>
        <v>0</v>
      </c>
      <c r="H463" s="1286">
        <f t="shared" ref="H463:M463" si="137">(H150*$C$88*$C$86)*$C$46^(H$11-$G$11)</f>
        <v>0</v>
      </c>
      <c r="I463" s="1286">
        <f t="shared" si="137"/>
        <v>0</v>
      </c>
      <c r="J463" s="1286">
        <f t="shared" si="137"/>
        <v>0</v>
      </c>
      <c r="K463" s="1286">
        <f t="shared" si="137"/>
        <v>0</v>
      </c>
      <c r="L463" s="1286">
        <f t="shared" si="137"/>
        <v>0</v>
      </c>
      <c r="M463" s="1286">
        <f t="shared" si="137"/>
        <v>0</v>
      </c>
      <c r="R463" s="282"/>
      <c r="S463" s="282"/>
      <c r="T463" s="282"/>
      <c r="U463" s="282"/>
      <c r="V463" s="282"/>
      <c r="W463" s="282"/>
      <c r="X463" s="282"/>
      <c r="Y463" s="282"/>
      <c r="Z463" s="282"/>
      <c r="AA463" s="282"/>
    </row>
    <row r="464" spans="1:27" s="431" customFormat="1" outlineLevel="3">
      <c r="A464" s="276">
        <f t="shared" si="116"/>
        <v>151</v>
      </c>
      <c r="B464" s="376"/>
      <c r="C464" s="559"/>
      <c r="D464" s="432"/>
      <c r="E464" s="432"/>
      <c r="F464" s="432"/>
      <c r="G464" s="1286"/>
      <c r="H464" s="1286"/>
      <c r="I464" s="1286"/>
      <c r="J464" s="1286"/>
      <c r="K464" s="1286"/>
      <c r="L464" s="1286"/>
      <c r="M464" s="1286"/>
      <c r="R464" s="282"/>
      <c r="S464" s="282"/>
      <c r="T464" s="282"/>
      <c r="U464" s="282"/>
      <c r="V464" s="282"/>
      <c r="W464" s="282"/>
      <c r="X464" s="282"/>
      <c r="Y464" s="282"/>
      <c r="Z464" s="282"/>
      <c r="AA464" s="282"/>
    </row>
    <row r="465" spans="1:27" s="431" customFormat="1" outlineLevel="3">
      <c r="A465" s="276">
        <f t="shared" si="116"/>
        <v>152</v>
      </c>
      <c r="B465" s="700" t="str">
        <f>$B152</f>
        <v>Total ELL Teachers</v>
      </c>
      <c r="C465" s="701"/>
      <c r="D465" s="702"/>
      <c r="E465" s="702"/>
      <c r="F465" s="702"/>
      <c r="G465" s="1287">
        <f t="shared" ref="G465:M465" si="138">SUM(G444:G463)</f>
        <v>0</v>
      </c>
      <c r="H465" s="1287">
        <f t="shared" si="138"/>
        <v>14291.25</v>
      </c>
      <c r="I465" s="1287">
        <f t="shared" si="138"/>
        <v>24533.312499999996</v>
      </c>
      <c r="J465" s="1287">
        <f t="shared" si="138"/>
        <v>30323.17425</v>
      </c>
      <c r="K465" s="1287">
        <f t="shared" si="138"/>
        <v>41643.825969999998</v>
      </c>
      <c r="L465" s="1287">
        <f t="shared" si="138"/>
        <v>48254.783342737501</v>
      </c>
      <c r="M465" s="1287">
        <f t="shared" si="138"/>
        <v>60747.410585912876</v>
      </c>
      <c r="R465" s="282"/>
      <c r="S465" s="282"/>
      <c r="T465" s="282"/>
      <c r="U465" s="282"/>
      <c r="V465" s="282"/>
      <c r="W465" s="282"/>
      <c r="X465" s="282"/>
      <c r="Y465" s="282"/>
      <c r="Z465" s="282"/>
      <c r="AA465" s="282"/>
    </row>
    <row r="466" spans="1:27" s="431" customFormat="1" outlineLevel="3">
      <c r="A466" s="276">
        <f>ROW(A156)</f>
        <v>156</v>
      </c>
      <c r="B466" s="432"/>
      <c r="C466" s="559"/>
      <c r="D466" s="432"/>
      <c r="E466" s="432"/>
      <c r="F466" s="432"/>
      <c r="G466" s="1286"/>
      <c r="H466" s="1286"/>
      <c r="I466" s="1286"/>
      <c r="J466" s="1286"/>
      <c r="K466" s="1286"/>
      <c r="L466" s="1286"/>
      <c r="M466" s="1286"/>
      <c r="R466" s="282"/>
      <c r="S466" s="282"/>
      <c r="T466" s="282"/>
      <c r="U466" s="282"/>
      <c r="V466" s="282"/>
      <c r="W466" s="282"/>
      <c r="X466" s="282"/>
      <c r="Y466" s="282"/>
      <c r="Z466" s="282"/>
      <c r="AA466" s="282"/>
    </row>
    <row r="467" spans="1:27" s="431" customFormat="1" outlineLevel="3">
      <c r="A467" s="276">
        <f>ROW(A157)</f>
        <v>157</v>
      </c>
      <c r="B467" s="432"/>
      <c r="C467" s="559"/>
      <c r="D467" s="432"/>
      <c r="E467" s="432"/>
      <c r="F467" s="432"/>
      <c r="G467" s="1286"/>
      <c r="H467" s="1286"/>
      <c r="I467" s="1286"/>
      <c r="J467" s="1286"/>
      <c r="K467" s="1286"/>
      <c r="L467" s="1286"/>
      <c r="M467" s="1286"/>
      <c r="R467" s="282"/>
      <c r="S467" s="282"/>
      <c r="T467" s="282"/>
      <c r="U467" s="282"/>
      <c r="V467" s="282"/>
      <c r="W467" s="282"/>
      <c r="X467" s="282"/>
      <c r="Y467" s="282"/>
      <c r="Z467" s="282"/>
      <c r="AA467" s="282"/>
    </row>
    <row r="468" spans="1:27" s="428" customFormat="1" outlineLevel="3">
      <c r="A468" s="276">
        <f>ROW(A172)</f>
        <v>172</v>
      </c>
      <c r="B468" s="757">
        <f>$B172</f>
        <v>0</v>
      </c>
      <c r="C468" s="560"/>
      <c r="D468" s="429"/>
      <c r="E468" s="429"/>
      <c r="F468" s="429"/>
      <c r="G468" s="1286">
        <f>(G172*$C$88*$C$86)</f>
        <v>0</v>
      </c>
      <c r="H468" s="1286">
        <f t="shared" ref="H468:M470" si="139">(H172*$C$88*$C$86)*$C$46^(H$11-$G$11)</f>
        <v>0</v>
      </c>
      <c r="I468" s="1286">
        <f t="shared" si="139"/>
        <v>0</v>
      </c>
      <c r="J468" s="1286">
        <f t="shared" si="139"/>
        <v>0</v>
      </c>
      <c r="K468" s="1286">
        <f t="shared" si="139"/>
        <v>0</v>
      </c>
      <c r="L468" s="1286">
        <f t="shared" si="139"/>
        <v>0</v>
      </c>
      <c r="M468" s="1286">
        <f t="shared" si="139"/>
        <v>0</v>
      </c>
      <c r="R468" s="282"/>
      <c r="S468" s="282"/>
      <c r="T468" s="282"/>
      <c r="U468" s="282"/>
      <c r="V468" s="282"/>
      <c r="W468" s="282"/>
      <c r="X468" s="282"/>
      <c r="Y468" s="282"/>
      <c r="Z468" s="282"/>
      <c r="AA468" s="282"/>
    </row>
    <row r="469" spans="1:27" s="428" customFormat="1" outlineLevel="3">
      <c r="A469" s="276">
        <f t="shared" ref="A469:A532" si="140">ROW(A173)</f>
        <v>173</v>
      </c>
      <c r="B469" s="757">
        <f>$B173</f>
        <v>0</v>
      </c>
      <c r="C469" s="560"/>
      <c r="D469" s="429"/>
      <c r="E469" s="429"/>
      <c r="F469" s="429"/>
      <c r="G469" s="1286">
        <f>(G173*$C$88*$C$86)</f>
        <v>0</v>
      </c>
      <c r="H469" s="1286">
        <f t="shared" si="139"/>
        <v>0</v>
      </c>
      <c r="I469" s="1286">
        <f t="shared" si="139"/>
        <v>0</v>
      </c>
      <c r="J469" s="1286">
        <f t="shared" si="139"/>
        <v>0</v>
      </c>
      <c r="K469" s="1286">
        <f t="shared" si="139"/>
        <v>0</v>
      </c>
      <c r="L469" s="1286">
        <f t="shared" si="139"/>
        <v>0</v>
      </c>
      <c r="M469" s="1286">
        <f t="shared" si="139"/>
        <v>0</v>
      </c>
      <c r="R469" s="282"/>
      <c r="S469" s="282"/>
      <c r="T469" s="282"/>
      <c r="U469" s="282"/>
      <c r="V469" s="282"/>
      <c r="W469" s="282"/>
      <c r="X469" s="282"/>
      <c r="Y469" s="282"/>
      <c r="Z469" s="282"/>
      <c r="AA469" s="282"/>
    </row>
    <row r="470" spans="1:27" s="428" customFormat="1" outlineLevel="3">
      <c r="A470" s="276">
        <f t="shared" si="140"/>
        <v>174</v>
      </c>
      <c r="B470" s="757">
        <f>$B174</f>
        <v>0</v>
      </c>
      <c r="C470" s="560"/>
      <c r="D470" s="429"/>
      <c r="E470" s="429"/>
      <c r="F470" s="429"/>
      <c r="G470" s="1286">
        <f>(G174*$C$88*$C$86)</f>
        <v>0</v>
      </c>
      <c r="H470" s="1286">
        <f t="shared" si="139"/>
        <v>0</v>
      </c>
      <c r="I470" s="1286">
        <f t="shared" si="139"/>
        <v>0</v>
      </c>
      <c r="J470" s="1286">
        <f t="shared" si="139"/>
        <v>0</v>
      </c>
      <c r="K470" s="1286">
        <f t="shared" si="139"/>
        <v>0</v>
      </c>
      <c r="L470" s="1286">
        <f t="shared" si="139"/>
        <v>0</v>
      </c>
      <c r="M470" s="1286">
        <f t="shared" si="139"/>
        <v>0</v>
      </c>
      <c r="R470" s="282"/>
      <c r="S470" s="282"/>
      <c r="T470" s="282"/>
      <c r="U470" s="282"/>
      <c r="V470" s="282"/>
      <c r="W470" s="282"/>
      <c r="X470" s="282"/>
      <c r="Y470" s="282"/>
      <c r="Z470" s="282"/>
      <c r="AA470" s="282"/>
    </row>
    <row r="471" spans="1:27" s="428" customFormat="1" outlineLevel="3">
      <c r="A471" s="276">
        <f t="shared" si="140"/>
        <v>175</v>
      </c>
      <c r="B471" s="757"/>
      <c r="C471" s="560"/>
      <c r="D471" s="429"/>
      <c r="E471" s="429"/>
      <c r="F471" s="429"/>
      <c r="G471" s="1286"/>
      <c r="H471" s="1286"/>
      <c r="I471" s="1286"/>
      <c r="J471" s="1286"/>
      <c r="K471" s="1286"/>
      <c r="L471" s="1286"/>
      <c r="M471" s="1286"/>
      <c r="R471" s="282"/>
      <c r="S471" s="282"/>
      <c r="T471" s="282"/>
      <c r="U471" s="282"/>
      <c r="V471" s="282"/>
      <c r="W471" s="282"/>
      <c r="X471" s="282"/>
      <c r="Y471" s="282"/>
      <c r="Z471" s="282"/>
      <c r="AA471" s="282"/>
    </row>
    <row r="472" spans="1:27" s="428" customFormat="1" outlineLevel="3">
      <c r="A472" s="276">
        <f t="shared" si="140"/>
        <v>176</v>
      </c>
      <c r="B472" s="757" t="str">
        <f>$B176</f>
        <v>Kindergarten Teacher</v>
      </c>
      <c r="C472" s="560"/>
      <c r="D472" s="429"/>
      <c r="E472" s="429"/>
      <c r="F472" s="429"/>
      <c r="G472" s="1286">
        <f>(G176*$C$88*$C$86)</f>
        <v>0</v>
      </c>
      <c r="H472" s="1286">
        <f t="shared" ref="H472:M476" si="141">(H176*$C$88*$C$86)*$C$46^(H$11-$G$11)</f>
        <v>4763.75</v>
      </c>
      <c r="I472" s="1286">
        <f t="shared" si="141"/>
        <v>4906.6624999999995</v>
      </c>
      <c r="J472" s="1286">
        <f t="shared" si="141"/>
        <v>5053.8623749999997</v>
      </c>
      <c r="K472" s="1286">
        <f t="shared" si="141"/>
        <v>5205.4782462499998</v>
      </c>
      <c r="L472" s="1286">
        <f t="shared" si="141"/>
        <v>5361.642593637499</v>
      </c>
      <c r="M472" s="1286">
        <f t="shared" si="141"/>
        <v>5522.4918714466248</v>
      </c>
      <c r="R472" s="282"/>
      <c r="S472" s="282"/>
      <c r="T472" s="282"/>
      <c r="U472" s="282"/>
      <c r="V472" s="282"/>
      <c r="W472" s="282"/>
      <c r="X472" s="282"/>
      <c r="Y472" s="282"/>
      <c r="Z472" s="282"/>
      <c r="AA472" s="282"/>
    </row>
    <row r="473" spans="1:27" s="428" customFormat="1" outlineLevel="3">
      <c r="A473" s="276">
        <f t="shared" si="140"/>
        <v>177</v>
      </c>
      <c r="B473" s="757" t="str">
        <f>$B177</f>
        <v>Kindergarten Teacher</v>
      </c>
      <c r="C473" s="560"/>
      <c r="D473" s="429"/>
      <c r="E473" s="429"/>
      <c r="F473" s="429"/>
      <c r="G473" s="1286">
        <f>(G177*$C$88*$C$86)</f>
        <v>0</v>
      </c>
      <c r="H473" s="1286">
        <f t="shared" si="141"/>
        <v>4763.75</v>
      </c>
      <c r="I473" s="1286">
        <f t="shared" si="141"/>
        <v>4906.6624999999995</v>
      </c>
      <c r="J473" s="1286">
        <f t="shared" si="141"/>
        <v>5053.8623749999997</v>
      </c>
      <c r="K473" s="1286">
        <f t="shared" si="141"/>
        <v>5205.4782462499998</v>
      </c>
      <c r="L473" s="1286">
        <f t="shared" si="141"/>
        <v>5361.642593637499</v>
      </c>
      <c r="M473" s="1286">
        <f t="shared" si="141"/>
        <v>5522.4918714466248</v>
      </c>
      <c r="R473" s="282"/>
      <c r="S473" s="282"/>
      <c r="T473" s="282"/>
      <c r="U473" s="282"/>
      <c r="V473" s="282"/>
      <c r="W473" s="282"/>
      <c r="X473" s="282"/>
      <c r="Y473" s="282"/>
      <c r="Z473" s="282"/>
      <c r="AA473" s="282"/>
    </row>
    <row r="474" spans="1:27" s="428" customFormat="1" outlineLevel="3">
      <c r="A474" s="276">
        <f t="shared" si="140"/>
        <v>178</v>
      </c>
      <c r="B474" s="757" t="str">
        <f>$B178</f>
        <v>Kindergarten Teacher</v>
      </c>
      <c r="C474" s="560"/>
      <c r="D474" s="429"/>
      <c r="E474" s="429"/>
      <c r="F474" s="429"/>
      <c r="G474" s="1286">
        <f>(G178*$C$88*$C$86)</f>
        <v>0</v>
      </c>
      <c r="H474" s="1286">
        <f t="shared" si="141"/>
        <v>4763.75</v>
      </c>
      <c r="I474" s="1286">
        <f t="shared" si="141"/>
        <v>4906.6624999999995</v>
      </c>
      <c r="J474" s="1286">
        <f t="shared" si="141"/>
        <v>5053.8623749999997</v>
      </c>
      <c r="K474" s="1286">
        <f t="shared" si="141"/>
        <v>5205.4782462499998</v>
      </c>
      <c r="L474" s="1286">
        <f t="shared" si="141"/>
        <v>5361.642593637499</v>
      </c>
      <c r="M474" s="1286">
        <f t="shared" si="141"/>
        <v>5522.4918714466248</v>
      </c>
      <c r="R474" s="282"/>
      <c r="S474" s="282"/>
      <c r="T474" s="282"/>
      <c r="U474" s="282"/>
      <c r="V474" s="282"/>
      <c r="W474" s="282"/>
      <c r="X474" s="282"/>
      <c r="Y474" s="282"/>
      <c r="Z474" s="282"/>
      <c r="AA474" s="282"/>
    </row>
    <row r="475" spans="1:27" s="428" customFormat="1" outlineLevel="3">
      <c r="A475" s="276">
        <f t="shared" si="140"/>
        <v>179</v>
      </c>
      <c r="B475" s="757">
        <f>$B179</f>
        <v>0</v>
      </c>
      <c r="C475" s="560"/>
      <c r="D475" s="429"/>
      <c r="E475" s="429"/>
      <c r="F475" s="429"/>
      <c r="G475" s="1286">
        <f>(G179*$C$88*$C$86)</f>
        <v>0</v>
      </c>
      <c r="H475" s="1286">
        <f t="shared" si="141"/>
        <v>0</v>
      </c>
      <c r="I475" s="1286">
        <f t="shared" si="141"/>
        <v>0</v>
      </c>
      <c r="J475" s="1286">
        <f t="shared" si="141"/>
        <v>0</v>
      </c>
      <c r="K475" s="1286">
        <f t="shared" si="141"/>
        <v>0</v>
      </c>
      <c r="L475" s="1286">
        <f t="shared" si="141"/>
        <v>0</v>
      </c>
      <c r="M475" s="1286">
        <f t="shared" si="141"/>
        <v>0</v>
      </c>
      <c r="R475" s="282"/>
      <c r="S475" s="282"/>
      <c r="T475" s="282"/>
      <c r="U475" s="282"/>
      <c r="V475" s="282"/>
      <c r="W475" s="282"/>
      <c r="X475" s="282"/>
      <c r="Y475" s="282"/>
      <c r="Z475" s="282"/>
      <c r="AA475" s="282"/>
    </row>
    <row r="476" spans="1:27" s="431" customFormat="1" outlineLevel="3">
      <c r="A476" s="276">
        <f t="shared" si="140"/>
        <v>180</v>
      </c>
      <c r="B476" s="757">
        <f>$B180</f>
        <v>0</v>
      </c>
      <c r="C476" s="560"/>
      <c r="D476" s="429"/>
      <c r="E476" s="429"/>
      <c r="F476" s="429"/>
      <c r="G476" s="1286">
        <f>(G180*$C$88*$C$86)</f>
        <v>0</v>
      </c>
      <c r="H476" s="1286">
        <f t="shared" si="141"/>
        <v>0</v>
      </c>
      <c r="I476" s="1286">
        <f t="shared" si="141"/>
        <v>0</v>
      </c>
      <c r="J476" s="1286">
        <f t="shared" si="141"/>
        <v>0</v>
      </c>
      <c r="K476" s="1286">
        <f t="shared" si="141"/>
        <v>0</v>
      </c>
      <c r="L476" s="1286">
        <f t="shared" si="141"/>
        <v>0</v>
      </c>
      <c r="M476" s="1286">
        <f t="shared" si="141"/>
        <v>0</v>
      </c>
      <c r="R476" s="282"/>
      <c r="S476" s="282"/>
      <c r="T476" s="282"/>
      <c r="U476" s="282"/>
      <c r="V476" s="282"/>
      <c r="W476" s="282"/>
      <c r="X476" s="282"/>
      <c r="Y476" s="282"/>
      <c r="Z476" s="282"/>
      <c r="AA476" s="282"/>
    </row>
    <row r="477" spans="1:27" s="431" customFormat="1" outlineLevel="3">
      <c r="A477" s="276">
        <f t="shared" si="140"/>
        <v>181</v>
      </c>
      <c r="B477" s="757"/>
      <c r="C477" s="561"/>
      <c r="D477" s="428"/>
      <c r="E477" s="428"/>
      <c r="F477" s="428"/>
      <c r="G477" s="1286"/>
      <c r="H477" s="1286"/>
      <c r="I477" s="1286"/>
      <c r="J477" s="1286"/>
      <c r="K477" s="1286"/>
      <c r="L477" s="1286"/>
      <c r="M477" s="1286"/>
      <c r="R477" s="282"/>
      <c r="S477" s="282"/>
      <c r="T477" s="282"/>
      <c r="U477" s="282"/>
      <c r="V477" s="282"/>
      <c r="W477" s="282"/>
      <c r="X477" s="282"/>
      <c r="Y477" s="282"/>
      <c r="Z477" s="282"/>
      <c r="AA477" s="282"/>
    </row>
    <row r="478" spans="1:27" s="428" customFormat="1" outlineLevel="3">
      <c r="A478" s="276">
        <f t="shared" si="140"/>
        <v>182</v>
      </c>
      <c r="B478" s="757" t="str">
        <f>$B182</f>
        <v>1st Grade Teacher</v>
      </c>
      <c r="C478" s="560"/>
      <c r="D478" s="429"/>
      <c r="E478" s="429"/>
      <c r="F478" s="429"/>
      <c r="G478" s="1286">
        <f>(G182*$C$88*$C$86)</f>
        <v>0</v>
      </c>
      <c r="H478" s="1286">
        <f t="shared" ref="H478:M482" si="142">(H182*$C$88*$C$86)*$C$46^(H$11-$G$11)</f>
        <v>4763.75</v>
      </c>
      <c r="I478" s="1286">
        <f t="shared" si="142"/>
        <v>4906.6624999999995</v>
      </c>
      <c r="J478" s="1286">
        <f t="shared" si="142"/>
        <v>5053.8623749999997</v>
      </c>
      <c r="K478" s="1286">
        <f t="shared" si="142"/>
        <v>5205.4782462499998</v>
      </c>
      <c r="L478" s="1286">
        <f t="shared" si="142"/>
        <v>5361.642593637499</v>
      </c>
      <c r="M478" s="1286">
        <f t="shared" si="142"/>
        <v>5522.4918714466248</v>
      </c>
      <c r="R478" s="282"/>
      <c r="S478" s="282"/>
      <c r="T478" s="282"/>
      <c r="U478" s="282"/>
      <c r="V478" s="282"/>
      <c r="W478" s="282"/>
      <c r="X478" s="282"/>
      <c r="Y478" s="282"/>
      <c r="Z478" s="282"/>
      <c r="AA478" s="282"/>
    </row>
    <row r="479" spans="1:27" s="428" customFormat="1" outlineLevel="3">
      <c r="A479" s="276">
        <f t="shared" si="140"/>
        <v>183</v>
      </c>
      <c r="B479" s="757" t="str">
        <f>$B183</f>
        <v>1st Grade Teacher</v>
      </c>
      <c r="C479" s="560"/>
      <c r="D479" s="429"/>
      <c r="E479" s="429"/>
      <c r="F479" s="429"/>
      <c r="G479" s="1286">
        <f>(G183*$C$88*$C$86)</f>
        <v>0</v>
      </c>
      <c r="H479" s="1286">
        <f t="shared" si="142"/>
        <v>4763.75</v>
      </c>
      <c r="I479" s="1286">
        <f t="shared" si="142"/>
        <v>4906.6624999999995</v>
      </c>
      <c r="J479" s="1286">
        <f t="shared" si="142"/>
        <v>5053.8623749999997</v>
      </c>
      <c r="K479" s="1286">
        <f t="shared" si="142"/>
        <v>5205.4782462499998</v>
      </c>
      <c r="L479" s="1286">
        <f t="shared" si="142"/>
        <v>5361.642593637499</v>
      </c>
      <c r="M479" s="1286">
        <f t="shared" si="142"/>
        <v>5522.4918714466248</v>
      </c>
      <c r="R479" s="282"/>
      <c r="S479" s="282"/>
      <c r="T479" s="282"/>
      <c r="U479" s="282"/>
      <c r="V479" s="282"/>
      <c r="W479" s="282"/>
      <c r="X479" s="282"/>
      <c r="Y479" s="282"/>
      <c r="Z479" s="282"/>
      <c r="AA479" s="282"/>
    </row>
    <row r="480" spans="1:27" s="428" customFormat="1" outlineLevel="3">
      <c r="A480" s="276">
        <f t="shared" si="140"/>
        <v>184</v>
      </c>
      <c r="B480" s="757" t="str">
        <f>$B184</f>
        <v>1st Grade Teacher</v>
      </c>
      <c r="C480" s="560"/>
      <c r="D480" s="429"/>
      <c r="E480" s="429"/>
      <c r="F480" s="429"/>
      <c r="G480" s="1286">
        <f>(G184*$C$88*$C$86)</f>
        <v>0</v>
      </c>
      <c r="H480" s="1286">
        <f t="shared" si="142"/>
        <v>0</v>
      </c>
      <c r="I480" s="1286">
        <f t="shared" si="142"/>
        <v>4906.6624999999995</v>
      </c>
      <c r="J480" s="1286">
        <f t="shared" si="142"/>
        <v>5053.8623749999997</v>
      </c>
      <c r="K480" s="1286">
        <f t="shared" si="142"/>
        <v>5205.4782462499998</v>
      </c>
      <c r="L480" s="1286">
        <f t="shared" si="142"/>
        <v>5361.642593637499</v>
      </c>
      <c r="M480" s="1286">
        <f t="shared" si="142"/>
        <v>5522.4918714466248</v>
      </c>
      <c r="R480" s="282"/>
      <c r="S480" s="282"/>
      <c r="T480" s="282"/>
      <c r="U480" s="282"/>
      <c r="V480" s="282"/>
      <c r="W480" s="282"/>
      <c r="X480" s="282"/>
      <c r="Y480" s="282"/>
      <c r="Z480" s="282"/>
      <c r="AA480" s="282"/>
    </row>
    <row r="481" spans="1:27" s="428" customFormat="1" outlineLevel="3">
      <c r="A481" s="276">
        <f t="shared" si="140"/>
        <v>185</v>
      </c>
      <c r="B481" s="757">
        <f>$B185</f>
        <v>0</v>
      </c>
      <c r="C481" s="560"/>
      <c r="D481" s="429"/>
      <c r="E481" s="429"/>
      <c r="F481" s="429"/>
      <c r="G481" s="1286">
        <f>(G185*$C$88*$C$86)</f>
        <v>0</v>
      </c>
      <c r="H481" s="1286">
        <f t="shared" si="142"/>
        <v>0</v>
      </c>
      <c r="I481" s="1286">
        <f t="shared" si="142"/>
        <v>0</v>
      </c>
      <c r="J481" s="1286">
        <f t="shared" si="142"/>
        <v>0</v>
      </c>
      <c r="K481" s="1286">
        <f t="shared" si="142"/>
        <v>0</v>
      </c>
      <c r="L481" s="1286">
        <f t="shared" si="142"/>
        <v>0</v>
      </c>
      <c r="M481" s="1286">
        <f t="shared" si="142"/>
        <v>0</v>
      </c>
      <c r="R481" s="282"/>
      <c r="S481" s="282"/>
      <c r="T481" s="282"/>
      <c r="U481" s="282"/>
      <c r="V481" s="282"/>
      <c r="W481" s="282"/>
      <c r="X481" s="282"/>
      <c r="Y481" s="282"/>
      <c r="Z481" s="282"/>
      <c r="AA481" s="282"/>
    </row>
    <row r="482" spans="1:27" s="428" customFormat="1" outlineLevel="3">
      <c r="A482" s="276">
        <f t="shared" si="140"/>
        <v>186</v>
      </c>
      <c r="B482" s="757">
        <f>$B186</f>
        <v>0</v>
      </c>
      <c r="C482" s="560"/>
      <c r="D482" s="429"/>
      <c r="E482" s="429"/>
      <c r="F482" s="429"/>
      <c r="G482" s="1286">
        <f>(G186*$C$88*$C$86)</f>
        <v>0</v>
      </c>
      <c r="H482" s="1286">
        <f t="shared" si="142"/>
        <v>0</v>
      </c>
      <c r="I482" s="1286">
        <f t="shared" si="142"/>
        <v>0</v>
      </c>
      <c r="J482" s="1286">
        <f t="shared" si="142"/>
        <v>0</v>
      </c>
      <c r="K482" s="1286">
        <f t="shared" si="142"/>
        <v>0</v>
      </c>
      <c r="L482" s="1286">
        <f t="shared" si="142"/>
        <v>0</v>
      </c>
      <c r="M482" s="1286">
        <f t="shared" si="142"/>
        <v>0</v>
      </c>
      <c r="R482" s="282"/>
      <c r="S482" s="282"/>
      <c r="T482" s="282"/>
      <c r="U482" s="282"/>
      <c r="V482" s="282"/>
      <c r="W482" s="282"/>
      <c r="X482" s="282"/>
      <c r="Y482" s="282"/>
      <c r="Z482" s="282"/>
      <c r="AA482" s="282"/>
    </row>
    <row r="483" spans="1:27" s="428" customFormat="1" outlineLevel="3">
      <c r="A483" s="276">
        <f t="shared" si="140"/>
        <v>187</v>
      </c>
      <c r="B483" s="757"/>
      <c r="C483" s="560"/>
      <c r="D483" s="429"/>
      <c r="E483" s="429"/>
      <c r="F483" s="429"/>
      <c r="G483" s="1286"/>
      <c r="H483" s="1286"/>
      <c r="I483" s="1286"/>
      <c r="J483" s="1286"/>
      <c r="K483" s="1286"/>
      <c r="L483" s="1286"/>
      <c r="M483" s="1286"/>
      <c r="R483" s="282"/>
      <c r="S483" s="282"/>
      <c r="T483" s="282"/>
      <c r="U483" s="282"/>
      <c r="V483" s="282"/>
      <c r="W483" s="282"/>
      <c r="X483" s="282"/>
      <c r="Y483" s="282"/>
      <c r="Z483" s="282"/>
      <c r="AA483" s="282"/>
    </row>
    <row r="484" spans="1:27" s="428" customFormat="1" outlineLevel="3">
      <c r="A484" s="276">
        <f t="shared" si="140"/>
        <v>188</v>
      </c>
      <c r="B484" s="757" t="str">
        <f>$B188</f>
        <v>2nd Grade Teacher</v>
      </c>
      <c r="C484" s="560"/>
      <c r="D484" s="429"/>
      <c r="E484" s="429"/>
      <c r="F484" s="429"/>
      <c r="G484" s="1286">
        <f>(G188*$C$88*$C$86)</f>
        <v>0</v>
      </c>
      <c r="H484" s="1286">
        <f t="shared" ref="H484:M488" si="143">(H188*$C$88*$C$86)*$C$46^(H$11-$G$11)</f>
        <v>4763.75</v>
      </c>
      <c r="I484" s="1286">
        <f t="shared" si="143"/>
        <v>4906.6624999999995</v>
      </c>
      <c r="J484" s="1286">
        <f t="shared" si="143"/>
        <v>5053.8623749999997</v>
      </c>
      <c r="K484" s="1286">
        <f t="shared" si="143"/>
        <v>5205.4782462499998</v>
      </c>
      <c r="L484" s="1286">
        <f t="shared" si="143"/>
        <v>5361.642593637499</v>
      </c>
      <c r="M484" s="1286">
        <f t="shared" si="143"/>
        <v>5522.4918714466248</v>
      </c>
      <c r="R484" s="282"/>
      <c r="S484" s="282"/>
      <c r="T484" s="282"/>
      <c r="U484" s="282"/>
      <c r="V484" s="282"/>
      <c r="W484" s="282"/>
      <c r="X484" s="282"/>
      <c r="Y484" s="282"/>
      <c r="Z484" s="282"/>
      <c r="AA484" s="282"/>
    </row>
    <row r="485" spans="1:27" s="428" customFormat="1" outlineLevel="3">
      <c r="A485" s="276">
        <f t="shared" si="140"/>
        <v>189</v>
      </c>
      <c r="B485" s="757" t="str">
        <f>$B189</f>
        <v>2nd Grade Teacher</v>
      </c>
      <c r="C485" s="560"/>
      <c r="D485" s="429"/>
      <c r="E485" s="429"/>
      <c r="F485" s="429"/>
      <c r="G485" s="1286">
        <f>(G189*$C$88*$C$86)</f>
        <v>0</v>
      </c>
      <c r="H485" s="1286">
        <f t="shared" si="143"/>
        <v>0</v>
      </c>
      <c r="I485" s="1286">
        <f t="shared" si="143"/>
        <v>4906.6624999999995</v>
      </c>
      <c r="J485" s="1286">
        <f t="shared" si="143"/>
        <v>5053.8623749999997</v>
      </c>
      <c r="K485" s="1286">
        <f t="shared" si="143"/>
        <v>5205.4782462499998</v>
      </c>
      <c r="L485" s="1286">
        <f t="shared" si="143"/>
        <v>5361.642593637499</v>
      </c>
      <c r="M485" s="1286">
        <f t="shared" si="143"/>
        <v>5522.4918714466248</v>
      </c>
      <c r="R485" s="282"/>
      <c r="S485" s="282"/>
      <c r="T485" s="282"/>
      <c r="U485" s="282"/>
      <c r="V485" s="282"/>
      <c r="W485" s="282"/>
      <c r="X485" s="282"/>
      <c r="Y485" s="282"/>
      <c r="Z485" s="282"/>
      <c r="AA485" s="282"/>
    </row>
    <row r="486" spans="1:27" s="428" customFormat="1" outlineLevel="3">
      <c r="A486" s="276">
        <f t="shared" si="140"/>
        <v>190</v>
      </c>
      <c r="B486" s="757" t="str">
        <f>$B190</f>
        <v>2nd Grade Teacher</v>
      </c>
      <c r="C486" s="560"/>
      <c r="D486" s="429"/>
      <c r="E486" s="429"/>
      <c r="F486" s="429"/>
      <c r="G486" s="1286">
        <f>(G190*$C$88*$C$86)</f>
        <v>0</v>
      </c>
      <c r="H486" s="1286">
        <f t="shared" si="143"/>
        <v>0</v>
      </c>
      <c r="I486" s="1286">
        <f t="shared" si="143"/>
        <v>0</v>
      </c>
      <c r="J486" s="1286">
        <f t="shared" si="143"/>
        <v>5053.8623749999997</v>
      </c>
      <c r="K486" s="1286">
        <f t="shared" si="143"/>
        <v>5205.4782462499998</v>
      </c>
      <c r="L486" s="1286">
        <f t="shared" si="143"/>
        <v>5361.642593637499</v>
      </c>
      <c r="M486" s="1286">
        <f t="shared" si="143"/>
        <v>5522.4918714466248</v>
      </c>
      <c r="R486" s="282"/>
      <c r="S486" s="282"/>
      <c r="T486" s="282"/>
      <c r="U486" s="282"/>
      <c r="V486" s="282"/>
      <c r="W486" s="282"/>
      <c r="X486" s="282"/>
      <c r="Y486" s="282"/>
      <c r="Z486" s="282"/>
      <c r="AA486" s="282"/>
    </row>
    <row r="487" spans="1:27" s="428" customFormat="1" outlineLevel="3">
      <c r="A487" s="276">
        <f t="shared" si="140"/>
        <v>191</v>
      </c>
      <c r="B487" s="757">
        <f>$B191</f>
        <v>0</v>
      </c>
      <c r="C487" s="560"/>
      <c r="D487" s="429"/>
      <c r="E487" s="429"/>
      <c r="F487" s="429"/>
      <c r="G487" s="1286">
        <f>(G191*$C$88*$C$86)</f>
        <v>0</v>
      </c>
      <c r="H487" s="1286">
        <f t="shared" si="143"/>
        <v>0</v>
      </c>
      <c r="I487" s="1286">
        <f t="shared" si="143"/>
        <v>0</v>
      </c>
      <c r="J487" s="1286">
        <f t="shared" si="143"/>
        <v>0</v>
      </c>
      <c r="K487" s="1286">
        <f t="shared" si="143"/>
        <v>0</v>
      </c>
      <c r="L487" s="1286">
        <f t="shared" si="143"/>
        <v>0</v>
      </c>
      <c r="M487" s="1286">
        <f t="shared" si="143"/>
        <v>0</v>
      </c>
      <c r="R487" s="282"/>
      <c r="S487" s="282"/>
      <c r="T487" s="282"/>
      <c r="U487" s="282"/>
      <c r="V487" s="282"/>
      <c r="W487" s="282"/>
      <c r="X487" s="282"/>
      <c r="Y487" s="282"/>
      <c r="Z487" s="282"/>
      <c r="AA487" s="282"/>
    </row>
    <row r="488" spans="1:27" s="431" customFormat="1" outlineLevel="3">
      <c r="A488" s="276">
        <f t="shared" si="140"/>
        <v>192</v>
      </c>
      <c r="B488" s="757">
        <f>$B192</f>
        <v>0</v>
      </c>
      <c r="C488" s="560"/>
      <c r="D488" s="429"/>
      <c r="E488" s="429"/>
      <c r="F488" s="429"/>
      <c r="G488" s="1286">
        <f>(G192*$C$88*$C$86)</f>
        <v>0</v>
      </c>
      <c r="H488" s="1286">
        <f t="shared" si="143"/>
        <v>0</v>
      </c>
      <c r="I488" s="1286">
        <f t="shared" si="143"/>
        <v>0</v>
      </c>
      <c r="J488" s="1286">
        <f t="shared" si="143"/>
        <v>0</v>
      </c>
      <c r="K488" s="1286">
        <f t="shared" si="143"/>
        <v>0</v>
      </c>
      <c r="L488" s="1286">
        <f t="shared" si="143"/>
        <v>0</v>
      </c>
      <c r="M488" s="1286">
        <f t="shared" si="143"/>
        <v>0</v>
      </c>
      <c r="R488" s="282"/>
      <c r="S488" s="282"/>
      <c r="T488" s="282"/>
      <c r="U488" s="282"/>
      <c r="V488" s="282"/>
      <c r="W488" s="282"/>
      <c r="X488" s="282"/>
      <c r="Y488" s="282"/>
      <c r="Z488" s="282"/>
      <c r="AA488" s="282"/>
    </row>
    <row r="489" spans="1:27" s="431" customFormat="1" outlineLevel="3">
      <c r="A489" s="276">
        <f t="shared" si="140"/>
        <v>193</v>
      </c>
      <c r="B489" s="757"/>
      <c r="C489" s="561"/>
      <c r="D489" s="428"/>
      <c r="E489" s="428"/>
      <c r="F489" s="428"/>
      <c r="G489" s="1286"/>
      <c r="H489" s="1286"/>
      <c r="I489" s="1286"/>
      <c r="J489" s="1286"/>
      <c r="K489" s="1286"/>
      <c r="L489" s="1286"/>
      <c r="M489" s="1286"/>
      <c r="R489" s="282"/>
      <c r="S489" s="282"/>
      <c r="T489" s="282"/>
      <c r="U489" s="282"/>
      <c r="V489" s="282"/>
      <c r="W489" s="282"/>
      <c r="X489" s="282"/>
      <c r="Y489" s="282"/>
      <c r="Z489" s="282"/>
      <c r="AA489" s="282"/>
    </row>
    <row r="490" spans="1:27" s="428" customFormat="1" outlineLevel="3">
      <c r="A490" s="276">
        <f t="shared" si="140"/>
        <v>194</v>
      </c>
      <c r="B490" s="757" t="str">
        <f>$B194</f>
        <v>3rd Grade Teacher</v>
      </c>
      <c r="C490" s="560"/>
      <c r="D490" s="429"/>
      <c r="E490" s="429"/>
      <c r="F490" s="429"/>
      <c r="G490" s="1286">
        <f>(G194*$C$88*$C$86)</f>
        <v>0</v>
      </c>
      <c r="H490" s="1286">
        <f t="shared" ref="H490:M494" si="144">(H194*$C$88*$C$86)*$C$46^(H$11-$G$11)</f>
        <v>4763.75</v>
      </c>
      <c r="I490" s="1286">
        <f t="shared" si="144"/>
        <v>4906.6624999999995</v>
      </c>
      <c r="J490" s="1286">
        <f t="shared" si="144"/>
        <v>5053.8623749999997</v>
      </c>
      <c r="K490" s="1286">
        <f t="shared" si="144"/>
        <v>5205.4782462499998</v>
      </c>
      <c r="L490" s="1286">
        <f t="shared" si="144"/>
        <v>5361.642593637499</v>
      </c>
      <c r="M490" s="1286">
        <f t="shared" si="144"/>
        <v>5522.4918714466248</v>
      </c>
      <c r="R490" s="282"/>
      <c r="S490" s="282"/>
      <c r="T490" s="282"/>
      <c r="U490" s="282"/>
      <c r="V490" s="282"/>
      <c r="W490" s="282"/>
      <c r="X490" s="282"/>
      <c r="Y490" s="282"/>
      <c r="Z490" s="282"/>
      <c r="AA490" s="282"/>
    </row>
    <row r="491" spans="1:27" s="428" customFormat="1" outlineLevel="3">
      <c r="A491" s="276">
        <f t="shared" si="140"/>
        <v>195</v>
      </c>
      <c r="B491" s="757" t="str">
        <f>$B195</f>
        <v>3rd Grade Teacher</v>
      </c>
      <c r="C491" s="560"/>
      <c r="D491" s="429"/>
      <c r="E491" s="429"/>
      <c r="F491" s="429"/>
      <c r="G491" s="1286">
        <f>(G195*$C$88*$C$86)</f>
        <v>0</v>
      </c>
      <c r="H491" s="1286">
        <f t="shared" si="144"/>
        <v>0</v>
      </c>
      <c r="I491" s="1286">
        <f t="shared" si="144"/>
        <v>0</v>
      </c>
      <c r="J491" s="1286">
        <f t="shared" si="144"/>
        <v>5053.8623749999997</v>
      </c>
      <c r="K491" s="1286">
        <f t="shared" si="144"/>
        <v>5205.4782462499998</v>
      </c>
      <c r="L491" s="1286">
        <f t="shared" si="144"/>
        <v>5361.642593637499</v>
      </c>
      <c r="M491" s="1286">
        <f t="shared" si="144"/>
        <v>5522.4918714466248</v>
      </c>
      <c r="R491" s="282"/>
      <c r="S491" s="282"/>
      <c r="T491" s="282"/>
      <c r="U491" s="282"/>
      <c r="V491" s="282"/>
      <c r="W491" s="282"/>
      <c r="X491" s="282"/>
      <c r="Y491" s="282"/>
      <c r="Z491" s="282"/>
      <c r="AA491" s="282"/>
    </row>
    <row r="492" spans="1:27" s="428" customFormat="1" outlineLevel="3">
      <c r="A492" s="276">
        <f t="shared" si="140"/>
        <v>196</v>
      </c>
      <c r="B492" s="757" t="str">
        <f>$B196</f>
        <v>3rd Grade Teacher</v>
      </c>
      <c r="C492" s="560"/>
      <c r="D492" s="429"/>
      <c r="E492" s="429"/>
      <c r="F492" s="429"/>
      <c r="G492" s="1286">
        <f>(G196*$C$88*$C$86)</f>
        <v>0</v>
      </c>
      <c r="H492" s="1286">
        <f t="shared" si="144"/>
        <v>0</v>
      </c>
      <c r="I492" s="1286">
        <f t="shared" si="144"/>
        <v>0</v>
      </c>
      <c r="J492" s="1286">
        <f t="shared" si="144"/>
        <v>0</v>
      </c>
      <c r="K492" s="1286">
        <f t="shared" si="144"/>
        <v>5205.4782462499998</v>
      </c>
      <c r="L492" s="1286">
        <f t="shared" si="144"/>
        <v>5361.642593637499</v>
      </c>
      <c r="M492" s="1286">
        <f t="shared" si="144"/>
        <v>5522.4918714466248</v>
      </c>
      <c r="R492" s="282"/>
      <c r="S492" s="282"/>
      <c r="T492" s="282"/>
      <c r="U492" s="282"/>
      <c r="V492" s="282"/>
      <c r="W492" s="282"/>
      <c r="X492" s="282"/>
      <c r="Y492" s="282"/>
      <c r="Z492" s="282"/>
      <c r="AA492" s="282"/>
    </row>
    <row r="493" spans="1:27" s="428" customFormat="1" outlineLevel="3">
      <c r="A493" s="276">
        <f t="shared" si="140"/>
        <v>197</v>
      </c>
      <c r="B493" s="757">
        <f>$B197</f>
        <v>0</v>
      </c>
      <c r="C493" s="560"/>
      <c r="D493" s="429"/>
      <c r="E493" s="429"/>
      <c r="F493" s="429"/>
      <c r="G493" s="1286">
        <f>(G197*$C$88*$C$86)</f>
        <v>0</v>
      </c>
      <c r="H493" s="1286">
        <f t="shared" si="144"/>
        <v>0</v>
      </c>
      <c r="I493" s="1286">
        <f t="shared" si="144"/>
        <v>0</v>
      </c>
      <c r="J493" s="1286">
        <f t="shared" si="144"/>
        <v>0</v>
      </c>
      <c r="K493" s="1286">
        <f t="shared" si="144"/>
        <v>0</v>
      </c>
      <c r="L493" s="1286">
        <f t="shared" si="144"/>
        <v>0</v>
      </c>
      <c r="M493" s="1286">
        <f t="shared" si="144"/>
        <v>0</v>
      </c>
      <c r="R493" s="282"/>
      <c r="S493" s="282"/>
      <c r="T493" s="282"/>
      <c r="U493" s="282"/>
      <c r="V493" s="282"/>
      <c r="W493" s="282"/>
      <c r="X493" s="282"/>
      <c r="Y493" s="282"/>
      <c r="Z493" s="282"/>
      <c r="AA493" s="282"/>
    </row>
    <row r="494" spans="1:27" s="428" customFormat="1" outlineLevel="3">
      <c r="A494" s="276">
        <f t="shared" si="140"/>
        <v>198</v>
      </c>
      <c r="B494" s="757">
        <f>$B198</f>
        <v>0</v>
      </c>
      <c r="C494" s="560"/>
      <c r="D494" s="429"/>
      <c r="E494" s="429"/>
      <c r="F494" s="429"/>
      <c r="G494" s="1286">
        <f>(G198*$C$88*$C$86)</f>
        <v>0</v>
      </c>
      <c r="H494" s="1286">
        <f t="shared" si="144"/>
        <v>0</v>
      </c>
      <c r="I494" s="1286">
        <f t="shared" si="144"/>
        <v>0</v>
      </c>
      <c r="J494" s="1286">
        <f t="shared" si="144"/>
        <v>0</v>
      </c>
      <c r="K494" s="1286">
        <f t="shared" si="144"/>
        <v>0</v>
      </c>
      <c r="L494" s="1286">
        <f t="shared" si="144"/>
        <v>0</v>
      </c>
      <c r="M494" s="1286">
        <f t="shared" si="144"/>
        <v>0</v>
      </c>
      <c r="R494" s="282"/>
      <c r="S494" s="282"/>
      <c r="T494" s="282"/>
      <c r="U494" s="282"/>
      <c r="V494" s="282"/>
      <c r="W494" s="282"/>
      <c r="X494" s="282"/>
      <c r="Y494" s="282"/>
      <c r="Z494" s="282"/>
      <c r="AA494" s="282"/>
    </row>
    <row r="495" spans="1:27" s="428" customFormat="1" outlineLevel="3">
      <c r="A495" s="276">
        <f t="shared" si="140"/>
        <v>199</v>
      </c>
      <c r="B495" s="757"/>
      <c r="C495" s="560"/>
      <c r="D495" s="429"/>
      <c r="E495" s="429"/>
      <c r="F495" s="429"/>
      <c r="G495" s="1286"/>
      <c r="H495" s="1286"/>
      <c r="I495" s="1286"/>
      <c r="J495" s="1286"/>
      <c r="K495" s="1286"/>
      <c r="L495" s="1286"/>
      <c r="M495" s="1286"/>
      <c r="R495" s="282"/>
      <c r="S495" s="282"/>
      <c r="T495" s="282"/>
      <c r="U495" s="282"/>
      <c r="V495" s="282"/>
      <c r="W495" s="282"/>
      <c r="X495" s="282"/>
      <c r="Y495" s="282"/>
      <c r="Z495" s="282"/>
      <c r="AA495" s="282"/>
    </row>
    <row r="496" spans="1:27" s="428" customFormat="1" outlineLevel="3">
      <c r="A496" s="276">
        <f t="shared" si="140"/>
        <v>200</v>
      </c>
      <c r="B496" s="757" t="str">
        <f>$B200</f>
        <v>4th Grade Teacher</v>
      </c>
      <c r="C496" s="560"/>
      <c r="D496" s="429"/>
      <c r="E496" s="429"/>
      <c r="F496" s="429"/>
      <c r="G496" s="1286">
        <f>(G200*$C$88*$C$86)</f>
        <v>0</v>
      </c>
      <c r="H496" s="1286">
        <f t="shared" ref="H496:M500" si="145">(H200*$C$88*$C$86)*$C$46^(H$11-$G$11)</f>
        <v>4763.75</v>
      </c>
      <c r="I496" s="1286">
        <f t="shared" si="145"/>
        <v>4906.6624999999995</v>
      </c>
      <c r="J496" s="1286">
        <f t="shared" si="145"/>
        <v>5053.8623749999997</v>
      </c>
      <c r="K496" s="1286">
        <f t="shared" si="145"/>
        <v>5205.4782462499998</v>
      </c>
      <c r="L496" s="1286">
        <f t="shared" si="145"/>
        <v>5361.642593637499</v>
      </c>
      <c r="M496" s="1286">
        <f t="shared" si="145"/>
        <v>5522.4918714466248</v>
      </c>
      <c r="R496" s="282"/>
      <c r="S496" s="282"/>
      <c r="T496" s="282"/>
      <c r="U496" s="282"/>
      <c r="V496" s="282"/>
      <c r="W496" s="282"/>
      <c r="X496" s="282"/>
      <c r="Y496" s="282"/>
      <c r="Z496" s="282"/>
      <c r="AA496" s="282"/>
    </row>
    <row r="497" spans="1:27" s="428" customFormat="1" outlineLevel="3">
      <c r="A497" s="276">
        <f t="shared" si="140"/>
        <v>201</v>
      </c>
      <c r="B497" s="757" t="str">
        <f>$B201</f>
        <v>4th Grade Teacher</v>
      </c>
      <c r="C497" s="560"/>
      <c r="D497" s="429"/>
      <c r="E497" s="429"/>
      <c r="F497" s="429"/>
      <c r="G497" s="1286">
        <f>(G201*$C$88*$C$86)</f>
        <v>0</v>
      </c>
      <c r="H497" s="1286">
        <f t="shared" si="145"/>
        <v>0</v>
      </c>
      <c r="I497" s="1286">
        <f t="shared" si="145"/>
        <v>0</v>
      </c>
      <c r="J497" s="1286">
        <f t="shared" si="145"/>
        <v>0</v>
      </c>
      <c r="K497" s="1286">
        <f t="shared" si="145"/>
        <v>5205.4782462499998</v>
      </c>
      <c r="L497" s="1286">
        <f t="shared" si="145"/>
        <v>5361.642593637499</v>
      </c>
      <c r="M497" s="1286">
        <f t="shared" si="145"/>
        <v>5522.4918714466248</v>
      </c>
      <c r="R497" s="282"/>
      <c r="S497" s="282"/>
      <c r="T497" s="282"/>
      <c r="U497" s="282"/>
      <c r="V497" s="282"/>
      <c r="W497" s="282"/>
      <c r="X497" s="282"/>
      <c r="Y497" s="282"/>
      <c r="Z497" s="282"/>
      <c r="AA497" s="282"/>
    </row>
    <row r="498" spans="1:27" s="428" customFormat="1" outlineLevel="3">
      <c r="A498" s="276">
        <f t="shared" si="140"/>
        <v>202</v>
      </c>
      <c r="B498" s="757" t="str">
        <f>$B202</f>
        <v>4th Grade Teacher</v>
      </c>
      <c r="C498" s="560"/>
      <c r="D498" s="429"/>
      <c r="E498" s="429"/>
      <c r="F498" s="429"/>
      <c r="G498" s="1286">
        <f>(G202*$C$88*$C$86)</f>
        <v>0</v>
      </c>
      <c r="H498" s="1286">
        <f t="shared" si="145"/>
        <v>0</v>
      </c>
      <c r="I498" s="1286">
        <f t="shared" si="145"/>
        <v>0</v>
      </c>
      <c r="J498" s="1286">
        <f t="shared" si="145"/>
        <v>0</v>
      </c>
      <c r="K498" s="1286">
        <f t="shared" si="145"/>
        <v>0</v>
      </c>
      <c r="L498" s="1286">
        <f t="shared" si="145"/>
        <v>5361.642593637499</v>
      </c>
      <c r="M498" s="1286">
        <f t="shared" si="145"/>
        <v>5522.4918714466248</v>
      </c>
      <c r="R498" s="282"/>
      <c r="S498" s="282"/>
      <c r="T498" s="282"/>
      <c r="U498" s="282"/>
      <c r="V498" s="282"/>
      <c r="W498" s="282"/>
      <c r="X498" s="282"/>
      <c r="Y498" s="282"/>
      <c r="Z498" s="282"/>
      <c r="AA498" s="282"/>
    </row>
    <row r="499" spans="1:27" s="428" customFormat="1" outlineLevel="3">
      <c r="A499" s="276">
        <f t="shared" si="140"/>
        <v>203</v>
      </c>
      <c r="B499" s="757">
        <f>$B203</f>
        <v>0</v>
      </c>
      <c r="C499" s="560"/>
      <c r="D499" s="429"/>
      <c r="E499" s="429"/>
      <c r="F499" s="429"/>
      <c r="G499" s="1286">
        <f>(G203*$C$88*$C$86)</f>
        <v>0</v>
      </c>
      <c r="H499" s="1286">
        <f t="shared" si="145"/>
        <v>0</v>
      </c>
      <c r="I499" s="1286">
        <f t="shared" si="145"/>
        <v>0</v>
      </c>
      <c r="J499" s="1286">
        <f t="shared" si="145"/>
        <v>0</v>
      </c>
      <c r="K499" s="1286">
        <f t="shared" si="145"/>
        <v>0</v>
      </c>
      <c r="L499" s="1286">
        <f t="shared" si="145"/>
        <v>0</v>
      </c>
      <c r="M499" s="1286">
        <f t="shared" si="145"/>
        <v>0</v>
      </c>
      <c r="R499" s="282"/>
      <c r="S499" s="282"/>
      <c r="T499" s="282"/>
      <c r="U499" s="282"/>
      <c r="V499" s="282"/>
      <c r="W499" s="282"/>
      <c r="X499" s="282"/>
      <c r="Y499" s="282"/>
      <c r="Z499" s="282"/>
      <c r="AA499" s="282"/>
    </row>
    <row r="500" spans="1:27" s="431" customFormat="1" outlineLevel="3">
      <c r="A500" s="276">
        <f t="shared" si="140"/>
        <v>204</v>
      </c>
      <c r="B500" s="757">
        <f>$B204</f>
        <v>0</v>
      </c>
      <c r="C500" s="560"/>
      <c r="D500" s="429"/>
      <c r="E500" s="429"/>
      <c r="F500" s="429"/>
      <c r="G500" s="1286">
        <f>(G204*$C$88*$C$86)</f>
        <v>0</v>
      </c>
      <c r="H500" s="1286">
        <f t="shared" si="145"/>
        <v>0</v>
      </c>
      <c r="I500" s="1286">
        <f t="shared" si="145"/>
        <v>0</v>
      </c>
      <c r="J500" s="1286">
        <f t="shared" si="145"/>
        <v>0</v>
      </c>
      <c r="K500" s="1286">
        <f t="shared" si="145"/>
        <v>0</v>
      </c>
      <c r="L500" s="1286">
        <f t="shared" si="145"/>
        <v>0</v>
      </c>
      <c r="M500" s="1286">
        <f t="shared" si="145"/>
        <v>0</v>
      </c>
      <c r="R500" s="282"/>
      <c r="S500" s="282"/>
      <c r="T500" s="282"/>
      <c r="U500" s="282"/>
      <c r="V500" s="282"/>
      <c r="W500" s="282"/>
      <c r="X500" s="282"/>
      <c r="Y500" s="282"/>
      <c r="Z500" s="282"/>
      <c r="AA500" s="282"/>
    </row>
    <row r="501" spans="1:27" s="431" customFormat="1" outlineLevel="3">
      <c r="A501" s="276">
        <f t="shared" si="140"/>
        <v>205</v>
      </c>
      <c r="B501" s="757"/>
      <c r="C501" s="561"/>
      <c r="D501" s="428"/>
      <c r="E501" s="428"/>
      <c r="F501" s="428"/>
      <c r="G501" s="1286"/>
      <c r="H501" s="1286"/>
      <c r="I501" s="1286"/>
      <c r="J501" s="1286"/>
      <c r="K501" s="1286"/>
      <c r="L501" s="1286"/>
      <c r="M501" s="1286"/>
      <c r="R501" s="282"/>
      <c r="S501" s="282"/>
      <c r="T501" s="282"/>
      <c r="U501" s="282"/>
      <c r="V501" s="282"/>
      <c r="W501" s="282"/>
      <c r="X501" s="282"/>
      <c r="Y501" s="282"/>
      <c r="Z501" s="282"/>
      <c r="AA501" s="282"/>
    </row>
    <row r="502" spans="1:27" s="428" customFormat="1" outlineLevel="3">
      <c r="A502" s="276">
        <f t="shared" si="140"/>
        <v>206</v>
      </c>
      <c r="B502" s="757" t="str">
        <f>$B206</f>
        <v>5th Grade Teacher</v>
      </c>
      <c r="C502" s="560"/>
      <c r="D502" s="429"/>
      <c r="E502" s="429"/>
      <c r="F502" s="429"/>
      <c r="G502" s="1286">
        <f>(G206*$C$88*$C$86)</f>
        <v>0</v>
      </c>
      <c r="H502" s="1286">
        <f t="shared" ref="H502:M506" si="146">(H206*$C$88*$C$86)*$C$46^(H$11-$G$11)</f>
        <v>4763.75</v>
      </c>
      <c r="I502" s="1286">
        <f t="shared" si="146"/>
        <v>4906.6624999999995</v>
      </c>
      <c r="J502" s="1286">
        <f t="shared" si="146"/>
        <v>5053.8623749999997</v>
      </c>
      <c r="K502" s="1286">
        <f t="shared" si="146"/>
        <v>5205.4782462499998</v>
      </c>
      <c r="L502" s="1286">
        <f t="shared" si="146"/>
        <v>5361.642593637499</v>
      </c>
      <c r="M502" s="1286">
        <f t="shared" si="146"/>
        <v>5522.4918714466248</v>
      </c>
      <c r="R502" s="282"/>
      <c r="S502" s="282"/>
      <c r="T502" s="282"/>
      <c r="U502" s="282"/>
      <c r="V502" s="282"/>
      <c r="W502" s="282"/>
      <c r="X502" s="282"/>
      <c r="Y502" s="282"/>
      <c r="Z502" s="282"/>
      <c r="AA502" s="282"/>
    </row>
    <row r="503" spans="1:27" s="428" customFormat="1" outlineLevel="3">
      <c r="A503" s="276">
        <f t="shared" si="140"/>
        <v>207</v>
      </c>
      <c r="B503" s="757" t="str">
        <f>$B207</f>
        <v>5th Grade Teacher</v>
      </c>
      <c r="C503" s="560"/>
      <c r="D503" s="429"/>
      <c r="E503" s="429"/>
      <c r="F503" s="429"/>
      <c r="G503" s="1286">
        <f>(G207*$C$88*$C$86)</f>
        <v>0</v>
      </c>
      <c r="H503" s="1286">
        <f t="shared" si="146"/>
        <v>0</v>
      </c>
      <c r="I503" s="1286">
        <f t="shared" si="146"/>
        <v>0</v>
      </c>
      <c r="J503" s="1286">
        <f t="shared" si="146"/>
        <v>0</v>
      </c>
      <c r="K503" s="1286">
        <f t="shared" si="146"/>
        <v>0</v>
      </c>
      <c r="L503" s="1286">
        <f t="shared" si="146"/>
        <v>5361.642593637499</v>
      </c>
      <c r="M503" s="1286">
        <f t="shared" si="146"/>
        <v>5522.4918714466248</v>
      </c>
      <c r="R503" s="282"/>
      <c r="S503" s="282"/>
      <c r="T503" s="282"/>
      <c r="U503" s="282"/>
      <c r="V503" s="282"/>
      <c r="W503" s="282"/>
      <c r="X503" s="282"/>
      <c r="Y503" s="282"/>
      <c r="Z503" s="282"/>
      <c r="AA503" s="282"/>
    </row>
    <row r="504" spans="1:27" s="428" customFormat="1" outlineLevel="3">
      <c r="A504" s="276">
        <f t="shared" si="140"/>
        <v>208</v>
      </c>
      <c r="B504" s="757" t="str">
        <f>$B208</f>
        <v>5th Grade Teacher</v>
      </c>
      <c r="C504" s="560"/>
      <c r="D504" s="429"/>
      <c r="E504" s="429"/>
      <c r="F504" s="429"/>
      <c r="G504" s="1286">
        <f>(G208*$C$88*$C$86)</f>
        <v>0</v>
      </c>
      <c r="H504" s="1286">
        <f t="shared" si="146"/>
        <v>0</v>
      </c>
      <c r="I504" s="1286">
        <f t="shared" si="146"/>
        <v>0</v>
      </c>
      <c r="J504" s="1286">
        <f t="shared" si="146"/>
        <v>0</v>
      </c>
      <c r="K504" s="1286">
        <f t="shared" si="146"/>
        <v>0</v>
      </c>
      <c r="L504" s="1286">
        <f t="shared" si="146"/>
        <v>0</v>
      </c>
      <c r="M504" s="1286">
        <f t="shared" si="146"/>
        <v>5522.4918714466248</v>
      </c>
      <c r="R504" s="282"/>
      <c r="S504" s="282"/>
      <c r="T504" s="282"/>
      <c r="U504" s="282"/>
      <c r="V504" s="282"/>
      <c r="W504" s="282"/>
      <c r="X504" s="282"/>
      <c r="Y504" s="282"/>
      <c r="Z504" s="282"/>
      <c r="AA504" s="282"/>
    </row>
    <row r="505" spans="1:27" s="428" customFormat="1" outlineLevel="3">
      <c r="A505" s="276">
        <f t="shared" si="140"/>
        <v>209</v>
      </c>
      <c r="B505" s="757">
        <f>$B209</f>
        <v>0</v>
      </c>
      <c r="C505" s="560"/>
      <c r="D505" s="429"/>
      <c r="E505" s="429"/>
      <c r="F505" s="429"/>
      <c r="G505" s="1286">
        <f>(G209*$C$88*$C$86)</f>
        <v>0</v>
      </c>
      <c r="H505" s="1286">
        <f t="shared" si="146"/>
        <v>0</v>
      </c>
      <c r="I505" s="1286">
        <f t="shared" si="146"/>
        <v>0</v>
      </c>
      <c r="J505" s="1286">
        <f t="shared" si="146"/>
        <v>0</v>
      </c>
      <c r="K505" s="1286">
        <f t="shared" si="146"/>
        <v>0</v>
      </c>
      <c r="L505" s="1286">
        <f t="shared" si="146"/>
        <v>0</v>
      </c>
      <c r="M505" s="1286">
        <f t="shared" si="146"/>
        <v>0</v>
      </c>
      <c r="R505" s="282"/>
      <c r="S505" s="282"/>
      <c r="T505" s="282"/>
      <c r="U505" s="282"/>
      <c r="V505" s="282"/>
      <c r="W505" s="282"/>
      <c r="X505" s="282"/>
      <c r="Y505" s="282"/>
      <c r="Z505" s="282"/>
      <c r="AA505" s="282"/>
    </row>
    <row r="506" spans="1:27" s="428" customFormat="1" outlineLevel="3">
      <c r="A506" s="276">
        <f t="shared" si="140"/>
        <v>210</v>
      </c>
      <c r="B506" s="757">
        <f>$B210</f>
        <v>0</v>
      </c>
      <c r="C506" s="560"/>
      <c r="D506" s="429"/>
      <c r="E506" s="429"/>
      <c r="F506" s="429"/>
      <c r="G506" s="1286">
        <f>(G210*$C$88*$C$86)</f>
        <v>0</v>
      </c>
      <c r="H506" s="1286">
        <f t="shared" si="146"/>
        <v>0</v>
      </c>
      <c r="I506" s="1286">
        <f t="shared" si="146"/>
        <v>0</v>
      </c>
      <c r="J506" s="1286">
        <f t="shared" si="146"/>
        <v>0</v>
      </c>
      <c r="K506" s="1286">
        <f t="shared" si="146"/>
        <v>0</v>
      </c>
      <c r="L506" s="1286">
        <f t="shared" si="146"/>
        <v>0</v>
      </c>
      <c r="M506" s="1286">
        <f t="shared" si="146"/>
        <v>0</v>
      </c>
      <c r="R506" s="282"/>
      <c r="S506" s="282"/>
      <c r="T506" s="282"/>
      <c r="U506" s="282"/>
      <c r="V506" s="282"/>
      <c r="W506" s="282"/>
      <c r="X506" s="282"/>
      <c r="Y506" s="282"/>
      <c r="Z506" s="282"/>
      <c r="AA506" s="282"/>
    </row>
    <row r="507" spans="1:27" s="428" customFormat="1" outlineLevel="3">
      <c r="A507" s="276">
        <f t="shared" si="140"/>
        <v>211</v>
      </c>
      <c r="B507" s="757"/>
      <c r="C507" s="560"/>
      <c r="D507" s="429"/>
      <c r="E507" s="429"/>
      <c r="F507" s="429"/>
      <c r="G507" s="1286"/>
      <c r="H507" s="1286"/>
      <c r="I507" s="1286"/>
      <c r="J507" s="1286"/>
      <c r="K507" s="1286"/>
      <c r="L507" s="1286"/>
      <c r="M507" s="1286"/>
      <c r="R507" s="282"/>
      <c r="S507" s="282"/>
      <c r="T507" s="282"/>
      <c r="U507" s="282"/>
      <c r="V507" s="282"/>
      <c r="W507" s="282"/>
      <c r="X507" s="282"/>
      <c r="Y507" s="282"/>
      <c r="Z507" s="282"/>
      <c r="AA507" s="282"/>
    </row>
    <row r="508" spans="1:27" s="428" customFormat="1" outlineLevel="3">
      <c r="A508" s="276">
        <f t="shared" si="140"/>
        <v>212</v>
      </c>
      <c r="B508" s="757" t="str">
        <f>$B212</f>
        <v>6th Grade Teacher</v>
      </c>
      <c r="C508" s="560"/>
      <c r="D508" s="429"/>
      <c r="E508" s="429"/>
      <c r="F508" s="429"/>
      <c r="G508" s="1286">
        <f>(G212*$C$88*$C$86)</f>
        <v>0</v>
      </c>
      <c r="H508" s="1286">
        <f t="shared" ref="H508:M512" si="147">(H212*$C$88*$C$86)*$C$46^(H$11-$G$11)</f>
        <v>4763.75</v>
      </c>
      <c r="I508" s="1286">
        <f t="shared" si="147"/>
        <v>4906.6624999999995</v>
      </c>
      <c r="J508" s="1286">
        <f t="shared" si="147"/>
        <v>5053.8623749999997</v>
      </c>
      <c r="K508" s="1286">
        <f t="shared" si="147"/>
        <v>5205.4782462499998</v>
      </c>
      <c r="L508" s="1286">
        <f t="shared" si="147"/>
        <v>5361.642593637499</v>
      </c>
      <c r="M508" s="1286">
        <f t="shared" si="147"/>
        <v>5522.4918714466248</v>
      </c>
      <c r="R508" s="282"/>
      <c r="S508" s="282"/>
      <c r="T508" s="282"/>
      <c r="U508" s="282"/>
      <c r="V508" s="282"/>
      <c r="W508" s="282"/>
      <c r="X508" s="282"/>
      <c r="Y508" s="282"/>
      <c r="Z508" s="282"/>
      <c r="AA508" s="282"/>
    </row>
    <row r="509" spans="1:27" s="428" customFormat="1" outlineLevel="3">
      <c r="A509" s="276">
        <f t="shared" si="140"/>
        <v>213</v>
      </c>
      <c r="B509" s="757" t="str">
        <f>$B213</f>
        <v>6th Grade Teacher</v>
      </c>
      <c r="C509" s="560"/>
      <c r="D509" s="429"/>
      <c r="E509" s="429"/>
      <c r="F509" s="429"/>
      <c r="G509" s="1286">
        <f>(G213*$C$88*$C$86)</f>
        <v>0</v>
      </c>
      <c r="H509" s="1286">
        <f t="shared" si="147"/>
        <v>4763.75</v>
      </c>
      <c r="I509" s="1286">
        <f t="shared" si="147"/>
        <v>4906.6624999999995</v>
      </c>
      <c r="J509" s="1286">
        <f t="shared" si="147"/>
        <v>5053.8623749999997</v>
      </c>
      <c r="K509" s="1286">
        <f t="shared" si="147"/>
        <v>5205.4782462499998</v>
      </c>
      <c r="L509" s="1286">
        <f t="shared" si="147"/>
        <v>5361.642593637499</v>
      </c>
      <c r="M509" s="1286">
        <f t="shared" si="147"/>
        <v>5522.4918714466248</v>
      </c>
      <c r="R509" s="282"/>
      <c r="S509" s="282"/>
      <c r="T509" s="282"/>
      <c r="U509" s="282"/>
      <c r="V509" s="282"/>
      <c r="W509" s="282"/>
      <c r="X509" s="282"/>
      <c r="Y509" s="282"/>
      <c r="Z509" s="282"/>
      <c r="AA509" s="282"/>
    </row>
    <row r="510" spans="1:27" s="428" customFormat="1" outlineLevel="3">
      <c r="A510" s="276">
        <f t="shared" si="140"/>
        <v>214</v>
      </c>
      <c r="B510" s="757" t="str">
        <f>$B214</f>
        <v>6th Grade Teacher</v>
      </c>
      <c r="C510" s="560"/>
      <c r="D510" s="429"/>
      <c r="E510" s="429"/>
      <c r="F510" s="429"/>
      <c r="G510" s="1286">
        <f>(G214*$C$88*$C$86)</f>
        <v>0</v>
      </c>
      <c r="H510" s="1286">
        <f t="shared" si="147"/>
        <v>0</v>
      </c>
      <c r="I510" s="1286">
        <f t="shared" si="147"/>
        <v>0</v>
      </c>
      <c r="J510" s="1286">
        <f t="shared" si="147"/>
        <v>0</v>
      </c>
      <c r="K510" s="1286">
        <f t="shared" si="147"/>
        <v>0</v>
      </c>
      <c r="L510" s="1286">
        <f t="shared" si="147"/>
        <v>0</v>
      </c>
      <c r="M510" s="1286">
        <f t="shared" si="147"/>
        <v>5522.4918714466248</v>
      </c>
      <c r="R510" s="282"/>
      <c r="S510" s="282"/>
      <c r="T510" s="282"/>
      <c r="U510" s="282"/>
      <c r="V510" s="282"/>
      <c r="W510" s="282"/>
      <c r="X510" s="282"/>
      <c r="Y510" s="282"/>
      <c r="Z510" s="282"/>
      <c r="AA510" s="282"/>
    </row>
    <row r="511" spans="1:27" s="428" customFormat="1" outlineLevel="3">
      <c r="A511" s="276">
        <f t="shared" si="140"/>
        <v>215</v>
      </c>
      <c r="B511" s="757">
        <f>$B215</f>
        <v>0</v>
      </c>
      <c r="C511" s="560"/>
      <c r="D511" s="429"/>
      <c r="E511" s="429"/>
      <c r="F511" s="429"/>
      <c r="G511" s="1286">
        <f>(G215*$C$88*$C$86)</f>
        <v>0</v>
      </c>
      <c r="H511" s="1286">
        <f t="shared" si="147"/>
        <v>0</v>
      </c>
      <c r="I511" s="1286">
        <f t="shared" si="147"/>
        <v>0</v>
      </c>
      <c r="J511" s="1286">
        <f t="shared" si="147"/>
        <v>0</v>
      </c>
      <c r="K511" s="1286">
        <f t="shared" si="147"/>
        <v>0</v>
      </c>
      <c r="L511" s="1286">
        <f t="shared" si="147"/>
        <v>0</v>
      </c>
      <c r="M511" s="1286">
        <f t="shared" si="147"/>
        <v>0</v>
      </c>
      <c r="R511" s="282"/>
      <c r="S511" s="282"/>
      <c r="T511" s="282"/>
      <c r="U511" s="282"/>
      <c r="V511" s="282"/>
      <c r="W511" s="282"/>
      <c r="X511" s="282"/>
      <c r="Y511" s="282"/>
      <c r="Z511" s="282"/>
      <c r="AA511" s="282"/>
    </row>
    <row r="512" spans="1:27" s="431" customFormat="1" outlineLevel="3">
      <c r="A512" s="276">
        <f t="shared" si="140"/>
        <v>216</v>
      </c>
      <c r="B512" s="757">
        <f>$B216</f>
        <v>0</v>
      </c>
      <c r="C512" s="560"/>
      <c r="D512" s="429"/>
      <c r="E512" s="429"/>
      <c r="F512" s="429"/>
      <c r="G512" s="1286">
        <f>(G216*$C$88*$C$86)</f>
        <v>0</v>
      </c>
      <c r="H512" s="1286">
        <f t="shared" si="147"/>
        <v>0</v>
      </c>
      <c r="I512" s="1286">
        <f t="shared" si="147"/>
        <v>0</v>
      </c>
      <c r="J512" s="1286">
        <f t="shared" si="147"/>
        <v>0</v>
      </c>
      <c r="K512" s="1286">
        <f t="shared" si="147"/>
        <v>0</v>
      </c>
      <c r="L512" s="1286">
        <f t="shared" si="147"/>
        <v>0</v>
      </c>
      <c r="M512" s="1286">
        <f t="shared" si="147"/>
        <v>0</v>
      </c>
      <c r="R512" s="282"/>
      <c r="S512" s="282"/>
      <c r="T512" s="282"/>
      <c r="U512" s="282"/>
      <c r="V512" s="282"/>
      <c r="W512" s="282"/>
      <c r="X512" s="282"/>
      <c r="Y512" s="282"/>
      <c r="Z512" s="282"/>
      <c r="AA512" s="282"/>
    </row>
    <row r="513" spans="1:27" s="431" customFormat="1" outlineLevel="3">
      <c r="A513" s="276">
        <f t="shared" si="140"/>
        <v>217</v>
      </c>
      <c r="B513" s="757"/>
      <c r="C513" s="561"/>
      <c r="D513" s="428"/>
      <c r="E513" s="428"/>
      <c r="F513" s="428"/>
      <c r="G513" s="1286"/>
      <c r="H513" s="1286"/>
      <c r="I513" s="1286"/>
      <c r="J513" s="1286"/>
      <c r="K513" s="1286"/>
      <c r="L513" s="1286"/>
      <c r="M513" s="1286"/>
      <c r="R513" s="282"/>
      <c r="S513" s="282"/>
      <c r="T513" s="282"/>
      <c r="U513" s="282"/>
      <c r="V513" s="282"/>
      <c r="W513" s="282"/>
      <c r="X513" s="282"/>
      <c r="Y513" s="282"/>
      <c r="Z513" s="282"/>
      <c r="AA513" s="282"/>
    </row>
    <row r="514" spans="1:27" s="428" customFormat="1" outlineLevel="3">
      <c r="A514" s="276">
        <f t="shared" si="140"/>
        <v>218</v>
      </c>
      <c r="B514" s="757" t="str">
        <f t="shared" ref="B514:B519" si="148">$B218</f>
        <v>7th Grade Teacher</v>
      </c>
      <c r="C514" s="560"/>
      <c r="D514" s="429"/>
      <c r="E514" s="429"/>
      <c r="F514" s="429"/>
      <c r="G514" s="1286">
        <f t="shared" ref="G514:G519" si="149">(G218*$C$88*$C$86)</f>
        <v>0</v>
      </c>
      <c r="H514" s="1286">
        <f t="shared" ref="H514:M519" si="150">(H218*$C$88*$C$86)*$C$46^(H$11-$G$11)</f>
        <v>4763.75</v>
      </c>
      <c r="I514" s="1286">
        <f t="shared" si="150"/>
        <v>4906.6624999999995</v>
      </c>
      <c r="J514" s="1286">
        <f t="shared" si="150"/>
        <v>5053.8623749999997</v>
      </c>
      <c r="K514" s="1286">
        <f t="shared" si="150"/>
        <v>5205.4782462499998</v>
      </c>
      <c r="L514" s="1286">
        <f t="shared" si="150"/>
        <v>5361.642593637499</v>
      </c>
      <c r="M514" s="1286">
        <f t="shared" si="150"/>
        <v>5522.4918714466248</v>
      </c>
      <c r="R514" s="282"/>
      <c r="S514" s="282"/>
      <c r="T514" s="282"/>
      <c r="U514" s="282"/>
      <c r="V514" s="282"/>
      <c r="W514" s="282"/>
      <c r="X514" s="282"/>
      <c r="Y514" s="282"/>
      <c r="Z514" s="282"/>
      <c r="AA514" s="282"/>
    </row>
    <row r="515" spans="1:27" s="428" customFormat="1" outlineLevel="3">
      <c r="A515" s="276">
        <f t="shared" si="140"/>
        <v>219</v>
      </c>
      <c r="B515" s="757" t="str">
        <f t="shared" si="148"/>
        <v>7th Grade Teacher</v>
      </c>
      <c r="C515" s="560"/>
      <c r="D515" s="429"/>
      <c r="E515" s="429"/>
      <c r="F515" s="429"/>
      <c r="G515" s="1286">
        <f t="shared" si="149"/>
        <v>0</v>
      </c>
      <c r="H515" s="1286">
        <f t="shared" si="150"/>
        <v>4763.75</v>
      </c>
      <c r="I515" s="1286">
        <f t="shared" si="150"/>
        <v>4906.6624999999995</v>
      </c>
      <c r="J515" s="1286">
        <f t="shared" si="150"/>
        <v>5053.8623749999997</v>
      </c>
      <c r="K515" s="1286">
        <f t="shared" si="150"/>
        <v>5205.4782462499998</v>
      </c>
      <c r="L515" s="1286">
        <f t="shared" si="150"/>
        <v>5361.642593637499</v>
      </c>
      <c r="M515" s="1286">
        <f t="shared" si="150"/>
        <v>5522.4918714466248</v>
      </c>
      <c r="R515" s="282"/>
      <c r="S515" s="282"/>
      <c r="T515" s="282"/>
      <c r="U515" s="282"/>
      <c r="V515" s="282"/>
      <c r="W515" s="282"/>
      <c r="X515" s="282"/>
      <c r="Y515" s="282"/>
      <c r="Z515" s="282"/>
      <c r="AA515" s="282"/>
    </row>
    <row r="516" spans="1:27" s="428" customFormat="1" outlineLevel="3">
      <c r="A516" s="276">
        <f t="shared" si="140"/>
        <v>220</v>
      </c>
      <c r="B516" s="757" t="str">
        <f t="shared" si="148"/>
        <v>7th Grade Teacher</v>
      </c>
      <c r="C516" s="560"/>
      <c r="D516" s="429"/>
      <c r="E516" s="429"/>
      <c r="F516" s="429"/>
      <c r="G516" s="1286">
        <f t="shared" si="149"/>
        <v>0</v>
      </c>
      <c r="H516" s="1286">
        <f t="shared" si="150"/>
        <v>0</v>
      </c>
      <c r="I516" s="1286">
        <f t="shared" si="150"/>
        <v>0</v>
      </c>
      <c r="J516" s="1286">
        <f t="shared" si="150"/>
        <v>0</v>
      </c>
      <c r="K516" s="1286">
        <f t="shared" si="150"/>
        <v>0</v>
      </c>
      <c r="L516" s="1286">
        <f t="shared" si="150"/>
        <v>0</v>
      </c>
      <c r="M516" s="1286">
        <f t="shared" si="150"/>
        <v>5522.4918714466248</v>
      </c>
      <c r="R516" s="282"/>
      <c r="S516" s="282"/>
      <c r="T516" s="282"/>
      <c r="U516" s="282"/>
      <c r="V516" s="282"/>
      <c r="W516" s="282"/>
      <c r="X516" s="282"/>
      <c r="Y516" s="282"/>
      <c r="Z516" s="282"/>
      <c r="AA516" s="282"/>
    </row>
    <row r="517" spans="1:27" s="428" customFormat="1" outlineLevel="3">
      <c r="A517" s="276">
        <f t="shared" si="140"/>
        <v>221</v>
      </c>
      <c r="B517" s="757">
        <f t="shared" si="148"/>
        <v>0</v>
      </c>
      <c r="C517" s="560"/>
      <c r="D517" s="429"/>
      <c r="E517" s="429"/>
      <c r="F517" s="429"/>
      <c r="G517" s="1286">
        <f t="shared" si="149"/>
        <v>0</v>
      </c>
      <c r="H517" s="1286">
        <f t="shared" si="150"/>
        <v>0</v>
      </c>
      <c r="I517" s="1286">
        <f t="shared" si="150"/>
        <v>0</v>
      </c>
      <c r="J517" s="1286">
        <f t="shared" si="150"/>
        <v>0</v>
      </c>
      <c r="K517" s="1286">
        <f t="shared" si="150"/>
        <v>0</v>
      </c>
      <c r="L517" s="1286">
        <f t="shared" si="150"/>
        <v>0</v>
      </c>
      <c r="M517" s="1286">
        <f t="shared" si="150"/>
        <v>0</v>
      </c>
      <c r="R517" s="282"/>
      <c r="S517" s="282"/>
      <c r="T517" s="282"/>
      <c r="U517" s="282"/>
      <c r="V517" s="282"/>
      <c r="W517" s="282"/>
      <c r="X517" s="282"/>
      <c r="Y517" s="282"/>
      <c r="Z517" s="282"/>
      <c r="AA517" s="282"/>
    </row>
    <row r="518" spans="1:27" s="428" customFormat="1" outlineLevel="3">
      <c r="A518" s="276">
        <f t="shared" si="140"/>
        <v>222</v>
      </c>
      <c r="B518" s="757">
        <f t="shared" si="148"/>
        <v>0</v>
      </c>
      <c r="C518" s="560"/>
      <c r="D518" s="429"/>
      <c r="E518" s="429"/>
      <c r="F518" s="429"/>
      <c r="G518" s="1286">
        <f t="shared" si="149"/>
        <v>0</v>
      </c>
      <c r="H518" s="1286">
        <f t="shared" si="150"/>
        <v>0</v>
      </c>
      <c r="I518" s="1286">
        <f t="shared" si="150"/>
        <v>0</v>
      </c>
      <c r="J518" s="1286">
        <f t="shared" si="150"/>
        <v>0</v>
      </c>
      <c r="K518" s="1286">
        <f t="shared" si="150"/>
        <v>0</v>
      </c>
      <c r="L518" s="1286">
        <f t="shared" si="150"/>
        <v>0</v>
      </c>
      <c r="M518" s="1286">
        <f t="shared" si="150"/>
        <v>0</v>
      </c>
      <c r="R518" s="282"/>
      <c r="S518" s="282"/>
      <c r="T518" s="282"/>
      <c r="U518" s="282"/>
      <c r="V518" s="282"/>
      <c r="W518" s="282"/>
      <c r="X518" s="282"/>
      <c r="Y518" s="282"/>
      <c r="Z518" s="282"/>
      <c r="AA518" s="282"/>
    </row>
    <row r="519" spans="1:27" s="428" customFormat="1" outlineLevel="3">
      <c r="A519" s="276">
        <f t="shared" si="140"/>
        <v>223</v>
      </c>
      <c r="B519" s="757">
        <f t="shared" si="148"/>
        <v>0</v>
      </c>
      <c r="C519" s="560"/>
      <c r="D519" s="429"/>
      <c r="E519" s="429"/>
      <c r="F519" s="429"/>
      <c r="G519" s="1286">
        <f t="shared" si="149"/>
        <v>0</v>
      </c>
      <c r="H519" s="1286">
        <f t="shared" si="150"/>
        <v>0</v>
      </c>
      <c r="I519" s="1286">
        <f t="shared" si="150"/>
        <v>0</v>
      </c>
      <c r="J519" s="1286">
        <f t="shared" si="150"/>
        <v>0</v>
      </c>
      <c r="K519" s="1286">
        <f t="shared" si="150"/>
        <v>0</v>
      </c>
      <c r="L519" s="1286">
        <f t="shared" si="150"/>
        <v>0</v>
      </c>
      <c r="M519" s="1286">
        <f t="shared" si="150"/>
        <v>0</v>
      </c>
      <c r="R519" s="282"/>
      <c r="S519" s="282"/>
      <c r="T519" s="282"/>
      <c r="U519" s="282"/>
      <c r="V519" s="282"/>
      <c r="W519" s="282"/>
      <c r="X519" s="282"/>
      <c r="Y519" s="282"/>
      <c r="Z519" s="282"/>
      <c r="AA519" s="282"/>
    </row>
    <row r="520" spans="1:27" s="431" customFormat="1" outlineLevel="3">
      <c r="A520" s="276">
        <f t="shared" si="140"/>
        <v>224</v>
      </c>
      <c r="B520" s="757"/>
      <c r="C520" s="561"/>
      <c r="D520" s="428"/>
      <c r="E520" s="428"/>
      <c r="F520" s="428"/>
      <c r="G520" s="1286"/>
      <c r="H520" s="1286"/>
      <c r="I520" s="1286"/>
      <c r="J520" s="1286"/>
      <c r="K520" s="1286"/>
      <c r="L520" s="1286"/>
      <c r="M520" s="1286"/>
      <c r="R520" s="282"/>
      <c r="S520" s="282"/>
      <c r="T520" s="282"/>
      <c r="U520" s="282"/>
      <c r="V520" s="282"/>
      <c r="W520" s="282"/>
      <c r="X520" s="282"/>
      <c r="Y520" s="282"/>
      <c r="Z520" s="282"/>
      <c r="AA520" s="282"/>
    </row>
    <row r="521" spans="1:27" s="428" customFormat="1" outlineLevel="3">
      <c r="A521" s="276">
        <f t="shared" si="140"/>
        <v>225</v>
      </c>
      <c r="B521" s="757" t="str">
        <f>$B225</f>
        <v>8th Grade Teacher</v>
      </c>
      <c r="C521" s="560"/>
      <c r="D521" s="429"/>
      <c r="E521" s="429"/>
      <c r="F521" s="429"/>
      <c r="G521" s="1286">
        <f>(G225*$C$88*$C$86)</f>
        <v>0</v>
      </c>
      <c r="H521" s="1286">
        <f t="shared" ref="H521:M525" si="151">(H225*$C$88*$C$86)*$C$46^(H$11-$G$11)</f>
        <v>0</v>
      </c>
      <c r="I521" s="1286">
        <f t="shared" si="151"/>
        <v>4906.6624999999995</v>
      </c>
      <c r="J521" s="1286">
        <f t="shared" si="151"/>
        <v>5053.8623749999997</v>
      </c>
      <c r="K521" s="1286">
        <f t="shared" si="151"/>
        <v>5205.4782462499998</v>
      </c>
      <c r="L521" s="1286">
        <f t="shared" si="151"/>
        <v>5361.642593637499</v>
      </c>
      <c r="M521" s="1286">
        <f t="shared" si="151"/>
        <v>5522.4918714466248</v>
      </c>
      <c r="R521" s="282"/>
      <c r="S521" s="282"/>
      <c r="T521" s="282"/>
      <c r="U521" s="282"/>
      <c r="V521" s="282"/>
      <c r="W521" s="282"/>
      <c r="X521" s="282"/>
      <c r="Y521" s="282"/>
      <c r="Z521" s="282"/>
      <c r="AA521" s="282"/>
    </row>
    <row r="522" spans="1:27" s="428" customFormat="1" outlineLevel="3">
      <c r="A522" s="276">
        <f t="shared" si="140"/>
        <v>226</v>
      </c>
      <c r="B522" s="757" t="str">
        <f>$B$226</f>
        <v>8th Grade Teacher</v>
      </c>
      <c r="C522" s="560"/>
      <c r="D522" s="429"/>
      <c r="E522" s="429"/>
      <c r="F522" s="429"/>
      <c r="G522" s="1286">
        <f>(G226*$C$88*$C$86)</f>
        <v>0</v>
      </c>
      <c r="H522" s="1286">
        <f t="shared" si="151"/>
        <v>0</v>
      </c>
      <c r="I522" s="1286">
        <f t="shared" si="151"/>
        <v>4906.6624999999995</v>
      </c>
      <c r="J522" s="1286">
        <f t="shared" si="151"/>
        <v>5053.8623749999997</v>
      </c>
      <c r="K522" s="1286">
        <f t="shared" si="151"/>
        <v>5205.4782462499998</v>
      </c>
      <c r="L522" s="1286">
        <f t="shared" si="151"/>
        <v>5361.642593637499</v>
      </c>
      <c r="M522" s="1286">
        <f t="shared" si="151"/>
        <v>5522.4918714466248</v>
      </c>
      <c r="R522" s="282"/>
      <c r="S522" s="282"/>
      <c r="T522" s="282"/>
      <c r="U522" s="282"/>
      <c r="V522" s="282"/>
      <c r="W522" s="282"/>
      <c r="X522" s="282"/>
      <c r="Y522" s="282"/>
      <c r="Z522" s="282"/>
      <c r="AA522" s="282"/>
    </row>
    <row r="523" spans="1:27" s="428" customFormat="1" outlineLevel="3">
      <c r="A523" s="276">
        <f t="shared" si="140"/>
        <v>227</v>
      </c>
      <c r="B523" s="757" t="str">
        <f>$B$227</f>
        <v>8th Grade Teacher</v>
      </c>
      <c r="C523" s="560"/>
      <c r="D523" s="429"/>
      <c r="E523" s="429"/>
      <c r="F523" s="429"/>
      <c r="G523" s="1286">
        <f>(G227*$C$88*$C$86)</f>
        <v>0</v>
      </c>
      <c r="H523" s="1286">
        <f t="shared" si="151"/>
        <v>0</v>
      </c>
      <c r="I523" s="1286">
        <f t="shared" si="151"/>
        <v>0</v>
      </c>
      <c r="J523" s="1286">
        <f t="shared" si="151"/>
        <v>0</v>
      </c>
      <c r="K523" s="1286">
        <f t="shared" si="151"/>
        <v>0</v>
      </c>
      <c r="L523" s="1286">
        <f t="shared" si="151"/>
        <v>0</v>
      </c>
      <c r="M523" s="1286">
        <f t="shared" si="151"/>
        <v>5522.4918714466248</v>
      </c>
      <c r="R523" s="282"/>
      <c r="S523" s="282"/>
      <c r="T523" s="282"/>
      <c r="U523" s="282"/>
      <c r="V523" s="282"/>
      <c r="W523" s="282"/>
      <c r="X523" s="282"/>
      <c r="Y523" s="282"/>
      <c r="Z523" s="282"/>
      <c r="AA523" s="282"/>
    </row>
    <row r="524" spans="1:27" s="428" customFormat="1" outlineLevel="3">
      <c r="A524" s="276">
        <f t="shared" si="140"/>
        <v>228</v>
      </c>
      <c r="B524" s="757">
        <f>$B$228</f>
        <v>0</v>
      </c>
      <c r="C524" s="560"/>
      <c r="D524" s="429"/>
      <c r="E524" s="429"/>
      <c r="F524" s="429"/>
      <c r="G524" s="1286">
        <f>(G228*$C$88*$C$86)</f>
        <v>0</v>
      </c>
      <c r="H524" s="1286">
        <f t="shared" si="151"/>
        <v>0</v>
      </c>
      <c r="I524" s="1286">
        <f t="shared" si="151"/>
        <v>0</v>
      </c>
      <c r="J524" s="1286">
        <f t="shared" si="151"/>
        <v>0</v>
      </c>
      <c r="K524" s="1286">
        <f t="shared" si="151"/>
        <v>0</v>
      </c>
      <c r="L524" s="1286">
        <f t="shared" si="151"/>
        <v>0</v>
      </c>
      <c r="M524" s="1286">
        <f t="shared" si="151"/>
        <v>0</v>
      </c>
      <c r="R524" s="282"/>
      <c r="S524" s="282"/>
      <c r="T524" s="282"/>
      <c r="U524" s="282"/>
      <c r="V524" s="282"/>
      <c r="W524" s="282"/>
      <c r="X524" s="282"/>
      <c r="Y524" s="282"/>
      <c r="Z524" s="282"/>
      <c r="AA524" s="282"/>
    </row>
    <row r="525" spans="1:27" s="428" customFormat="1" outlineLevel="3">
      <c r="A525" s="276">
        <f t="shared" si="140"/>
        <v>229</v>
      </c>
      <c r="B525" s="757">
        <f>$B$229</f>
        <v>0</v>
      </c>
      <c r="C525" s="560"/>
      <c r="D525" s="429"/>
      <c r="E525" s="429"/>
      <c r="F525" s="429"/>
      <c r="G525" s="1286">
        <f>(G229*$C$88*$C$86)</f>
        <v>0</v>
      </c>
      <c r="H525" s="1286">
        <f t="shared" si="151"/>
        <v>0</v>
      </c>
      <c r="I525" s="1286">
        <f t="shared" si="151"/>
        <v>0</v>
      </c>
      <c r="J525" s="1286">
        <f t="shared" si="151"/>
        <v>0</v>
      </c>
      <c r="K525" s="1286">
        <f t="shared" si="151"/>
        <v>0</v>
      </c>
      <c r="L525" s="1286">
        <f t="shared" si="151"/>
        <v>0</v>
      </c>
      <c r="M525" s="1286">
        <f t="shared" si="151"/>
        <v>0</v>
      </c>
      <c r="R525" s="282"/>
      <c r="S525" s="282"/>
      <c r="T525" s="282"/>
      <c r="U525" s="282"/>
      <c r="V525" s="282"/>
      <c r="W525" s="282"/>
      <c r="X525" s="282"/>
      <c r="Y525" s="282"/>
      <c r="Z525" s="282"/>
      <c r="AA525" s="282"/>
    </row>
    <row r="526" spans="1:27" s="428" customFormat="1" outlineLevel="3">
      <c r="A526" s="276">
        <f t="shared" si="140"/>
        <v>230</v>
      </c>
      <c r="B526" s="757"/>
      <c r="C526" s="560"/>
      <c r="D526" s="429"/>
      <c r="E526" s="429"/>
      <c r="F526" s="429"/>
      <c r="G526" s="1286"/>
      <c r="H526" s="1286"/>
      <c r="I526" s="1286"/>
      <c r="J526" s="1286"/>
      <c r="K526" s="1286"/>
      <c r="L526" s="1286"/>
      <c r="M526" s="1286"/>
      <c r="R526" s="282"/>
      <c r="S526" s="282"/>
      <c r="T526" s="282"/>
      <c r="U526" s="282"/>
      <c r="V526" s="282"/>
      <c r="W526" s="282"/>
      <c r="X526" s="282"/>
      <c r="Y526" s="282"/>
      <c r="Z526" s="282"/>
      <c r="AA526" s="282"/>
    </row>
    <row r="527" spans="1:27" s="428" customFormat="1" outlineLevel="3">
      <c r="A527" s="276">
        <f t="shared" si="140"/>
        <v>231</v>
      </c>
      <c r="B527" s="757" t="str">
        <f>$B$231</f>
        <v>9th Grade Teacher</v>
      </c>
      <c r="C527" s="560"/>
      <c r="D527" s="429"/>
      <c r="E527" s="429"/>
      <c r="F527" s="429"/>
      <c r="G527" s="1286">
        <f>(G231*$C$88*$C$86)</f>
        <v>0</v>
      </c>
      <c r="H527" s="1286">
        <f t="shared" ref="H527:M531" si="152">(H231*$C$88*$C$86)*$C$46^(H$11-$G$11)</f>
        <v>0</v>
      </c>
      <c r="I527" s="1286">
        <f t="shared" si="152"/>
        <v>0</v>
      </c>
      <c r="J527" s="1286">
        <f t="shared" si="152"/>
        <v>5053.8623749999997</v>
      </c>
      <c r="K527" s="1286">
        <f t="shared" si="152"/>
        <v>5205.4782462499998</v>
      </c>
      <c r="L527" s="1286">
        <f t="shared" si="152"/>
        <v>5361.642593637499</v>
      </c>
      <c r="M527" s="1286">
        <f t="shared" si="152"/>
        <v>5522.4918714466248</v>
      </c>
      <c r="R527" s="282"/>
      <c r="S527" s="282"/>
      <c r="T527" s="282"/>
      <c r="U527" s="282"/>
      <c r="V527" s="282"/>
      <c r="W527" s="282"/>
      <c r="X527" s="282"/>
      <c r="Y527" s="282"/>
      <c r="Z527" s="282"/>
      <c r="AA527" s="282"/>
    </row>
    <row r="528" spans="1:27" s="428" customFormat="1" outlineLevel="3">
      <c r="A528" s="276">
        <f t="shared" si="140"/>
        <v>232</v>
      </c>
      <c r="B528" s="757" t="str">
        <f>$B$232</f>
        <v>9th Grade Teacher</v>
      </c>
      <c r="C528" s="560"/>
      <c r="D528" s="429"/>
      <c r="E528" s="429"/>
      <c r="F528" s="429"/>
      <c r="G528" s="1286">
        <f>(G232*$C$88*$C$86)</f>
        <v>0</v>
      </c>
      <c r="H528" s="1286">
        <f t="shared" si="152"/>
        <v>0</v>
      </c>
      <c r="I528" s="1286">
        <f t="shared" si="152"/>
        <v>0</v>
      </c>
      <c r="J528" s="1286">
        <f t="shared" si="152"/>
        <v>5053.8623749999997</v>
      </c>
      <c r="K528" s="1286">
        <f t="shared" si="152"/>
        <v>5205.4782462499998</v>
      </c>
      <c r="L528" s="1286">
        <f t="shared" si="152"/>
        <v>5361.642593637499</v>
      </c>
      <c r="M528" s="1286">
        <f t="shared" si="152"/>
        <v>5522.4918714466248</v>
      </c>
      <c r="R528" s="282"/>
      <c r="S528" s="282"/>
      <c r="T528" s="282"/>
      <c r="U528" s="282"/>
      <c r="V528" s="282"/>
      <c r="W528" s="282"/>
      <c r="X528" s="282"/>
      <c r="Y528" s="282"/>
      <c r="Z528" s="282"/>
      <c r="AA528" s="282"/>
    </row>
    <row r="529" spans="1:27" s="428" customFormat="1" outlineLevel="3">
      <c r="A529" s="276">
        <f t="shared" si="140"/>
        <v>233</v>
      </c>
      <c r="B529" s="757" t="str">
        <f>$B$233</f>
        <v>9th Grade Teacher</v>
      </c>
      <c r="C529" s="560"/>
      <c r="D529" s="429"/>
      <c r="E529" s="429"/>
      <c r="F529" s="429"/>
      <c r="G529" s="1286">
        <f>(G233*$C$88*$C$86)</f>
        <v>0</v>
      </c>
      <c r="H529" s="1286">
        <f t="shared" si="152"/>
        <v>0</v>
      </c>
      <c r="I529" s="1286">
        <f t="shared" si="152"/>
        <v>0</v>
      </c>
      <c r="J529" s="1286">
        <f t="shared" si="152"/>
        <v>5053.8623749999997</v>
      </c>
      <c r="K529" s="1286">
        <f t="shared" si="152"/>
        <v>5205.4782462499998</v>
      </c>
      <c r="L529" s="1286">
        <f t="shared" si="152"/>
        <v>5361.642593637499</v>
      </c>
      <c r="M529" s="1286">
        <f t="shared" si="152"/>
        <v>5522.4918714466248</v>
      </c>
      <c r="R529" s="282"/>
      <c r="S529" s="282"/>
      <c r="T529" s="282"/>
      <c r="U529" s="282"/>
      <c r="V529" s="282"/>
      <c r="W529" s="282"/>
      <c r="X529" s="282"/>
      <c r="Y529" s="282"/>
      <c r="Z529" s="282"/>
      <c r="AA529" s="282"/>
    </row>
    <row r="530" spans="1:27" s="428" customFormat="1" outlineLevel="3">
      <c r="A530" s="276">
        <f t="shared" si="140"/>
        <v>234</v>
      </c>
      <c r="B530" s="757">
        <f>$B$234</f>
        <v>0</v>
      </c>
      <c r="C530" s="560"/>
      <c r="D530" s="429"/>
      <c r="E530" s="429"/>
      <c r="F530" s="429"/>
      <c r="G530" s="1286">
        <f>(G234*$C$88*$C$86)</f>
        <v>0</v>
      </c>
      <c r="H530" s="1286">
        <f t="shared" si="152"/>
        <v>0</v>
      </c>
      <c r="I530" s="1286">
        <f t="shared" si="152"/>
        <v>0</v>
      </c>
      <c r="J530" s="1286">
        <f t="shared" si="152"/>
        <v>0</v>
      </c>
      <c r="K530" s="1286">
        <f t="shared" si="152"/>
        <v>0</v>
      </c>
      <c r="L530" s="1286">
        <f t="shared" si="152"/>
        <v>0</v>
      </c>
      <c r="M530" s="1286">
        <f t="shared" si="152"/>
        <v>0</v>
      </c>
      <c r="R530" s="282"/>
      <c r="S530" s="282"/>
      <c r="T530" s="282"/>
      <c r="U530" s="282"/>
      <c r="V530" s="282"/>
      <c r="W530" s="282"/>
      <c r="X530" s="282"/>
      <c r="Y530" s="282"/>
      <c r="Z530" s="282"/>
      <c r="AA530" s="282"/>
    </row>
    <row r="531" spans="1:27" s="428" customFormat="1" outlineLevel="3">
      <c r="A531" s="276">
        <f t="shared" si="140"/>
        <v>235</v>
      </c>
      <c r="B531" s="757">
        <f>$B$235</f>
        <v>0</v>
      </c>
      <c r="C531" s="560"/>
      <c r="D531" s="429"/>
      <c r="E531" s="429"/>
      <c r="F531" s="429"/>
      <c r="G531" s="1286">
        <f>(G235*$C$88*$C$86)</f>
        <v>0</v>
      </c>
      <c r="H531" s="1286">
        <f t="shared" si="152"/>
        <v>0</v>
      </c>
      <c r="I531" s="1286">
        <f t="shared" si="152"/>
        <v>0</v>
      </c>
      <c r="J531" s="1286">
        <f t="shared" si="152"/>
        <v>0</v>
      </c>
      <c r="K531" s="1286">
        <f t="shared" si="152"/>
        <v>0</v>
      </c>
      <c r="L531" s="1286">
        <f t="shared" si="152"/>
        <v>0</v>
      </c>
      <c r="M531" s="1286">
        <f t="shared" si="152"/>
        <v>0</v>
      </c>
      <c r="R531" s="282"/>
      <c r="S531" s="282"/>
      <c r="T531" s="282"/>
      <c r="U531" s="282"/>
      <c r="V531" s="282"/>
      <c r="W531" s="282"/>
      <c r="X531" s="282"/>
      <c r="Y531" s="282"/>
      <c r="Z531" s="282"/>
      <c r="AA531" s="282"/>
    </row>
    <row r="532" spans="1:27" s="428" customFormat="1" outlineLevel="3">
      <c r="A532" s="276">
        <f t="shared" si="140"/>
        <v>236</v>
      </c>
      <c r="B532" s="757"/>
      <c r="C532" s="560"/>
      <c r="D532" s="429"/>
      <c r="E532" s="429"/>
      <c r="F532" s="429"/>
      <c r="G532" s="1286"/>
      <c r="H532" s="1286"/>
      <c r="I532" s="1286"/>
      <c r="J532" s="1286"/>
      <c r="K532" s="1286"/>
      <c r="L532" s="1286"/>
      <c r="M532" s="1286"/>
      <c r="R532" s="282"/>
      <c r="S532" s="282"/>
      <c r="T532" s="282"/>
      <c r="U532" s="282"/>
      <c r="V532" s="282"/>
      <c r="W532" s="282"/>
      <c r="X532" s="282"/>
      <c r="Y532" s="282"/>
      <c r="Z532" s="282"/>
      <c r="AA532" s="282"/>
    </row>
    <row r="533" spans="1:27" s="428" customFormat="1" outlineLevel="3">
      <c r="A533" s="276">
        <f t="shared" ref="A533:A567" si="153">ROW(A237)</f>
        <v>237</v>
      </c>
      <c r="B533" s="757" t="str">
        <f>$B$237</f>
        <v>10th Grade Teacher</v>
      </c>
      <c r="C533" s="560"/>
      <c r="D533" s="429"/>
      <c r="E533" s="429"/>
      <c r="F533" s="429"/>
      <c r="G533" s="1286">
        <f>(G237*$C$88*$C$86)</f>
        <v>0</v>
      </c>
      <c r="H533" s="1286">
        <f t="shared" ref="H533:M537" si="154">(H237*$C$88*$C$86)*$C$46^(H$11-$G$11)</f>
        <v>0</v>
      </c>
      <c r="I533" s="1286">
        <f t="shared" si="154"/>
        <v>0</v>
      </c>
      <c r="J533" s="1286">
        <f t="shared" si="154"/>
        <v>0</v>
      </c>
      <c r="K533" s="1286">
        <f t="shared" si="154"/>
        <v>5205.4782462499998</v>
      </c>
      <c r="L533" s="1286">
        <f t="shared" si="154"/>
        <v>5361.642593637499</v>
      </c>
      <c r="M533" s="1286">
        <f t="shared" si="154"/>
        <v>5522.4918714466248</v>
      </c>
      <c r="R533" s="282"/>
      <c r="S533" s="282"/>
      <c r="T533" s="282"/>
      <c r="U533" s="282"/>
      <c r="V533" s="282"/>
      <c r="W533" s="282"/>
      <c r="X533" s="282"/>
      <c r="Y533" s="282"/>
      <c r="Z533" s="282"/>
      <c r="AA533" s="282"/>
    </row>
    <row r="534" spans="1:27" s="428" customFormat="1" outlineLevel="3">
      <c r="A534" s="276">
        <f t="shared" si="153"/>
        <v>238</v>
      </c>
      <c r="B534" s="757" t="str">
        <f>$B$238</f>
        <v>10th Grade Teacher</v>
      </c>
      <c r="C534" s="560"/>
      <c r="D534" s="429"/>
      <c r="E534" s="429"/>
      <c r="F534" s="429"/>
      <c r="G534" s="1286">
        <f>(G238*$C$88*$C$86)</f>
        <v>0</v>
      </c>
      <c r="H534" s="1286">
        <f t="shared" si="154"/>
        <v>0</v>
      </c>
      <c r="I534" s="1286">
        <f t="shared" si="154"/>
        <v>0</v>
      </c>
      <c r="J534" s="1286">
        <f t="shared" si="154"/>
        <v>0</v>
      </c>
      <c r="K534" s="1286">
        <f t="shared" si="154"/>
        <v>5205.4782462499998</v>
      </c>
      <c r="L534" s="1286">
        <f t="shared" si="154"/>
        <v>5361.642593637499</v>
      </c>
      <c r="M534" s="1286">
        <f t="shared" si="154"/>
        <v>5522.4918714466248</v>
      </c>
      <c r="R534" s="282"/>
      <c r="S534" s="282"/>
      <c r="T534" s="282"/>
      <c r="U534" s="282"/>
      <c r="V534" s="282"/>
      <c r="W534" s="282"/>
      <c r="X534" s="282"/>
      <c r="Y534" s="282"/>
      <c r="Z534" s="282"/>
      <c r="AA534" s="282"/>
    </row>
    <row r="535" spans="1:27" s="428" customFormat="1" outlineLevel="3">
      <c r="A535" s="276">
        <f t="shared" si="153"/>
        <v>239</v>
      </c>
      <c r="B535" s="757" t="str">
        <f>$B$239</f>
        <v>10th Grade Teacher</v>
      </c>
      <c r="C535" s="560"/>
      <c r="D535" s="429"/>
      <c r="E535" s="429"/>
      <c r="F535" s="429"/>
      <c r="G535" s="1286">
        <f>(G239*$C$88*$C$86)</f>
        <v>0</v>
      </c>
      <c r="H535" s="1286">
        <f t="shared" si="154"/>
        <v>0</v>
      </c>
      <c r="I535" s="1286">
        <f t="shared" si="154"/>
        <v>0</v>
      </c>
      <c r="J535" s="1286">
        <f t="shared" si="154"/>
        <v>0</v>
      </c>
      <c r="K535" s="1286">
        <f t="shared" si="154"/>
        <v>5205.4782462499998</v>
      </c>
      <c r="L535" s="1286">
        <f t="shared" si="154"/>
        <v>5361.642593637499</v>
      </c>
      <c r="M535" s="1286">
        <f t="shared" si="154"/>
        <v>5522.4918714466248</v>
      </c>
      <c r="R535" s="282"/>
      <c r="S535" s="282"/>
      <c r="T535" s="282"/>
      <c r="U535" s="282"/>
      <c r="V535" s="282"/>
      <c r="W535" s="282"/>
      <c r="X535" s="282"/>
      <c r="Y535" s="282"/>
      <c r="Z535" s="282"/>
      <c r="AA535" s="282"/>
    </row>
    <row r="536" spans="1:27" s="428" customFormat="1" outlineLevel="3">
      <c r="A536" s="276">
        <f t="shared" si="153"/>
        <v>240</v>
      </c>
      <c r="B536" s="757">
        <f>$B$240</f>
        <v>0</v>
      </c>
      <c r="C536" s="560"/>
      <c r="D536" s="429"/>
      <c r="E536" s="429"/>
      <c r="F536" s="429"/>
      <c r="G536" s="1286">
        <f>(G240*$C$88*$C$86)</f>
        <v>0</v>
      </c>
      <c r="H536" s="1286">
        <f t="shared" si="154"/>
        <v>0</v>
      </c>
      <c r="I536" s="1286">
        <f t="shared" si="154"/>
        <v>0</v>
      </c>
      <c r="J536" s="1286">
        <f t="shared" si="154"/>
        <v>0</v>
      </c>
      <c r="K536" s="1286">
        <f t="shared" si="154"/>
        <v>0</v>
      </c>
      <c r="L536" s="1286">
        <f t="shared" si="154"/>
        <v>0</v>
      </c>
      <c r="M536" s="1286">
        <f t="shared" si="154"/>
        <v>0</v>
      </c>
      <c r="R536" s="282"/>
      <c r="S536" s="282"/>
      <c r="T536" s="282"/>
      <c r="U536" s="282"/>
      <c r="V536" s="282"/>
      <c r="W536" s="282"/>
      <c r="X536" s="282"/>
      <c r="Y536" s="282"/>
      <c r="Z536" s="282"/>
      <c r="AA536" s="282"/>
    </row>
    <row r="537" spans="1:27" s="428" customFormat="1" outlineLevel="3">
      <c r="A537" s="276">
        <f t="shared" si="153"/>
        <v>241</v>
      </c>
      <c r="B537" s="757">
        <f>$B$241</f>
        <v>0</v>
      </c>
      <c r="C537" s="560"/>
      <c r="D537" s="429"/>
      <c r="E537" s="429"/>
      <c r="F537" s="429"/>
      <c r="G537" s="1286">
        <f>(G241*$C$88*$C$86)</f>
        <v>0</v>
      </c>
      <c r="H537" s="1286">
        <f t="shared" si="154"/>
        <v>0</v>
      </c>
      <c r="I537" s="1286">
        <f t="shared" si="154"/>
        <v>0</v>
      </c>
      <c r="J537" s="1286">
        <f t="shared" si="154"/>
        <v>0</v>
      </c>
      <c r="K537" s="1286">
        <f t="shared" si="154"/>
        <v>0</v>
      </c>
      <c r="L537" s="1286">
        <f t="shared" si="154"/>
        <v>0</v>
      </c>
      <c r="M537" s="1286">
        <f t="shared" si="154"/>
        <v>0</v>
      </c>
      <c r="R537" s="282"/>
      <c r="S537" s="282"/>
      <c r="T537" s="282"/>
      <c r="U537" s="282"/>
      <c r="V537" s="282"/>
      <c r="W537" s="282"/>
      <c r="X537" s="282"/>
      <c r="Y537" s="282"/>
      <c r="Z537" s="282"/>
      <c r="AA537" s="282"/>
    </row>
    <row r="538" spans="1:27" s="431" customFormat="1" outlineLevel="3">
      <c r="A538" s="276">
        <f t="shared" si="153"/>
        <v>242</v>
      </c>
      <c r="B538" s="757"/>
      <c r="C538" s="561"/>
      <c r="D538" s="428"/>
      <c r="E538" s="428"/>
      <c r="F538" s="428"/>
      <c r="G538" s="1286"/>
      <c r="H538" s="1286"/>
      <c r="I538" s="1286"/>
      <c r="J538" s="1286"/>
      <c r="K538" s="1286"/>
      <c r="L538" s="1286"/>
      <c r="M538" s="1286"/>
      <c r="R538" s="282"/>
      <c r="S538" s="282"/>
      <c r="T538" s="282"/>
      <c r="U538" s="282"/>
      <c r="V538" s="282"/>
      <c r="W538" s="282"/>
      <c r="X538" s="282"/>
      <c r="Y538" s="282"/>
      <c r="Z538" s="282"/>
      <c r="AA538" s="282"/>
    </row>
    <row r="539" spans="1:27" s="428" customFormat="1" outlineLevel="3">
      <c r="A539" s="276">
        <f t="shared" si="153"/>
        <v>243</v>
      </c>
      <c r="B539" s="757" t="str">
        <f>$B$243</f>
        <v>11th Grade Teacher</v>
      </c>
      <c r="C539" s="560"/>
      <c r="D539" s="429"/>
      <c r="E539" s="429"/>
      <c r="F539" s="429"/>
      <c r="G539" s="1286">
        <f>(G243*$C$88*$C$86)</f>
        <v>0</v>
      </c>
      <c r="H539" s="1286">
        <f t="shared" ref="H539:M543" si="155">(H243*$C$88*$C$86)*$C$46^(H$11-$G$11)</f>
        <v>0</v>
      </c>
      <c r="I539" s="1286">
        <f t="shared" si="155"/>
        <v>0</v>
      </c>
      <c r="J539" s="1286">
        <f t="shared" si="155"/>
        <v>0</v>
      </c>
      <c r="K539" s="1286">
        <f t="shared" si="155"/>
        <v>0</v>
      </c>
      <c r="L539" s="1286">
        <f t="shared" si="155"/>
        <v>5361.642593637499</v>
      </c>
      <c r="M539" s="1286">
        <f t="shared" si="155"/>
        <v>5522.4918714466248</v>
      </c>
      <c r="R539" s="282"/>
      <c r="S539" s="282"/>
      <c r="T539" s="282"/>
      <c r="U539" s="282"/>
      <c r="V539" s="282"/>
      <c r="W539" s="282"/>
      <c r="X539" s="282"/>
      <c r="Y539" s="282"/>
      <c r="Z539" s="282"/>
      <c r="AA539" s="282"/>
    </row>
    <row r="540" spans="1:27" s="428" customFormat="1" outlineLevel="3">
      <c r="A540" s="276">
        <f t="shared" si="153"/>
        <v>244</v>
      </c>
      <c r="B540" s="757" t="str">
        <f>$B$244</f>
        <v>11th Grade Teacher</v>
      </c>
      <c r="C540" s="560"/>
      <c r="D540" s="429"/>
      <c r="E540" s="429"/>
      <c r="F540" s="429"/>
      <c r="G540" s="1286">
        <f>(G244*$C$88*$C$86)</f>
        <v>0</v>
      </c>
      <c r="H540" s="1286">
        <f t="shared" si="155"/>
        <v>0</v>
      </c>
      <c r="I540" s="1286">
        <f t="shared" si="155"/>
        <v>0</v>
      </c>
      <c r="J540" s="1286">
        <f t="shared" si="155"/>
        <v>0</v>
      </c>
      <c r="K540" s="1286">
        <f t="shared" si="155"/>
        <v>0</v>
      </c>
      <c r="L540" s="1286">
        <f t="shared" si="155"/>
        <v>5361.642593637499</v>
      </c>
      <c r="M540" s="1286">
        <f t="shared" si="155"/>
        <v>5522.4918714466248</v>
      </c>
      <c r="R540" s="282"/>
      <c r="S540" s="282"/>
      <c r="T540" s="282"/>
      <c r="U540" s="282"/>
      <c r="V540" s="282"/>
      <c r="W540" s="282"/>
      <c r="X540" s="282"/>
      <c r="Y540" s="282"/>
      <c r="Z540" s="282"/>
      <c r="AA540" s="282"/>
    </row>
    <row r="541" spans="1:27" s="428" customFormat="1" outlineLevel="3">
      <c r="A541" s="276">
        <f t="shared" si="153"/>
        <v>245</v>
      </c>
      <c r="B541" s="757" t="str">
        <f>$B$245</f>
        <v>11th Grade Teacher</v>
      </c>
      <c r="C541" s="560"/>
      <c r="D541" s="429"/>
      <c r="E541" s="429"/>
      <c r="F541" s="429"/>
      <c r="G541" s="1286">
        <f>(G245*$C$88*$C$86)</f>
        <v>0</v>
      </c>
      <c r="H541" s="1286">
        <f t="shared" si="155"/>
        <v>0</v>
      </c>
      <c r="I541" s="1286">
        <f t="shared" si="155"/>
        <v>0</v>
      </c>
      <c r="J541" s="1286">
        <f t="shared" si="155"/>
        <v>0</v>
      </c>
      <c r="K541" s="1286">
        <f t="shared" si="155"/>
        <v>0</v>
      </c>
      <c r="L541" s="1286">
        <f t="shared" si="155"/>
        <v>5361.642593637499</v>
      </c>
      <c r="M541" s="1286">
        <f t="shared" si="155"/>
        <v>5522.4918714466248</v>
      </c>
      <c r="R541" s="282"/>
      <c r="S541" s="282"/>
      <c r="T541" s="282"/>
      <c r="U541" s="282"/>
      <c r="V541" s="282"/>
      <c r="W541" s="282"/>
      <c r="X541" s="282"/>
      <c r="Y541" s="282"/>
      <c r="Z541" s="282"/>
      <c r="AA541" s="282"/>
    </row>
    <row r="542" spans="1:27" s="428" customFormat="1" outlineLevel="3">
      <c r="A542" s="276">
        <f t="shared" si="153"/>
        <v>246</v>
      </c>
      <c r="B542" s="757">
        <f>$B$246</f>
        <v>0</v>
      </c>
      <c r="C542" s="560"/>
      <c r="D542" s="429"/>
      <c r="E542" s="429"/>
      <c r="F542" s="429"/>
      <c r="G542" s="1286">
        <f>(G246*$C$88*$C$86)</f>
        <v>0</v>
      </c>
      <c r="H542" s="1286">
        <f t="shared" si="155"/>
        <v>0</v>
      </c>
      <c r="I542" s="1286">
        <f t="shared" si="155"/>
        <v>0</v>
      </c>
      <c r="J542" s="1286">
        <f t="shared" si="155"/>
        <v>0</v>
      </c>
      <c r="K542" s="1286">
        <f t="shared" si="155"/>
        <v>0</v>
      </c>
      <c r="L542" s="1286">
        <f t="shared" si="155"/>
        <v>0</v>
      </c>
      <c r="M542" s="1286">
        <f t="shared" si="155"/>
        <v>0</v>
      </c>
      <c r="R542" s="282"/>
      <c r="S542" s="282"/>
      <c r="T542" s="282"/>
      <c r="U542" s="282"/>
      <c r="V542" s="282"/>
      <c r="W542" s="282"/>
      <c r="X542" s="282"/>
      <c r="Y542" s="282"/>
      <c r="Z542" s="282"/>
      <c r="AA542" s="282"/>
    </row>
    <row r="543" spans="1:27" s="428" customFormat="1" outlineLevel="3">
      <c r="A543" s="276">
        <f t="shared" si="153"/>
        <v>247</v>
      </c>
      <c r="B543" s="757">
        <f>$B$247</f>
        <v>0</v>
      </c>
      <c r="C543" s="560"/>
      <c r="D543" s="429"/>
      <c r="E543" s="429"/>
      <c r="F543" s="429"/>
      <c r="G543" s="1286">
        <f>(G247*$C$88*$C$86)</f>
        <v>0</v>
      </c>
      <c r="H543" s="1286">
        <f t="shared" si="155"/>
        <v>0</v>
      </c>
      <c r="I543" s="1286">
        <f t="shared" si="155"/>
        <v>0</v>
      </c>
      <c r="J543" s="1286">
        <f t="shared" si="155"/>
        <v>0</v>
      </c>
      <c r="K543" s="1286">
        <f t="shared" si="155"/>
        <v>0</v>
      </c>
      <c r="L543" s="1286">
        <f t="shared" si="155"/>
        <v>0</v>
      </c>
      <c r="M543" s="1286">
        <f t="shared" si="155"/>
        <v>0</v>
      </c>
      <c r="R543" s="282"/>
      <c r="S543" s="282"/>
      <c r="T543" s="282"/>
      <c r="U543" s="282"/>
      <c r="V543" s="282"/>
      <c r="W543" s="282"/>
      <c r="X543" s="282"/>
      <c r="Y543" s="282"/>
      <c r="Z543" s="282"/>
      <c r="AA543" s="282"/>
    </row>
    <row r="544" spans="1:27" s="431" customFormat="1" outlineLevel="3">
      <c r="A544" s="276">
        <f t="shared" si="153"/>
        <v>248</v>
      </c>
      <c r="B544" s="757"/>
      <c r="C544" s="561"/>
      <c r="D544" s="428"/>
      <c r="E544" s="428"/>
      <c r="F544" s="428"/>
      <c r="G544" s="1286"/>
      <c r="H544" s="1286"/>
      <c r="I544" s="1286"/>
      <c r="J544" s="1286"/>
      <c r="K544" s="1286"/>
      <c r="L544" s="1286"/>
      <c r="M544" s="1286"/>
      <c r="R544" s="282"/>
      <c r="S544" s="282"/>
      <c r="T544" s="282"/>
      <c r="U544" s="282"/>
      <c r="V544" s="282"/>
      <c r="W544" s="282"/>
      <c r="X544" s="282"/>
      <c r="Y544" s="282"/>
      <c r="Z544" s="282"/>
      <c r="AA544" s="282"/>
    </row>
    <row r="545" spans="1:27" s="428" customFormat="1" outlineLevel="3">
      <c r="A545" s="276">
        <f t="shared" si="153"/>
        <v>249</v>
      </c>
      <c r="B545" s="757" t="str">
        <f>$B$249</f>
        <v>12th Grade Teacher</v>
      </c>
      <c r="C545" s="560"/>
      <c r="D545" s="429"/>
      <c r="E545" s="429"/>
      <c r="F545" s="429"/>
      <c r="G545" s="1286">
        <f>(G249*$C$88*$C$86)</f>
        <v>0</v>
      </c>
      <c r="H545" s="1286">
        <f t="shared" ref="H545:M549" si="156">(H249*$C$88*$C$86)*$C$46^(H$11-$G$11)</f>
        <v>0</v>
      </c>
      <c r="I545" s="1286">
        <f t="shared" si="156"/>
        <v>0</v>
      </c>
      <c r="J545" s="1286">
        <f t="shared" si="156"/>
        <v>0</v>
      </c>
      <c r="K545" s="1286">
        <f t="shared" si="156"/>
        <v>0</v>
      </c>
      <c r="L545" s="1286">
        <f t="shared" si="156"/>
        <v>0</v>
      </c>
      <c r="M545" s="1286">
        <f t="shared" si="156"/>
        <v>5522.4918714466248</v>
      </c>
      <c r="R545" s="282"/>
      <c r="S545" s="282"/>
      <c r="T545" s="282"/>
      <c r="U545" s="282"/>
      <c r="V545" s="282"/>
      <c r="W545" s="282"/>
      <c r="X545" s="282"/>
      <c r="Y545" s="282"/>
      <c r="Z545" s="282"/>
      <c r="AA545" s="282"/>
    </row>
    <row r="546" spans="1:27" s="428" customFormat="1" outlineLevel="3">
      <c r="A546" s="276">
        <f t="shared" si="153"/>
        <v>250</v>
      </c>
      <c r="B546" s="757" t="str">
        <f>$B$250</f>
        <v>12th Grade Teacher</v>
      </c>
      <c r="C546" s="560"/>
      <c r="D546" s="429"/>
      <c r="E546" s="429"/>
      <c r="F546" s="429"/>
      <c r="G546" s="1286">
        <f>(G250*$C$88*$C$86)</f>
        <v>0</v>
      </c>
      <c r="H546" s="1286">
        <f t="shared" si="156"/>
        <v>0</v>
      </c>
      <c r="I546" s="1286">
        <f t="shared" si="156"/>
        <v>0</v>
      </c>
      <c r="J546" s="1286">
        <f t="shared" si="156"/>
        <v>0</v>
      </c>
      <c r="K546" s="1286">
        <f t="shared" si="156"/>
        <v>0</v>
      </c>
      <c r="L546" s="1286">
        <f t="shared" si="156"/>
        <v>0</v>
      </c>
      <c r="M546" s="1286">
        <f t="shared" si="156"/>
        <v>5522.4918714466248</v>
      </c>
      <c r="R546" s="282"/>
      <c r="S546" s="282"/>
      <c r="T546" s="282"/>
      <c r="U546" s="282"/>
      <c r="V546" s="282"/>
      <c r="W546" s="282"/>
      <c r="X546" s="282"/>
      <c r="Y546" s="282"/>
      <c r="Z546" s="282"/>
      <c r="AA546" s="282"/>
    </row>
    <row r="547" spans="1:27" s="428" customFormat="1" outlineLevel="3">
      <c r="A547" s="276">
        <f t="shared" si="153"/>
        <v>251</v>
      </c>
      <c r="B547" s="757" t="str">
        <f>$B$251</f>
        <v>12th Grade Teacher</v>
      </c>
      <c r="C547" s="560"/>
      <c r="D547" s="429"/>
      <c r="E547" s="429"/>
      <c r="F547" s="429"/>
      <c r="G547" s="1286">
        <f>(G251*$C$88*$C$86)</f>
        <v>0</v>
      </c>
      <c r="H547" s="1286">
        <f t="shared" si="156"/>
        <v>0</v>
      </c>
      <c r="I547" s="1286">
        <f t="shared" si="156"/>
        <v>0</v>
      </c>
      <c r="J547" s="1286">
        <f t="shared" si="156"/>
        <v>0</v>
      </c>
      <c r="K547" s="1286">
        <f t="shared" si="156"/>
        <v>0</v>
      </c>
      <c r="L547" s="1286">
        <f t="shared" si="156"/>
        <v>0</v>
      </c>
      <c r="M547" s="1286">
        <f t="shared" si="156"/>
        <v>5522.4918714466248</v>
      </c>
      <c r="R547" s="282"/>
      <c r="S547" s="282"/>
      <c r="T547" s="282"/>
      <c r="U547" s="282"/>
      <c r="V547" s="282"/>
      <c r="W547" s="282"/>
      <c r="X547" s="282"/>
      <c r="Y547" s="282"/>
      <c r="Z547" s="282"/>
      <c r="AA547" s="282"/>
    </row>
    <row r="548" spans="1:27" s="428" customFormat="1" outlineLevel="3">
      <c r="A548" s="276">
        <f t="shared" si="153"/>
        <v>252</v>
      </c>
      <c r="B548" s="757">
        <f>$B$252</f>
        <v>0</v>
      </c>
      <c r="C548" s="560"/>
      <c r="D548" s="429"/>
      <c r="E548" s="429"/>
      <c r="F548" s="429"/>
      <c r="G548" s="1286">
        <f>(G252*$C$88*$C$86)</f>
        <v>0</v>
      </c>
      <c r="H548" s="1286">
        <f t="shared" si="156"/>
        <v>0</v>
      </c>
      <c r="I548" s="1286">
        <f t="shared" si="156"/>
        <v>0</v>
      </c>
      <c r="J548" s="1286">
        <f t="shared" si="156"/>
        <v>0</v>
      </c>
      <c r="K548" s="1286">
        <f t="shared" si="156"/>
        <v>0</v>
      </c>
      <c r="L548" s="1286">
        <f t="shared" si="156"/>
        <v>0</v>
      </c>
      <c r="M548" s="1286">
        <f t="shared" si="156"/>
        <v>0</v>
      </c>
      <c r="R548" s="282"/>
      <c r="S548" s="282"/>
      <c r="T548" s="282"/>
      <c r="U548" s="282"/>
      <c r="V548" s="282"/>
      <c r="W548" s="282"/>
      <c r="X548" s="282"/>
      <c r="Y548" s="282"/>
      <c r="Z548" s="282"/>
      <c r="AA548" s="282"/>
    </row>
    <row r="549" spans="1:27" s="428" customFormat="1" outlineLevel="3">
      <c r="A549" s="276">
        <f t="shared" si="153"/>
        <v>253</v>
      </c>
      <c r="B549" s="757">
        <f>$B$253</f>
        <v>0</v>
      </c>
      <c r="C549" s="560"/>
      <c r="D549" s="429"/>
      <c r="E549" s="429"/>
      <c r="F549" s="429"/>
      <c r="G549" s="1286">
        <f>(G253*$C$88*$C$86)</f>
        <v>0</v>
      </c>
      <c r="H549" s="1286">
        <f t="shared" si="156"/>
        <v>0</v>
      </c>
      <c r="I549" s="1286">
        <f t="shared" si="156"/>
        <v>0</v>
      </c>
      <c r="J549" s="1286">
        <f t="shared" si="156"/>
        <v>0</v>
      </c>
      <c r="K549" s="1286">
        <f t="shared" si="156"/>
        <v>0</v>
      </c>
      <c r="L549" s="1286">
        <f t="shared" si="156"/>
        <v>0</v>
      </c>
      <c r="M549" s="1286">
        <f t="shared" si="156"/>
        <v>0</v>
      </c>
      <c r="R549" s="282"/>
      <c r="S549" s="282"/>
      <c r="T549" s="282"/>
      <c r="U549" s="282"/>
      <c r="V549" s="282"/>
      <c r="W549" s="282"/>
      <c r="X549" s="282"/>
      <c r="Y549" s="282"/>
      <c r="Z549" s="282"/>
      <c r="AA549" s="282"/>
    </row>
    <row r="550" spans="1:27" s="428" customFormat="1" outlineLevel="3">
      <c r="A550" s="276">
        <f t="shared" si="153"/>
        <v>254</v>
      </c>
      <c r="B550" s="757"/>
      <c r="C550" s="560"/>
      <c r="D550" s="429"/>
      <c r="E550" s="429"/>
      <c r="F550" s="429"/>
      <c r="G550" s="1286"/>
      <c r="H550" s="1286"/>
      <c r="I550" s="1286"/>
      <c r="J550" s="1286"/>
      <c r="K550" s="1286"/>
      <c r="L550" s="1286"/>
      <c r="M550" s="1286"/>
      <c r="R550" s="282"/>
      <c r="S550" s="282"/>
      <c r="T550" s="282"/>
      <c r="U550" s="282"/>
      <c r="V550" s="282"/>
      <c r="W550" s="282"/>
      <c r="X550" s="282"/>
      <c r="Y550" s="282"/>
      <c r="Z550" s="282"/>
      <c r="AA550" s="282"/>
    </row>
    <row r="551" spans="1:27" s="428" customFormat="1" outlineLevel="3">
      <c r="A551" s="276">
        <f t="shared" si="153"/>
        <v>255</v>
      </c>
      <c r="B551" s="757" t="str">
        <f>$B$255</f>
        <v>Instructional Aide</v>
      </c>
      <c r="C551" s="560"/>
      <c r="D551" s="429"/>
      <c r="E551" s="429"/>
      <c r="F551" s="429"/>
      <c r="G551" s="1286">
        <f>(G255*$C$88*$C$86)</f>
        <v>0</v>
      </c>
      <c r="H551" s="1286">
        <f t="shared" ref="H551:M555" si="157">(H255*$C$88*$C$86)*$C$46^(H$11-$G$11)</f>
        <v>4763.75</v>
      </c>
      <c r="I551" s="1286">
        <f t="shared" si="157"/>
        <v>4906.6624999999995</v>
      </c>
      <c r="J551" s="1286">
        <f t="shared" si="157"/>
        <v>5053.8623749999997</v>
      </c>
      <c r="K551" s="1286">
        <f t="shared" si="157"/>
        <v>5205.4782462499998</v>
      </c>
      <c r="L551" s="1286">
        <f t="shared" si="157"/>
        <v>5361.642593637499</v>
      </c>
      <c r="M551" s="1286">
        <f t="shared" si="157"/>
        <v>5522.4918714466248</v>
      </c>
      <c r="R551" s="282"/>
      <c r="S551" s="282"/>
      <c r="T551" s="282"/>
      <c r="U551" s="282"/>
      <c r="V551" s="282"/>
      <c r="W551" s="282"/>
      <c r="X551" s="282"/>
      <c r="Y551" s="282"/>
      <c r="Z551" s="282"/>
      <c r="AA551" s="282"/>
    </row>
    <row r="552" spans="1:27" s="428" customFormat="1" outlineLevel="3">
      <c r="A552" s="276">
        <f t="shared" si="153"/>
        <v>256</v>
      </c>
      <c r="B552" s="757" t="str">
        <f>$B$256</f>
        <v>Instructional Aide</v>
      </c>
      <c r="C552" s="560"/>
      <c r="D552" s="429"/>
      <c r="E552" s="429"/>
      <c r="F552" s="429"/>
      <c r="G552" s="1286">
        <f>(G256*$C$88*$C$86)</f>
        <v>0</v>
      </c>
      <c r="H552" s="1286">
        <f t="shared" si="157"/>
        <v>0</v>
      </c>
      <c r="I552" s="1286">
        <f t="shared" si="157"/>
        <v>4906.6624999999995</v>
      </c>
      <c r="J552" s="1286">
        <f t="shared" si="157"/>
        <v>5053.8623749999997</v>
      </c>
      <c r="K552" s="1286">
        <f t="shared" si="157"/>
        <v>5205.4782462499998</v>
      </c>
      <c r="L552" s="1286">
        <f t="shared" si="157"/>
        <v>5361.642593637499</v>
      </c>
      <c r="M552" s="1286">
        <f t="shared" si="157"/>
        <v>5522.4918714466248</v>
      </c>
      <c r="R552" s="282"/>
      <c r="S552" s="282"/>
      <c r="T552" s="282"/>
      <c r="U552" s="282"/>
      <c r="V552" s="282"/>
      <c r="W552" s="282"/>
      <c r="X552" s="282"/>
      <c r="Y552" s="282"/>
      <c r="Z552" s="282"/>
      <c r="AA552" s="282"/>
    </row>
    <row r="553" spans="1:27" s="428" customFormat="1" outlineLevel="3">
      <c r="A553" s="276">
        <f t="shared" si="153"/>
        <v>257</v>
      </c>
      <c r="B553" s="757" t="str">
        <f>$B$257</f>
        <v>Instructional Aide</v>
      </c>
      <c r="C553" s="560"/>
      <c r="D553" s="429"/>
      <c r="E553" s="429"/>
      <c r="F553" s="429"/>
      <c r="G553" s="1286">
        <f>(G257*$C$88*$C$86)</f>
        <v>0</v>
      </c>
      <c r="H553" s="1286">
        <f t="shared" si="157"/>
        <v>0</v>
      </c>
      <c r="I553" s="1286">
        <f t="shared" si="157"/>
        <v>4906.6624999999995</v>
      </c>
      <c r="J553" s="1286">
        <f t="shared" si="157"/>
        <v>5053.8623749999997</v>
      </c>
      <c r="K553" s="1286">
        <f t="shared" si="157"/>
        <v>5205.4782462499998</v>
      </c>
      <c r="L553" s="1286">
        <f t="shared" si="157"/>
        <v>5361.642593637499</v>
      </c>
      <c r="M553" s="1286">
        <f t="shared" si="157"/>
        <v>5522.4918714466248</v>
      </c>
      <c r="R553" s="282"/>
      <c r="S553" s="282"/>
      <c r="T553" s="282"/>
      <c r="U553" s="282"/>
      <c r="V553" s="282"/>
      <c r="W553" s="282"/>
      <c r="X553" s="282"/>
      <c r="Y553" s="282"/>
      <c r="Z553" s="282"/>
      <c r="AA553" s="282"/>
    </row>
    <row r="554" spans="1:27" s="428" customFormat="1" outlineLevel="3">
      <c r="A554" s="276">
        <f t="shared" si="153"/>
        <v>258</v>
      </c>
      <c r="B554" s="757" t="str">
        <f>$B$258</f>
        <v>Instructional Aide</v>
      </c>
      <c r="C554" s="560"/>
      <c r="D554" s="429"/>
      <c r="E554" s="429"/>
      <c r="F554" s="429"/>
      <c r="G554" s="1286">
        <f>(G258*$C$88*$C$86)</f>
        <v>0</v>
      </c>
      <c r="H554" s="1286">
        <f t="shared" si="157"/>
        <v>0</v>
      </c>
      <c r="I554" s="1286">
        <f t="shared" si="157"/>
        <v>0</v>
      </c>
      <c r="J554" s="1286">
        <f t="shared" si="157"/>
        <v>5053.8623749999997</v>
      </c>
      <c r="K554" s="1286">
        <f t="shared" si="157"/>
        <v>5205.4782462499998</v>
      </c>
      <c r="L554" s="1286">
        <f t="shared" si="157"/>
        <v>5361.642593637499</v>
      </c>
      <c r="M554" s="1286">
        <f t="shared" si="157"/>
        <v>5522.4918714466248</v>
      </c>
      <c r="R554" s="282"/>
      <c r="S554" s="282"/>
      <c r="T554" s="282"/>
      <c r="U554" s="282"/>
      <c r="V554" s="282"/>
      <c r="W554" s="282"/>
      <c r="X554" s="282"/>
      <c r="Y554" s="282"/>
      <c r="Z554" s="282"/>
      <c r="AA554" s="282"/>
    </row>
    <row r="555" spans="1:27" s="428" customFormat="1" outlineLevel="3">
      <c r="A555" s="276">
        <f t="shared" si="153"/>
        <v>259</v>
      </c>
      <c r="B555" s="757" t="str">
        <f>$B$259</f>
        <v>Instructional Aide</v>
      </c>
      <c r="C555" s="560"/>
      <c r="D555" s="429"/>
      <c r="E555" s="429"/>
      <c r="F555" s="429"/>
      <c r="G555" s="1286">
        <f>(G259*$C$88*$C$86)</f>
        <v>0</v>
      </c>
      <c r="H555" s="1286">
        <f t="shared" si="157"/>
        <v>0</v>
      </c>
      <c r="I555" s="1286">
        <f t="shared" si="157"/>
        <v>0</v>
      </c>
      <c r="J555" s="1286">
        <f t="shared" si="157"/>
        <v>5053.8623749999997</v>
      </c>
      <c r="K555" s="1286">
        <f t="shared" si="157"/>
        <v>5205.4782462499998</v>
      </c>
      <c r="L555" s="1286">
        <f t="shared" si="157"/>
        <v>5361.642593637499</v>
      </c>
      <c r="M555" s="1286">
        <f t="shared" si="157"/>
        <v>5522.4918714466248</v>
      </c>
      <c r="R555" s="282"/>
      <c r="S555" s="282"/>
      <c r="T555" s="282"/>
      <c r="U555" s="282"/>
      <c r="V555" s="282"/>
      <c r="W555" s="282"/>
      <c r="X555" s="282"/>
      <c r="Y555" s="282"/>
      <c r="Z555" s="282"/>
      <c r="AA555" s="282"/>
    </row>
    <row r="556" spans="1:27" s="428" customFormat="1" outlineLevel="3">
      <c r="A556" s="276">
        <f t="shared" si="153"/>
        <v>260</v>
      </c>
      <c r="B556" s="757"/>
      <c r="C556" s="560"/>
      <c r="D556" s="429"/>
      <c r="E556" s="429"/>
      <c r="F556" s="429"/>
      <c r="G556" s="1286"/>
      <c r="H556" s="1286"/>
      <c r="I556" s="1286"/>
      <c r="J556" s="1286"/>
      <c r="K556" s="1286"/>
      <c r="L556" s="1286"/>
      <c r="M556" s="1286"/>
      <c r="R556" s="282"/>
      <c r="S556" s="282"/>
      <c r="T556" s="282"/>
      <c r="U556" s="282"/>
      <c r="V556" s="282"/>
      <c r="W556" s="282"/>
      <c r="X556" s="282"/>
      <c r="Y556" s="282"/>
      <c r="Z556" s="282"/>
      <c r="AA556" s="282"/>
    </row>
    <row r="557" spans="1:27" s="428" customFormat="1" outlineLevel="3">
      <c r="A557" s="276">
        <f t="shared" si="153"/>
        <v>261</v>
      </c>
      <c r="B557" s="757" t="str">
        <f>$B$261</f>
        <v>Instructional Aide</v>
      </c>
      <c r="C557" s="560"/>
      <c r="D557" s="429"/>
      <c r="E557" s="429"/>
      <c r="F557" s="429"/>
      <c r="G557" s="1286">
        <f>(G261*$C$88*$C$86)</f>
        <v>0</v>
      </c>
      <c r="H557" s="1286">
        <f t="shared" ref="H557:M561" si="158">(H261*$C$88*$C$86)*$C$46^(H$11-$G$11)</f>
        <v>0</v>
      </c>
      <c r="I557" s="1286">
        <f t="shared" si="158"/>
        <v>0</v>
      </c>
      <c r="J557" s="1286">
        <f t="shared" si="158"/>
        <v>0</v>
      </c>
      <c r="K557" s="1286">
        <f t="shared" si="158"/>
        <v>5205.4782462499998</v>
      </c>
      <c r="L557" s="1286">
        <f t="shared" si="158"/>
        <v>5361.642593637499</v>
      </c>
      <c r="M557" s="1286">
        <f t="shared" si="158"/>
        <v>5522.4918714466248</v>
      </c>
      <c r="R557" s="282"/>
      <c r="S557" s="282"/>
      <c r="T557" s="282"/>
      <c r="U557" s="282"/>
      <c r="V557" s="282"/>
      <c r="W557" s="282"/>
      <c r="X557" s="282"/>
      <c r="Y557" s="282"/>
      <c r="Z557" s="282"/>
      <c r="AA557" s="282"/>
    </row>
    <row r="558" spans="1:27" s="428" customFormat="1" outlineLevel="3">
      <c r="A558" s="276">
        <f t="shared" si="153"/>
        <v>262</v>
      </c>
      <c r="B558" s="757" t="str">
        <f>$B$262</f>
        <v>Instructional Aide</v>
      </c>
      <c r="C558" s="560"/>
      <c r="D558" s="429"/>
      <c r="E558" s="429"/>
      <c r="F558" s="429"/>
      <c r="G558" s="1286">
        <f>(G262*$C$88*$C$86)</f>
        <v>0</v>
      </c>
      <c r="H558" s="1286">
        <f t="shared" si="158"/>
        <v>0</v>
      </c>
      <c r="I558" s="1286">
        <f t="shared" si="158"/>
        <v>0</v>
      </c>
      <c r="J558" s="1286">
        <f t="shared" si="158"/>
        <v>0</v>
      </c>
      <c r="K558" s="1286">
        <f t="shared" si="158"/>
        <v>5205.4782462499998</v>
      </c>
      <c r="L558" s="1286">
        <f t="shared" si="158"/>
        <v>5361.642593637499</v>
      </c>
      <c r="M558" s="1286">
        <f t="shared" si="158"/>
        <v>5522.4918714466248</v>
      </c>
      <c r="R558" s="282"/>
      <c r="S558" s="282"/>
      <c r="T558" s="282"/>
      <c r="U558" s="282"/>
      <c r="V558" s="282"/>
      <c r="W558" s="282"/>
      <c r="X558" s="282"/>
      <c r="Y558" s="282"/>
      <c r="Z558" s="282"/>
      <c r="AA558" s="282"/>
    </row>
    <row r="559" spans="1:27" s="428" customFormat="1" outlineLevel="3">
      <c r="A559" s="276">
        <f t="shared" si="153"/>
        <v>263</v>
      </c>
      <c r="B559" s="757" t="str">
        <f>$B$263</f>
        <v>Instructional Aide</v>
      </c>
      <c r="C559" s="560"/>
      <c r="D559" s="429"/>
      <c r="E559" s="429"/>
      <c r="F559" s="429"/>
      <c r="G559" s="1286">
        <f>(G263*$C$88*$C$86)</f>
        <v>0</v>
      </c>
      <c r="H559" s="1286">
        <f t="shared" si="158"/>
        <v>0</v>
      </c>
      <c r="I559" s="1286">
        <f t="shared" si="158"/>
        <v>0</v>
      </c>
      <c r="J559" s="1286">
        <f t="shared" si="158"/>
        <v>0</v>
      </c>
      <c r="K559" s="1286">
        <f t="shared" si="158"/>
        <v>0</v>
      </c>
      <c r="L559" s="1286">
        <f t="shared" si="158"/>
        <v>5361.642593637499</v>
      </c>
      <c r="M559" s="1286">
        <f t="shared" si="158"/>
        <v>5522.4918714466248</v>
      </c>
      <c r="R559" s="282"/>
      <c r="S559" s="282"/>
      <c r="T559" s="282"/>
      <c r="U559" s="282"/>
      <c r="V559" s="282"/>
      <c r="W559" s="282"/>
      <c r="X559" s="282"/>
      <c r="Y559" s="282"/>
      <c r="Z559" s="282"/>
      <c r="AA559" s="282"/>
    </row>
    <row r="560" spans="1:27" s="428" customFormat="1" outlineLevel="3">
      <c r="A560" s="276">
        <f t="shared" si="153"/>
        <v>264</v>
      </c>
      <c r="B560" s="757" t="str">
        <f>$B$264</f>
        <v>Instructional Aide</v>
      </c>
      <c r="C560" s="560"/>
      <c r="D560" s="429"/>
      <c r="E560" s="429"/>
      <c r="F560" s="429"/>
      <c r="G560" s="1286">
        <f>(G264*$C$88*$C$86)</f>
        <v>0</v>
      </c>
      <c r="H560" s="1286">
        <f t="shared" si="158"/>
        <v>0</v>
      </c>
      <c r="I560" s="1286">
        <f t="shared" si="158"/>
        <v>0</v>
      </c>
      <c r="J560" s="1286">
        <f t="shared" si="158"/>
        <v>0</v>
      </c>
      <c r="K560" s="1286">
        <f t="shared" si="158"/>
        <v>0</v>
      </c>
      <c r="L560" s="1286">
        <f t="shared" si="158"/>
        <v>5361.642593637499</v>
      </c>
      <c r="M560" s="1286">
        <f t="shared" si="158"/>
        <v>5522.4918714466248</v>
      </c>
      <c r="R560" s="282"/>
      <c r="S560" s="282"/>
      <c r="T560" s="282"/>
      <c r="U560" s="282"/>
      <c r="V560" s="282"/>
      <c r="W560" s="282"/>
      <c r="X560" s="282"/>
      <c r="Y560" s="282"/>
      <c r="Z560" s="282"/>
      <c r="AA560" s="282"/>
    </row>
    <row r="561" spans="1:27" s="428" customFormat="1" outlineLevel="3">
      <c r="A561" s="276">
        <f t="shared" si="153"/>
        <v>265</v>
      </c>
      <c r="B561" s="757" t="str">
        <f>$B$265</f>
        <v>Instructional Aide</v>
      </c>
      <c r="C561" s="560"/>
      <c r="D561" s="429"/>
      <c r="E561" s="429"/>
      <c r="F561" s="429"/>
      <c r="G561" s="1286">
        <f>(G265*$C$88*$C$86)</f>
        <v>0</v>
      </c>
      <c r="H561" s="1286">
        <f t="shared" si="158"/>
        <v>0</v>
      </c>
      <c r="I561" s="1286">
        <f t="shared" si="158"/>
        <v>0</v>
      </c>
      <c r="J561" s="1286">
        <f t="shared" si="158"/>
        <v>0</v>
      </c>
      <c r="K561" s="1286">
        <f t="shared" si="158"/>
        <v>0</v>
      </c>
      <c r="L561" s="1286">
        <f t="shared" si="158"/>
        <v>0</v>
      </c>
      <c r="M561" s="1286">
        <f t="shared" si="158"/>
        <v>5522.4918714466248</v>
      </c>
      <c r="R561" s="282"/>
      <c r="S561" s="282"/>
      <c r="T561" s="282"/>
      <c r="U561" s="282"/>
      <c r="V561" s="282"/>
      <c r="W561" s="282"/>
      <c r="X561" s="282"/>
      <c r="Y561" s="282"/>
      <c r="Z561" s="282"/>
      <c r="AA561" s="282"/>
    </row>
    <row r="562" spans="1:27" s="431" customFormat="1" outlineLevel="3">
      <c r="A562" s="276">
        <f t="shared" si="153"/>
        <v>266</v>
      </c>
      <c r="B562" s="432"/>
      <c r="C562" s="559"/>
      <c r="D562" s="432"/>
      <c r="E562" s="432"/>
      <c r="F562" s="432"/>
      <c r="G562" s="1286"/>
      <c r="H562" s="1286"/>
      <c r="I562" s="1286"/>
      <c r="J562" s="1286"/>
      <c r="K562" s="1286"/>
      <c r="L562" s="1286"/>
      <c r="M562" s="1286"/>
      <c r="R562" s="282"/>
      <c r="S562" s="282"/>
      <c r="T562" s="282"/>
      <c r="U562" s="282"/>
      <c r="V562" s="282"/>
      <c r="W562" s="282"/>
      <c r="X562" s="282"/>
      <c r="Y562" s="282"/>
      <c r="Z562" s="282"/>
      <c r="AA562" s="282"/>
    </row>
    <row r="563" spans="1:27" s="431" customFormat="1" outlineLevel="2">
      <c r="A563" s="276">
        <f t="shared" si="153"/>
        <v>267</v>
      </c>
      <c r="B563" s="700" t="s">
        <v>24</v>
      </c>
      <c r="C563" s="732"/>
      <c r="D563" s="700"/>
      <c r="E563" s="700"/>
      <c r="F563" s="700"/>
      <c r="G563" s="1287">
        <f t="shared" ref="G563:M563" si="159">SUM(G468:G561)</f>
        <v>0</v>
      </c>
      <c r="H563" s="1287">
        <f t="shared" si="159"/>
        <v>66692.5</v>
      </c>
      <c r="I563" s="1287">
        <f t="shared" si="159"/>
        <v>98133.250000000029</v>
      </c>
      <c r="J563" s="1287">
        <f t="shared" si="159"/>
        <v>136454.28412499995</v>
      </c>
      <c r="K563" s="1287">
        <f t="shared" si="159"/>
        <v>176986.26037249988</v>
      </c>
      <c r="L563" s="1287">
        <f t="shared" si="159"/>
        <v>219827.34633913729</v>
      </c>
      <c r="M563" s="1287">
        <f t="shared" si="159"/>
        <v>270602.1017008847</v>
      </c>
      <c r="R563" s="282"/>
      <c r="S563" s="282"/>
      <c r="T563" s="282"/>
      <c r="U563" s="282"/>
      <c r="V563" s="282"/>
      <c r="W563" s="282"/>
      <c r="X563" s="282"/>
      <c r="Y563" s="282"/>
      <c r="Z563" s="282"/>
      <c r="AA563" s="282"/>
    </row>
    <row r="564" spans="1:27" s="431" customFormat="1" outlineLevel="2">
      <c r="A564" s="276">
        <f t="shared" si="153"/>
        <v>268</v>
      </c>
      <c r="B564" s="432"/>
      <c r="C564" s="559"/>
      <c r="D564" s="432"/>
      <c r="G564" s="141"/>
      <c r="H564" s="141"/>
      <c r="I564" s="1286"/>
      <c r="J564" s="1286"/>
      <c r="K564" s="1286"/>
      <c r="L564" s="1286"/>
      <c r="M564" s="1286"/>
      <c r="R564" s="282"/>
      <c r="S564" s="282"/>
      <c r="T564" s="282"/>
      <c r="U564" s="282"/>
      <c r="V564" s="282"/>
      <c r="W564" s="282"/>
      <c r="X564" s="282"/>
      <c r="Y564" s="282"/>
      <c r="Z564" s="282"/>
      <c r="AA564" s="282"/>
    </row>
    <row r="565" spans="1:27" s="431" customFormat="1" outlineLevel="2">
      <c r="A565" s="276">
        <f t="shared" si="153"/>
        <v>269</v>
      </c>
      <c r="B565" s="432"/>
      <c r="C565" s="559"/>
      <c r="D565" s="432"/>
      <c r="G565" s="141"/>
      <c r="H565" s="141"/>
      <c r="I565" s="1286"/>
      <c r="J565" s="1286"/>
      <c r="K565" s="1286"/>
      <c r="L565" s="1286"/>
      <c r="M565" s="1286"/>
      <c r="R565" s="282"/>
      <c r="S565" s="282"/>
      <c r="T565" s="282"/>
      <c r="U565" s="282"/>
      <c r="V565" s="282"/>
      <c r="W565" s="282"/>
      <c r="X565" s="282"/>
      <c r="Y565" s="282"/>
      <c r="Z565" s="282"/>
      <c r="AA565" s="282"/>
    </row>
    <row r="566" spans="1:27" outlineLevel="1">
      <c r="A566" s="276">
        <f t="shared" si="153"/>
        <v>270</v>
      </c>
      <c r="B566" s="529" t="s">
        <v>162</v>
      </c>
      <c r="C566" s="746"/>
      <c r="D566" s="529"/>
      <c r="E566" s="517"/>
      <c r="F566" s="517"/>
      <c r="G566" s="1288">
        <f t="shared" ref="G566:M566" si="160">G563+G465+G441</f>
        <v>0</v>
      </c>
      <c r="H566" s="1288">
        <f t="shared" si="160"/>
        <v>95275</v>
      </c>
      <c r="I566" s="1288">
        <f t="shared" si="160"/>
        <v>142293.21250000002</v>
      </c>
      <c r="J566" s="1288">
        <f t="shared" si="160"/>
        <v>192046.77024999994</v>
      </c>
      <c r="K566" s="1288">
        <f t="shared" si="160"/>
        <v>249862.95581999989</v>
      </c>
      <c r="L566" s="1288">
        <f t="shared" si="160"/>
        <v>305613.62783733726</v>
      </c>
      <c r="M566" s="1288">
        <f t="shared" si="160"/>
        <v>375529.44725837058</v>
      </c>
      <c r="R566" s="282"/>
      <c r="S566" s="282"/>
      <c r="T566" s="282"/>
      <c r="U566" s="282"/>
      <c r="V566" s="282"/>
      <c r="W566" s="282"/>
      <c r="X566" s="282"/>
      <c r="Y566" s="282"/>
      <c r="Z566" s="282"/>
      <c r="AA566" s="282"/>
    </row>
    <row r="567" spans="1:27" s="428" customFormat="1" outlineLevel="1">
      <c r="A567" s="276">
        <f t="shared" si="153"/>
        <v>271</v>
      </c>
      <c r="C567" s="560"/>
      <c r="D567" s="429"/>
      <c r="G567" s="168"/>
      <c r="H567" s="1051"/>
      <c r="I567" s="1051"/>
      <c r="J567" s="1051"/>
      <c r="K567" s="1051"/>
      <c r="L567" s="1051"/>
      <c r="M567" s="1051"/>
      <c r="R567" s="282"/>
      <c r="S567" s="282"/>
      <c r="T567" s="282"/>
      <c r="U567" s="282"/>
      <c r="V567" s="282"/>
      <c r="W567" s="282"/>
      <c r="X567" s="282"/>
      <c r="Y567" s="282"/>
      <c r="Z567" s="282"/>
      <c r="AA567" s="282"/>
    </row>
    <row r="568" spans="1:27" s="431" customFormat="1" outlineLevel="2">
      <c r="A568" s="276">
        <f>ROW()</f>
        <v>568</v>
      </c>
      <c r="B568" s="1353" t="s">
        <v>39</v>
      </c>
      <c r="C568" s="1354"/>
      <c r="D568" s="1355"/>
      <c r="E568" s="1356"/>
      <c r="F568" s="1356"/>
      <c r="G568" s="1358"/>
      <c r="H568" s="1358"/>
      <c r="I568" s="1358"/>
      <c r="J568" s="1358"/>
      <c r="K568" s="1358"/>
      <c r="L568" s="1358"/>
      <c r="M568" s="1358"/>
      <c r="R568" s="282"/>
      <c r="S568" s="282"/>
      <c r="T568" s="282"/>
      <c r="U568" s="282"/>
      <c r="V568" s="282"/>
      <c r="W568" s="282"/>
      <c r="X568" s="282"/>
      <c r="Y568" s="282"/>
      <c r="Z568" s="282"/>
      <c r="AA568" s="282"/>
    </row>
    <row r="569" spans="1:27" s="431" customFormat="1" outlineLevel="2">
      <c r="A569" s="276">
        <f>ROW()</f>
        <v>569</v>
      </c>
      <c r="B569" s="377"/>
      <c r="C569" s="561"/>
      <c r="D569" s="428"/>
      <c r="G569" s="1286"/>
      <c r="H569" s="1286"/>
      <c r="I569" s="1286"/>
      <c r="J569" s="1286"/>
      <c r="K569" s="1286"/>
      <c r="L569" s="1286"/>
      <c r="M569" s="1286"/>
      <c r="R569" s="282"/>
      <c r="S569" s="282"/>
      <c r="T569" s="282"/>
      <c r="U569" s="282"/>
      <c r="V569" s="282"/>
      <c r="W569" s="282"/>
      <c r="X569" s="282"/>
      <c r="Y569" s="282"/>
      <c r="Z569" s="282"/>
      <c r="AA569" s="282"/>
    </row>
    <row r="570" spans="1:27" s="431" customFormat="1" outlineLevel="2">
      <c r="A570" s="276">
        <f>ROW()</f>
        <v>570</v>
      </c>
      <c r="B570" s="377" t="str">
        <f>$B$113</f>
        <v>Administrators</v>
      </c>
      <c r="C570" s="561"/>
      <c r="D570" s="428"/>
      <c r="G570" s="1286"/>
      <c r="H570" s="1286"/>
      <c r="I570" s="1286"/>
      <c r="J570" s="1286"/>
      <c r="K570" s="1286"/>
      <c r="L570" s="1286"/>
      <c r="M570" s="1286"/>
      <c r="R570" s="282"/>
      <c r="S570" s="282"/>
      <c r="T570" s="282"/>
      <c r="U570" s="282"/>
      <c r="V570" s="282"/>
      <c r="W570" s="282"/>
      <c r="X570" s="282"/>
      <c r="Y570" s="282"/>
      <c r="Z570" s="282"/>
      <c r="AA570" s="282"/>
    </row>
    <row r="571" spans="1:27" s="431" customFormat="1" outlineLevel="2">
      <c r="A571" s="276">
        <f>ROW()</f>
        <v>571</v>
      </c>
      <c r="B571" s="428" t="str">
        <f>$B$114</f>
        <v>Executive Director</v>
      </c>
      <c r="C571" s="561"/>
      <c r="D571" s="428"/>
      <c r="G571" s="1286">
        <f t="shared" ref="G571:M575" si="161">G273*$C$89</f>
        <v>0</v>
      </c>
      <c r="H571" s="1286">
        <f t="shared" si="161"/>
        <v>6885</v>
      </c>
      <c r="I571" s="1286">
        <f t="shared" si="161"/>
        <v>7091.55</v>
      </c>
      <c r="J571" s="1286">
        <f t="shared" si="161"/>
        <v>7304.2964999999995</v>
      </c>
      <c r="K571" s="1286">
        <f t="shared" si="161"/>
        <v>7523.4253950000002</v>
      </c>
      <c r="L571" s="1286">
        <f t="shared" si="161"/>
        <v>7749.128156849999</v>
      </c>
      <c r="M571" s="1286">
        <f t="shared" si="161"/>
        <v>7981.6020015554986</v>
      </c>
      <c r="R571" s="282"/>
      <c r="S571" s="282"/>
      <c r="T571" s="282"/>
      <c r="U571" s="282"/>
      <c r="V571" s="282"/>
      <c r="W571" s="282"/>
      <c r="X571" s="282"/>
      <c r="Y571" s="282"/>
      <c r="Z571" s="282"/>
      <c r="AA571" s="282"/>
    </row>
    <row r="572" spans="1:27" s="431" customFormat="1" outlineLevel="2">
      <c r="A572" s="276">
        <f>ROW()</f>
        <v>572</v>
      </c>
      <c r="B572" s="428" t="str">
        <f>$B$115</f>
        <v>Director of Data, Instruction, Asses.</v>
      </c>
      <c r="C572" s="561"/>
      <c r="D572" s="428"/>
      <c r="G572" s="1286">
        <f t="shared" si="161"/>
        <v>0</v>
      </c>
      <c r="H572" s="1286">
        <f t="shared" si="161"/>
        <v>0</v>
      </c>
      <c r="I572" s="1286">
        <f t="shared" si="161"/>
        <v>5515.65</v>
      </c>
      <c r="J572" s="1286">
        <f t="shared" si="161"/>
        <v>5681.1194999999998</v>
      </c>
      <c r="K572" s="1286">
        <f t="shared" si="161"/>
        <v>5851.5530849999996</v>
      </c>
      <c r="L572" s="1286">
        <f t="shared" si="161"/>
        <v>6027.0996775499998</v>
      </c>
      <c r="M572" s="1286">
        <f t="shared" si="161"/>
        <v>6207.9126678764987</v>
      </c>
      <c r="R572" s="282"/>
      <c r="S572" s="282"/>
      <c r="T572" s="282"/>
      <c r="U572" s="282"/>
      <c r="V572" s="282"/>
      <c r="W572" s="282"/>
      <c r="X572" s="282"/>
      <c r="Y572" s="282"/>
      <c r="Z572" s="282"/>
      <c r="AA572" s="282"/>
    </row>
    <row r="573" spans="1:27" s="431" customFormat="1" outlineLevel="2">
      <c r="A573" s="276">
        <f>ROW()</f>
        <v>573</v>
      </c>
      <c r="B573" s="428" t="str">
        <f>$B$116</f>
        <v>Director of Data, Instruction, Asses.</v>
      </c>
      <c r="C573" s="561"/>
      <c r="D573" s="428"/>
      <c r="G573" s="1286">
        <f t="shared" si="161"/>
        <v>0</v>
      </c>
      <c r="H573" s="1286">
        <f t="shared" si="161"/>
        <v>0</v>
      </c>
      <c r="I573" s="1286">
        <f t="shared" si="161"/>
        <v>0</v>
      </c>
      <c r="J573" s="1286">
        <f t="shared" si="161"/>
        <v>0</v>
      </c>
      <c r="K573" s="1286">
        <f t="shared" si="161"/>
        <v>5851.5530849999996</v>
      </c>
      <c r="L573" s="1286">
        <f t="shared" si="161"/>
        <v>6027.0996775499998</v>
      </c>
      <c r="M573" s="1286">
        <f t="shared" si="161"/>
        <v>6207.9126678764987</v>
      </c>
      <c r="R573" s="282"/>
      <c r="S573" s="282"/>
      <c r="T573" s="282"/>
      <c r="U573" s="282"/>
      <c r="V573" s="282"/>
      <c r="W573" s="282"/>
      <c r="X573" s="282"/>
      <c r="Y573" s="282"/>
      <c r="Z573" s="282"/>
      <c r="AA573" s="282"/>
    </row>
    <row r="574" spans="1:27" s="431" customFormat="1" outlineLevel="2">
      <c r="A574" s="276">
        <f>ROW()</f>
        <v>574</v>
      </c>
      <c r="B574" s="428" t="str">
        <f>$B$117</f>
        <v>Director of Data, Instruction, Asses.</v>
      </c>
      <c r="C574" s="561"/>
      <c r="D574" s="428"/>
      <c r="G574" s="1286">
        <f t="shared" si="161"/>
        <v>0</v>
      </c>
      <c r="H574" s="1286">
        <f t="shared" si="161"/>
        <v>0</v>
      </c>
      <c r="I574" s="1286">
        <f t="shared" si="161"/>
        <v>0</v>
      </c>
      <c r="J574" s="1286">
        <f t="shared" si="161"/>
        <v>0</v>
      </c>
      <c r="K574" s="1286">
        <f t="shared" si="161"/>
        <v>0</v>
      </c>
      <c r="L574" s="1286">
        <f t="shared" si="161"/>
        <v>0</v>
      </c>
      <c r="M574" s="1286">
        <f t="shared" si="161"/>
        <v>6207.9126678764987</v>
      </c>
      <c r="R574" s="282"/>
      <c r="S574" s="282"/>
      <c r="T574" s="282"/>
      <c r="U574" s="282"/>
      <c r="V574" s="282"/>
      <c r="W574" s="282"/>
      <c r="X574" s="282"/>
      <c r="Y574" s="282"/>
      <c r="Z574" s="282"/>
      <c r="AA574" s="282"/>
    </row>
    <row r="575" spans="1:27" s="431" customFormat="1" outlineLevel="2">
      <c r="A575" s="276">
        <f>ROW()</f>
        <v>575</v>
      </c>
      <c r="B575" s="428" t="str">
        <f>$B$118</f>
        <v>Superintendent</v>
      </c>
      <c r="C575" s="561"/>
      <c r="D575" s="428"/>
      <c r="G575" s="1286">
        <f t="shared" si="161"/>
        <v>0</v>
      </c>
      <c r="H575" s="1286">
        <f t="shared" si="161"/>
        <v>0</v>
      </c>
      <c r="I575" s="1286">
        <f t="shared" si="161"/>
        <v>0</v>
      </c>
      <c r="J575" s="1286">
        <f t="shared" si="161"/>
        <v>0</v>
      </c>
      <c r="K575" s="1286">
        <f t="shared" si="161"/>
        <v>0</v>
      </c>
      <c r="L575" s="1286">
        <f t="shared" si="161"/>
        <v>6888.1139171999994</v>
      </c>
      <c r="M575" s="1286">
        <f t="shared" si="161"/>
        <v>7094.7573347159987</v>
      </c>
      <c r="R575" s="282"/>
      <c r="S575" s="282"/>
      <c r="T575" s="282"/>
      <c r="U575" s="282"/>
      <c r="V575" s="282"/>
      <c r="W575" s="282"/>
      <c r="X575" s="282"/>
      <c r="Y575" s="282"/>
      <c r="Z575" s="282"/>
      <c r="AA575" s="282"/>
    </row>
    <row r="576" spans="1:27" s="431" customFormat="1" outlineLevel="2">
      <c r="A576" s="276">
        <f>ROW()</f>
        <v>576</v>
      </c>
      <c r="B576" s="428"/>
      <c r="C576" s="561"/>
      <c r="D576" s="428"/>
      <c r="G576" s="1286"/>
      <c r="H576" s="1286"/>
      <c r="I576" s="1286"/>
      <c r="J576" s="1286"/>
      <c r="K576" s="1286"/>
      <c r="L576" s="1286"/>
      <c r="M576" s="1286"/>
      <c r="R576" s="282"/>
      <c r="S576" s="282"/>
      <c r="T576" s="282"/>
      <c r="U576" s="282"/>
      <c r="V576" s="282"/>
      <c r="W576" s="282"/>
      <c r="X576" s="282"/>
      <c r="Y576" s="282"/>
      <c r="Z576" s="282"/>
      <c r="AA576" s="282"/>
    </row>
    <row r="577" spans="1:27" s="431" customFormat="1" outlineLevel="2">
      <c r="A577" s="276">
        <f>ROW()</f>
        <v>577</v>
      </c>
      <c r="B577" s="377" t="str">
        <f>$B$122</f>
        <v>Office Staff</v>
      </c>
      <c r="C577" s="561"/>
      <c r="D577" s="428"/>
      <c r="G577" s="1286"/>
      <c r="H577" s="1286"/>
      <c r="I577" s="1286"/>
      <c r="J577" s="1286"/>
      <c r="K577" s="1286"/>
      <c r="L577" s="1286"/>
      <c r="M577" s="1286"/>
      <c r="R577" s="282"/>
      <c r="S577" s="282"/>
      <c r="T577" s="282"/>
      <c r="U577" s="282"/>
      <c r="V577" s="282"/>
      <c r="W577" s="282"/>
      <c r="X577" s="282"/>
      <c r="Y577" s="282"/>
      <c r="Z577" s="282"/>
      <c r="AA577" s="282"/>
    </row>
    <row r="578" spans="1:27" s="431" customFormat="1" outlineLevel="2">
      <c r="A578" s="276">
        <f>ROW()</f>
        <v>578</v>
      </c>
      <c r="B578" s="428" t="str">
        <f>$B$123</f>
        <v>Office Manager</v>
      </c>
      <c r="C578" s="561"/>
      <c r="D578" s="428"/>
      <c r="G578" s="1286">
        <f t="shared" ref="G578:M580" si="162">G280*$C$89</f>
        <v>0</v>
      </c>
      <c r="H578" s="1286">
        <f t="shared" si="162"/>
        <v>3060</v>
      </c>
      <c r="I578" s="1286">
        <f t="shared" si="162"/>
        <v>3151.7999999999997</v>
      </c>
      <c r="J578" s="1286">
        <f t="shared" si="162"/>
        <v>3246.3539999999998</v>
      </c>
      <c r="K578" s="1286">
        <f t="shared" si="162"/>
        <v>3343.7446199999999</v>
      </c>
      <c r="L578" s="1286">
        <f t="shared" si="162"/>
        <v>3444.0569585999997</v>
      </c>
      <c r="M578" s="1286">
        <f t="shared" si="162"/>
        <v>3547.3786673579993</v>
      </c>
      <c r="R578" s="282"/>
      <c r="S578" s="282"/>
      <c r="T578" s="282"/>
      <c r="U578" s="282"/>
      <c r="V578" s="282"/>
      <c r="W578" s="282"/>
      <c r="X578" s="282"/>
      <c r="Y578" s="282"/>
      <c r="Z578" s="282"/>
      <c r="AA578" s="282"/>
    </row>
    <row r="579" spans="1:27" s="431" customFormat="1" outlineLevel="2">
      <c r="A579" s="276">
        <f>ROW()</f>
        <v>579</v>
      </c>
      <c r="B579" s="428" t="str">
        <f>$B$124</f>
        <v>Office Technician</v>
      </c>
      <c r="C579" s="561"/>
      <c r="D579" s="428"/>
      <c r="G579" s="1286">
        <f t="shared" si="162"/>
        <v>0</v>
      </c>
      <c r="H579" s="1286">
        <f t="shared" si="162"/>
        <v>2601</v>
      </c>
      <c r="I579" s="1286">
        <f t="shared" si="162"/>
        <v>2679.0299999999997</v>
      </c>
      <c r="J579" s="1286">
        <f t="shared" si="162"/>
        <v>2759.4008999999996</v>
      </c>
      <c r="K579" s="1286">
        <f t="shared" si="162"/>
        <v>2842.1829269999998</v>
      </c>
      <c r="L579" s="1286">
        <f t="shared" si="162"/>
        <v>2927.44841481</v>
      </c>
      <c r="M579" s="1286">
        <f t="shared" si="162"/>
        <v>3015.2718672542997</v>
      </c>
      <c r="R579" s="282"/>
      <c r="S579" s="282"/>
      <c r="T579" s="282"/>
      <c r="U579" s="282"/>
      <c r="V579" s="282"/>
      <c r="W579" s="282"/>
      <c r="X579" s="282"/>
      <c r="Y579" s="282"/>
      <c r="Z579" s="282"/>
      <c r="AA579" s="282"/>
    </row>
    <row r="580" spans="1:27" s="431" customFormat="1" outlineLevel="2">
      <c r="A580" s="276">
        <f>ROW()</f>
        <v>580</v>
      </c>
      <c r="B580" s="428" t="str">
        <f>$B$125</f>
        <v>Office Technician</v>
      </c>
      <c r="C580" s="561"/>
      <c r="D580" s="428"/>
      <c r="G580" s="1286">
        <f t="shared" si="162"/>
        <v>0</v>
      </c>
      <c r="H580" s="1286">
        <f t="shared" si="162"/>
        <v>0</v>
      </c>
      <c r="I580" s="1286">
        <f t="shared" si="162"/>
        <v>0</v>
      </c>
      <c r="J580" s="1286">
        <f t="shared" si="162"/>
        <v>2759.4008999999996</v>
      </c>
      <c r="K580" s="1286">
        <f t="shared" si="162"/>
        <v>2842.1829269999998</v>
      </c>
      <c r="L580" s="1286">
        <f t="shared" si="162"/>
        <v>2927.44841481</v>
      </c>
      <c r="M580" s="1286">
        <f t="shared" si="162"/>
        <v>3015.2718672542997</v>
      </c>
      <c r="R580" s="282"/>
      <c r="S580" s="282"/>
      <c r="T580" s="282"/>
      <c r="U580" s="282"/>
      <c r="V580" s="282"/>
      <c r="W580" s="282"/>
      <c r="X580" s="282"/>
      <c r="Y580" s="282"/>
      <c r="Z580" s="282"/>
      <c r="AA580" s="282"/>
    </row>
    <row r="581" spans="1:27" s="431" customFormat="1" outlineLevel="2">
      <c r="A581" s="276">
        <f>ROW()</f>
        <v>581</v>
      </c>
      <c r="B581" s="428"/>
      <c r="C581" s="561"/>
      <c r="D581" s="428"/>
      <c r="G581" s="1286"/>
      <c r="H581" s="1286"/>
      <c r="I581" s="1286"/>
      <c r="J581" s="1286"/>
      <c r="K581" s="1286"/>
      <c r="L581" s="1286"/>
      <c r="M581" s="1286"/>
      <c r="R581" s="282"/>
      <c r="S581" s="282"/>
      <c r="T581" s="282"/>
      <c r="U581" s="282"/>
      <c r="V581" s="282"/>
      <c r="W581" s="282"/>
      <c r="X581" s="282"/>
      <c r="Y581" s="282"/>
      <c r="Z581" s="282"/>
      <c r="AA581" s="282"/>
    </row>
    <row r="582" spans="1:27" s="431" customFormat="1" outlineLevel="2">
      <c r="A582" s="276">
        <f>ROW()</f>
        <v>582</v>
      </c>
      <c r="B582" s="377"/>
      <c r="C582" s="561"/>
      <c r="D582" s="428"/>
      <c r="G582" s="1286"/>
      <c r="H582" s="1286"/>
      <c r="I582" s="1286"/>
      <c r="J582" s="1286"/>
      <c r="K582" s="1286"/>
      <c r="L582" s="1286"/>
      <c r="M582" s="1286"/>
      <c r="R582" s="282"/>
      <c r="S582" s="282"/>
      <c r="T582" s="282"/>
      <c r="U582" s="282"/>
      <c r="V582" s="282"/>
      <c r="W582" s="282"/>
      <c r="X582" s="282"/>
      <c r="Y582" s="282"/>
      <c r="Z582" s="282"/>
      <c r="AA582" s="282"/>
    </row>
    <row r="583" spans="1:27" s="431" customFormat="1" outlineLevel="2">
      <c r="A583" s="276">
        <f>ROW()</f>
        <v>583</v>
      </c>
      <c r="B583" s="700" t="str">
        <f>$B$128</f>
        <v>Total Administrators and Office Staff</v>
      </c>
      <c r="C583" s="701"/>
      <c r="D583" s="702"/>
      <c r="E583" s="749"/>
      <c r="F583" s="749"/>
      <c r="G583" s="1287">
        <f t="shared" ref="G583:M583" si="163">SUM(G571:G581)</f>
        <v>0</v>
      </c>
      <c r="H583" s="1287">
        <f t="shared" si="163"/>
        <v>12546</v>
      </c>
      <c r="I583" s="1287">
        <f t="shared" si="163"/>
        <v>18438.03</v>
      </c>
      <c r="J583" s="1287">
        <f t="shared" si="163"/>
        <v>21750.571799999998</v>
      </c>
      <c r="K583" s="1287">
        <f t="shared" si="163"/>
        <v>28254.642038999998</v>
      </c>
      <c r="L583" s="1287">
        <f t="shared" si="163"/>
        <v>35990.395217370002</v>
      </c>
      <c r="M583" s="1287">
        <f t="shared" si="163"/>
        <v>43278.019741767581</v>
      </c>
      <c r="R583" s="282"/>
      <c r="S583" s="282"/>
      <c r="T583" s="282"/>
      <c r="U583" s="282"/>
      <c r="V583" s="282"/>
      <c r="W583" s="282"/>
      <c r="X583" s="282"/>
      <c r="Y583" s="282"/>
      <c r="Z583" s="282"/>
      <c r="AA583" s="282"/>
    </row>
    <row r="584" spans="1:27" s="431" customFormat="1" outlineLevel="2">
      <c r="A584" s="276">
        <f>ROW()</f>
        <v>584</v>
      </c>
      <c r="B584" s="377"/>
      <c r="C584" s="561"/>
      <c r="D584" s="428"/>
      <c r="G584" s="1286"/>
      <c r="H584" s="1286"/>
      <c r="I584" s="1286"/>
      <c r="J584" s="1286"/>
      <c r="K584" s="1286"/>
      <c r="L584" s="1286"/>
      <c r="M584" s="1286"/>
      <c r="R584" s="282"/>
      <c r="S584" s="282"/>
      <c r="T584" s="282"/>
      <c r="U584" s="282"/>
      <c r="V584" s="282"/>
      <c r="W584" s="282"/>
      <c r="X584" s="282"/>
      <c r="Y584" s="282"/>
      <c r="Z584" s="282"/>
      <c r="AA584" s="282"/>
    </row>
    <row r="585" spans="1:27" s="431" customFormat="1" outlineLevel="2">
      <c r="A585" s="276">
        <f>ROW()</f>
        <v>585</v>
      </c>
      <c r="B585" s="377" t="str">
        <f>$B$130</f>
        <v>Special Education (SPED) Teachers</v>
      </c>
      <c r="C585" s="561"/>
      <c r="D585" s="428"/>
      <c r="G585" s="1286"/>
      <c r="H585" s="1286"/>
      <c r="I585" s="1286"/>
      <c r="J585" s="1286"/>
      <c r="K585" s="1286"/>
      <c r="L585" s="1286"/>
      <c r="M585" s="1286"/>
      <c r="R585" s="282"/>
      <c r="S585" s="282"/>
      <c r="T585" s="282"/>
      <c r="U585" s="282"/>
      <c r="V585" s="282"/>
      <c r="W585" s="282"/>
      <c r="X585" s="282"/>
      <c r="Y585" s="282"/>
      <c r="Z585" s="282"/>
      <c r="AA585" s="282"/>
    </row>
    <row r="586" spans="1:27" s="431" customFormat="1" outlineLevel="2">
      <c r="A586" s="276">
        <f t="shared" ref="A586:A604" si="164">ROW(A288)</f>
        <v>288</v>
      </c>
      <c r="B586" s="750" t="str">
        <f t="shared" ref="B586:B607" si="165">$B288</f>
        <v>Special Education Teacher</v>
      </c>
      <c r="C586" s="561"/>
      <c r="D586" s="428"/>
      <c r="G586" s="1286">
        <f t="shared" ref="G586:M595" si="166">G288*$C$89</f>
        <v>0</v>
      </c>
      <c r="H586" s="1286">
        <f t="shared" si="166"/>
        <v>3442.5</v>
      </c>
      <c r="I586" s="1286">
        <f t="shared" si="166"/>
        <v>3545.7750000000001</v>
      </c>
      <c r="J586" s="1286">
        <f t="shared" si="166"/>
        <v>3652.1482499999997</v>
      </c>
      <c r="K586" s="1286">
        <f t="shared" si="166"/>
        <v>3761.7126975000001</v>
      </c>
      <c r="L586" s="1286">
        <f t="shared" si="166"/>
        <v>3874.5640784249995</v>
      </c>
      <c r="M586" s="1286">
        <f t="shared" si="166"/>
        <v>3990.8010007777493</v>
      </c>
      <c r="R586" s="282"/>
      <c r="S586" s="282"/>
      <c r="T586" s="282"/>
      <c r="U586" s="282"/>
      <c r="V586" s="282"/>
      <c r="W586" s="282"/>
      <c r="X586" s="282"/>
      <c r="Y586" s="282"/>
      <c r="Z586" s="282"/>
      <c r="AA586" s="282"/>
    </row>
    <row r="587" spans="1:27" s="431" customFormat="1" outlineLevel="2">
      <c r="A587" s="276">
        <f t="shared" si="164"/>
        <v>289</v>
      </c>
      <c r="B587" s="750" t="str">
        <f t="shared" si="165"/>
        <v>Special Education Teacher</v>
      </c>
      <c r="C587" s="561"/>
      <c r="D587" s="428"/>
      <c r="G587" s="1286">
        <f t="shared" si="166"/>
        <v>0</v>
      </c>
      <c r="H587" s="1286">
        <f t="shared" si="166"/>
        <v>0</v>
      </c>
      <c r="I587" s="1286">
        <f t="shared" si="166"/>
        <v>3545.7750000000001</v>
      </c>
      <c r="J587" s="1286">
        <f t="shared" si="166"/>
        <v>3652.1482499999997</v>
      </c>
      <c r="K587" s="1286">
        <f t="shared" si="166"/>
        <v>3761.7126975000001</v>
      </c>
      <c r="L587" s="1286">
        <f t="shared" si="166"/>
        <v>3874.5640784249995</v>
      </c>
      <c r="M587" s="1286">
        <f t="shared" si="166"/>
        <v>3990.8010007777493</v>
      </c>
      <c r="R587" s="282"/>
      <c r="S587" s="282"/>
      <c r="T587" s="282"/>
      <c r="U587" s="282"/>
      <c r="V587" s="282"/>
      <c r="W587" s="282"/>
      <c r="X587" s="282"/>
      <c r="Y587" s="282"/>
      <c r="Z587" s="282"/>
      <c r="AA587" s="282"/>
    </row>
    <row r="588" spans="1:27" s="431" customFormat="1" outlineLevel="2">
      <c r="A588" s="276">
        <f t="shared" si="164"/>
        <v>290</v>
      </c>
      <c r="B588" s="750" t="str">
        <f t="shared" si="165"/>
        <v>Special Education Teacher</v>
      </c>
      <c r="C588" s="561"/>
      <c r="D588" s="428"/>
      <c r="G588" s="1286">
        <f t="shared" si="166"/>
        <v>0</v>
      </c>
      <c r="H588" s="1286">
        <f t="shared" si="166"/>
        <v>0</v>
      </c>
      <c r="I588" s="1286">
        <f t="shared" si="166"/>
        <v>0</v>
      </c>
      <c r="J588" s="1286">
        <f t="shared" si="166"/>
        <v>0</v>
      </c>
      <c r="K588" s="1286">
        <f t="shared" si="166"/>
        <v>3761.7126975000001</v>
      </c>
      <c r="L588" s="1286">
        <f t="shared" si="166"/>
        <v>3874.5640784249995</v>
      </c>
      <c r="M588" s="1286">
        <f t="shared" si="166"/>
        <v>3990.8010007777493</v>
      </c>
      <c r="R588" s="282"/>
      <c r="S588" s="282"/>
      <c r="T588" s="282"/>
      <c r="U588" s="282"/>
      <c r="V588" s="282"/>
      <c r="W588" s="282"/>
      <c r="X588" s="282"/>
      <c r="Y588" s="282"/>
      <c r="Z588" s="282"/>
      <c r="AA588" s="282"/>
    </row>
    <row r="589" spans="1:27" s="431" customFormat="1" outlineLevel="2">
      <c r="A589" s="276">
        <f t="shared" si="164"/>
        <v>291</v>
      </c>
      <c r="B589" s="750" t="str">
        <f t="shared" si="165"/>
        <v>Special Education Teacher</v>
      </c>
      <c r="C589" s="561"/>
      <c r="D589" s="428"/>
      <c r="G589" s="1286">
        <f t="shared" si="166"/>
        <v>0</v>
      </c>
      <c r="H589" s="1286">
        <f t="shared" si="166"/>
        <v>0</v>
      </c>
      <c r="I589" s="1286">
        <f t="shared" si="166"/>
        <v>0</v>
      </c>
      <c r="J589" s="1286">
        <f t="shared" si="166"/>
        <v>0</v>
      </c>
      <c r="K589" s="1286">
        <f t="shared" si="166"/>
        <v>0</v>
      </c>
      <c r="L589" s="1286">
        <f t="shared" si="166"/>
        <v>0</v>
      </c>
      <c r="M589" s="1286">
        <f t="shared" si="166"/>
        <v>3990.8010007777493</v>
      </c>
      <c r="R589" s="282"/>
      <c r="S589" s="282"/>
      <c r="T589" s="282"/>
      <c r="U589" s="282"/>
      <c r="V589" s="282"/>
      <c r="W589" s="282"/>
      <c r="X589" s="282"/>
      <c r="Y589" s="282"/>
      <c r="Z589" s="282"/>
      <c r="AA589" s="282"/>
    </row>
    <row r="590" spans="1:27" s="431" customFormat="1" outlineLevel="2">
      <c r="A590" s="276">
        <f t="shared" si="164"/>
        <v>292</v>
      </c>
      <c r="B590" s="750">
        <f t="shared" si="165"/>
        <v>0</v>
      </c>
      <c r="C590" s="561"/>
      <c r="D590" s="428"/>
      <c r="G590" s="1286">
        <f t="shared" si="166"/>
        <v>0</v>
      </c>
      <c r="H590" s="1286">
        <f t="shared" si="166"/>
        <v>0</v>
      </c>
      <c r="I590" s="1286">
        <f t="shared" si="166"/>
        <v>0</v>
      </c>
      <c r="J590" s="1286">
        <f t="shared" si="166"/>
        <v>0</v>
      </c>
      <c r="K590" s="1286">
        <f t="shared" si="166"/>
        <v>0</v>
      </c>
      <c r="L590" s="1286">
        <f t="shared" si="166"/>
        <v>0</v>
      </c>
      <c r="M590" s="1286">
        <f t="shared" si="166"/>
        <v>0</v>
      </c>
      <c r="R590" s="282"/>
      <c r="S590" s="282"/>
      <c r="T590" s="282"/>
      <c r="U590" s="282"/>
      <c r="V590" s="282"/>
      <c r="W590" s="282"/>
      <c r="X590" s="282"/>
      <c r="Y590" s="282"/>
      <c r="Z590" s="282"/>
      <c r="AA590" s="282"/>
    </row>
    <row r="591" spans="1:27" s="431" customFormat="1" outlineLevel="2">
      <c r="A591" s="276">
        <f t="shared" si="164"/>
        <v>293</v>
      </c>
      <c r="B591" s="750">
        <f t="shared" si="165"/>
        <v>0</v>
      </c>
      <c r="C591" s="561"/>
      <c r="D591" s="428"/>
      <c r="G591" s="1286">
        <f t="shared" si="166"/>
        <v>0</v>
      </c>
      <c r="H591" s="1286">
        <f t="shared" si="166"/>
        <v>0</v>
      </c>
      <c r="I591" s="1286">
        <f t="shared" si="166"/>
        <v>0</v>
      </c>
      <c r="J591" s="1286">
        <f t="shared" si="166"/>
        <v>0</v>
      </c>
      <c r="K591" s="1286">
        <f t="shared" si="166"/>
        <v>0</v>
      </c>
      <c r="L591" s="1286">
        <f t="shared" si="166"/>
        <v>0</v>
      </c>
      <c r="M591" s="1286">
        <f t="shared" si="166"/>
        <v>0</v>
      </c>
      <c r="R591" s="282"/>
      <c r="S591" s="282"/>
      <c r="T591" s="282"/>
      <c r="U591" s="282"/>
      <c r="V591" s="282"/>
      <c r="W591" s="282"/>
      <c r="X591" s="282"/>
      <c r="Y591" s="282"/>
      <c r="Z591" s="282"/>
      <c r="AA591" s="282"/>
    </row>
    <row r="592" spans="1:27" s="431" customFormat="1" outlineLevel="2">
      <c r="A592" s="276">
        <f t="shared" si="164"/>
        <v>294</v>
      </c>
      <c r="B592" s="750">
        <f t="shared" si="165"/>
        <v>0</v>
      </c>
      <c r="C592" s="561"/>
      <c r="D592" s="428"/>
      <c r="G592" s="1286">
        <f t="shared" si="166"/>
        <v>0</v>
      </c>
      <c r="H592" s="1286">
        <f t="shared" si="166"/>
        <v>0</v>
      </c>
      <c r="I592" s="1286">
        <f t="shared" si="166"/>
        <v>0</v>
      </c>
      <c r="J592" s="1286">
        <f t="shared" si="166"/>
        <v>0</v>
      </c>
      <c r="K592" s="1286">
        <f t="shared" si="166"/>
        <v>0</v>
      </c>
      <c r="L592" s="1286">
        <f t="shared" si="166"/>
        <v>0</v>
      </c>
      <c r="M592" s="1286">
        <f t="shared" si="166"/>
        <v>0</v>
      </c>
      <c r="R592" s="282"/>
      <c r="S592" s="282"/>
      <c r="T592" s="282"/>
      <c r="U592" s="282"/>
      <c r="V592" s="282"/>
      <c r="W592" s="282"/>
      <c r="X592" s="282"/>
      <c r="Y592" s="282"/>
      <c r="Z592" s="282"/>
      <c r="AA592" s="282"/>
    </row>
    <row r="593" spans="1:27" s="431" customFormat="1" outlineLevel="2">
      <c r="A593" s="276">
        <f t="shared" si="164"/>
        <v>295</v>
      </c>
      <c r="B593" s="750">
        <f t="shared" si="165"/>
        <v>0</v>
      </c>
      <c r="C593" s="561"/>
      <c r="D593" s="428"/>
      <c r="G593" s="1286">
        <f t="shared" si="166"/>
        <v>0</v>
      </c>
      <c r="H593" s="1286">
        <f t="shared" si="166"/>
        <v>0</v>
      </c>
      <c r="I593" s="1286">
        <f t="shared" si="166"/>
        <v>0</v>
      </c>
      <c r="J593" s="1286">
        <f t="shared" si="166"/>
        <v>0</v>
      </c>
      <c r="K593" s="1286">
        <f t="shared" si="166"/>
        <v>0</v>
      </c>
      <c r="L593" s="1286">
        <f t="shared" si="166"/>
        <v>0</v>
      </c>
      <c r="M593" s="1286">
        <f t="shared" si="166"/>
        <v>0</v>
      </c>
      <c r="R593" s="282"/>
      <c r="S593" s="282"/>
      <c r="T593" s="282"/>
      <c r="U593" s="282"/>
      <c r="V593" s="282"/>
      <c r="W593" s="282"/>
      <c r="X593" s="282"/>
      <c r="Y593" s="282"/>
      <c r="Z593" s="282"/>
      <c r="AA593" s="282"/>
    </row>
    <row r="594" spans="1:27" s="431" customFormat="1" outlineLevel="2">
      <c r="A594" s="276">
        <f t="shared" si="164"/>
        <v>296</v>
      </c>
      <c r="B594" s="750">
        <f t="shared" si="165"/>
        <v>0</v>
      </c>
      <c r="C594" s="561"/>
      <c r="D594" s="428"/>
      <c r="G594" s="1286">
        <f t="shared" si="166"/>
        <v>0</v>
      </c>
      <c r="H594" s="1286">
        <f t="shared" si="166"/>
        <v>0</v>
      </c>
      <c r="I594" s="1286">
        <f t="shared" si="166"/>
        <v>0</v>
      </c>
      <c r="J594" s="1286">
        <f t="shared" si="166"/>
        <v>0</v>
      </c>
      <c r="K594" s="1286">
        <f t="shared" si="166"/>
        <v>0</v>
      </c>
      <c r="L594" s="1286">
        <f t="shared" si="166"/>
        <v>0</v>
      </c>
      <c r="M594" s="1286">
        <f t="shared" si="166"/>
        <v>0</v>
      </c>
      <c r="R594" s="282"/>
      <c r="S594" s="282"/>
      <c r="T594" s="282"/>
      <c r="U594" s="282"/>
      <c r="V594" s="282"/>
      <c r="W594" s="282"/>
      <c r="X594" s="282"/>
      <c r="Y594" s="282"/>
      <c r="Z594" s="282"/>
      <c r="AA594" s="282"/>
    </row>
    <row r="595" spans="1:27" s="431" customFormat="1" outlineLevel="2">
      <c r="A595" s="276">
        <f t="shared" si="164"/>
        <v>297</v>
      </c>
      <c r="B595" s="751" t="str">
        <f t="shared" si="165"/>
        <v xml:space="preserve">Total Special EducationTeachers </v>
      </c>
      <c r="C595" s="701"/>
      <c r="D595" s="702"/>
      <c r="E595" s="749"/>
      <c r="F595" s="749"/>
      <c r="G595" s="1292">
        <f t="shared" si="166"/>
        <v>0</v>
      </c>
      <c r="H595" s="1292">
        <f t="shared" si="166"/>
        <v>3442.5</v>
      </c>
      <c r="I595" s="1292">
        <f t="shared" si="166"/>
        <v>7091.55</v>
      </c>
      <c r="J595" s="1292">
        <f t="shared" si="166"/>
        <v>7304.2964999999995</v>
      </c>
      <c r="K595" s="1292">
        <f t="shared" si="166"/>
        <v>11285.138092500001</v>
      </c>
      <c r="L595" s="1292">
        <f t="shared" si="166"/>
        <v>11623.692235274997</v>
      </c>
      <c r="M595" s="1292">
        <f t="shared" si="166"/>
        <v>15963.204003110997</v>
      </c>
      <c r="R595" s="282"/>
      <c r="S595" s="282"/>
      <c r="T595" s="282"/>
      <c r="U595" s="282"/>
      <c r="V595" s="282"/>
      <c r="W595" s="282"/>
      <c r="X595" s="282"/>
      <c r="Y595" s="282"/>
      <c r="Z595" s="282"/>
      <c r="AA595" s="282"/>
    </row>
    <row r="596" spans="1:27" s="431" customFormat="1" outlineLevel="2">
      <c r="A596" s="276">
        <f t="shared" si="164"/>
        <v>298</v>
      </c>
      <c r="B596" s="750">
        <f t="shared" si="165"/>
        <v>0</v>
      </c>
      <c r="C596" s="561"/>
      <c r="D596" s="428"/>
      <c r="G596" s="1286"/>
      <c r="H596" s="1286"/>
      <c r="I596" s="1286"/>
      <c r="J596" s="1286"/>
      <c r="K596" s="1286"/>
      <c r="L596" s="1286"/>
      <c r="M596" s="1286"/>
      <c r="R596" s="282"/>
      <c r="S596" s="282"/>
      <c r="T596" s="282"/>
      <c r="U596" s="282"/>
      <c r="V596" s="282"/>
      <c r="W596" s="282"/>
      <c r="X596" s="282"/>
      <c r="Y596" s="282"/>
      <c r="Z596" s="282"/>
      <c r="AA596" s="282"/>
    </row>
    <row r="597" spans="1:27" s="431" customFormat="1" outlineLevel="2">
      <c r="A597" s="276">
        <f t="shared" si="164"/>
        <v>299</v>
      </c>
      <c r="B597" s="758" t="str">
        <f t="shared" si="165"/>
        <v>English Language Learner (ELL) Teachers</v>
      </c>
      <c r="C597" s="759"/>
      <c r="D597" s="756"/>
      <c r="E597" s="760"/>
      <c r="F597" s="760"/>
      <c r="G597" s="1291"/>
      <c r="H597" s="1291"/>
      <c r="I597" s="1291"/>
      <c r="J597" s="1291"/>
      <c r="K597" s="1291"/>
      <c r="L597" s="1291"/>
      <c r="M597" s="1291"/>
      <c r="R597" s="282"/>
      <c r="S597" s="282"/>
      <c r="T597" s="282"/>
      <c r="U597" s="282"/>
      <c r="V597" s="282"/>
      <c r="W597" s="282"/>
      <c r="X597" s="282"/>
      <c r="Y597" s="282"/>
      <c r="Z597" s="282"/>
      <c r="AA597" s="282"/>
    </row>
    <row r="598" spans="1:27" s="431" customFormat="1" outlineLevel="2">
      <c r="A598" s="276">
        <f t="shared" si="164"/>
        <v>300</v>
      </c>
      <c r="B598" s="757" t="str">
        <f t="shared" si="165"/>
        <v xml:space="preserve">EL Coordinator </v>
      </c>
      <c r="C598" s="561"/>
      <c r="D598" s="428"/>
      <c r="G598" s="1286">
        <f t="shared" ref="G598:M604" si="167">G300*$C$89</f>
        <v>0</v>
      </c>
      <c r="H598" s="1286">
        <f t="shared" si="167"/>
        <v>3442.5</v>
      </c>
      <c r="I598" s="1286">
        <f t="shared" si="167"/>
        <v>3545.7750000000001</v>
      </c>
      <c r="J598" s="1286">
        <f t="shared" si="167"/>
        <v>3652.1482499999997</v>
      </c>
      <c r="K598" s="1286">
        <f t="shared" si="167"/>
        <v>3761.7126975000001</v>
      </c>
      <c r="L598" s="1286">
        <f t="shared" si="167"/>
        <v>3874.5640784249995</v>
      </c>
      <c r="M598" s="1286">
        <f t="shared" si="167"/>
        <v>3990.8010007777493</v>
      </c>
      <c r="R598" s="282"/>
      <c r="S598" s="282"/>
      <c r="T598" s="282"/>
      <c r="U598" s="282"/>
      <c r="V598" s="282"/>
      <c r="W598" s="282"/>
      <c r="X598" s="282"/>
      <c r="Y598" s="282"/>
      <c r="Z598" s="282"/>
      <c r="AA598" s="282"/>
    </row>
    <row r="599" spans="1:27" s="431" customFormat="1" outlineLevel="2">
      <c r="A599" s="276">
        <f t="shared" si="164"/>
        <v>301</v>
      </c>
      <c r="B599" s="757" t="str">
        <f t="shared" si="165"/>
        <v>ELL Teacher</v>
      </c>
      <c r="C599" s="561"/>
      <c r="D599" s="428"/>
      <c r="G599" s="1286">
        <f t="shared" si="167"/>
        <v>0</v>
      </c>
      <c r="H599" s="1286">
        <f t="shared" si="167"/>
        <v>0</v>
      </c>
      <c r="I599" s="1286">
        <f t="shared" si="167"/>
        <v>0</v>
      </c>
      <c r="J599" s="1286">
        <f t="shared" si="167"/>
        <v>3652.1482499999997</v>
      </c>
      <c r="K599" s="1286">
        <f t="shared" si="167"/>
        <v>3761.7126975000001</v>
      </c>
      <c r="L599" s="1286">
        <f t="shared" si="167"/>
        <v>3874.5640784249995</v>
      </c>
      <c r="M599" s="1286">
        <f t="shared" si="167"/>
        <v>3990.8010007777493</v>
      </c>
      <c r="R599" s="282"/>
      <c r="S599" s="282"/>
      <c r="T599" s="282"/>
      <c r="U599" s="282"/>
      <c r="V599" s="282"/>
      <c r="W599" s="282"/>
      <c r="X599" s="282"/>
      <c r="Y599" s="282"/>
      <c r="Z599" s="282"/>
      <c r="AA599" s="282"/>
    </row>
    <row r="600" spans="1:27" s="431" customFormat="1" outlineLevel="2">
      <c r="A600" s="276">
        <f t="shared" si="164"/>
        <v>302</v>
      </c>
      <c r="B600" s="757" t="str">
        <f t="shared" si="165"/>
        <v>ELL Teacher</v>
      </c>
      <c r="C600" s="561"/>
      <c r="D600" s="428"/>
      <c r="G600" s="1286">
        <f t="shared" si="167"/>
        <v>0</v>
      </c>
      <c r="H600" s="1286">
        <f t="shared" si="167"/>
        <v>0</v>
      </c>
      <c r="I600" s="1286">
        <f t="shared" si="167"/>
        <v>0</v>
      </c>
      <c r="J600" s="1286">
        <f t="shared" si="167"/>
        <v>0</v>
      </c>
      <c r="K600" s="1286">
        <f t="shared" si="167"/>
        <v>0</v>
      </c>
      <c r="L600" s="1286">
        <f t="shared" si="167"/>
        <v>3874.5640784249995</v>
      </c>
      <c r="M600" s="1286">
        <f t="shared" si="167"/>
        <v>3990.8010007777493</v>
      </c>
      <c r="R600" s="282"/>
      <c r="S600" s="282"/>
      <c r="T600" s="282"/>
      <c r="U600" s="282"/>
      <c r="V600" s="282"/>
      <c r="W600" s="282"/>
      <c r="X600" s="282"/>
      <c r="Y600" s="282"/>
      <c r="Z600" s="282"/>
      <c r="AA600" s="282"/>
    </row>
    <row r="601" spans="1:27" s="431" customFormat="1" outlineLevel="2">
      <c r="A601" s="276">
        <f t="shared" si="164"/>
        <v>303</v>
      </c>
      <c r="B601" s="757">
        <f t="shared" si="165"/>
        <v>0</v>
      </c>
      <c r="C601" s="561"/>
      <c r="D601" s="428"/>
      <c r="G601" s="1286">
        <f t="shared" si="167"/>
        <v>0</v>
      </c>
      <c r="H601" s="1286">
        <f t="shared" si="167"/>
        <v>0</v>
      </c>
      <c r="I601" s="1286">
        <f t="shared" si="167"/>
        <v>0</v>
      </c>
      <c r="J601" s="1286">
        <f t="shared" si="167"/>
        <v>0</v>
      </c>
      <c r="K601" s="1286">
        <f t="shared" si="167"/>
        <v>0</v>
      </c>
      <c r="L601" s="1286">
        <f t="shared" si="167"/>
        <v>0</v>
      </c>
      <c r="M601" s="1286">
        <f t="shared" si="167"/>
        <v>0</v>
      </c>
      <c r="R601" s="282"/>
      <c r="S601" s="282"/>
      <c r="T601" s="282"/>
      <c r="U601" s="282"/>
      <c r="V601" s="282"/>
      <c r="W601" s="282"/>
      <c r="X601" s="282"/>
      <c r="Y601" s="282"/>
      <c r="Z601" s="282"/>
      <c r="AA601" s="282"/>
    </row>
    <row r="602" spans="1:27" s="431" customFormat="1" outlineLevel="2">
      <c r="A602" s="276">
        <f t="shared" si="164"/>
        <v>304</v>
      </c>
      <c r="B602" s="757">
        <f t="shared" si="165"/>
        <v>0</v>
      </c>
      <c r="C602" s="561"/>
      <c r="D602" s="428"/>
      <c r="G602" s="1286">
        <f t="shared" si="167"/>
        <v>0</v>
      </c>
      <c r="H602" s="1286">
        <f t="shared" si="167"/>
        <v>0</v>
      </c>
      <c r="I602" s="1286">
        <f t="shared" si="167"/>
        <v>0</v>
      </c>
      <c r="J602" s="1286">
        <f t="shared" si="167"/>
        <v>0</v>
      </c>
      <c r="K602" s="1286">
        <f t="shared" si="167"/>
        <v>0</v>
      </c>
      <c r="L602" s="1286">
        <f t="shared" si="167"/>
        <v>0</v>
      </c>
      <c r="M602" s="1286">
        <f t="shared" si="167"/>
        <v>0</v>
      </c>
      <c r="R602" s="282"/>
      <c r="S602" s="282"/>
      <c r="T602" s="282"/>
      <c r="U602" s="282"/>
      <c r="V602" s="282"/>
      <c r="W602" s="282"/>
      <c r="X602" s="282"/>
      <c r="Y602" s="282"/>
      <c r="Z602" s="282"/>
      <c r="AA602" s="282"/>
    </row>
    <row r="603" spans="1:27" s="431" customFormat="1" outlineLevel="2">
      <c r="A603" s="276">
        <f t="shared" si="164"/>
        <v>305</v>
      </c>
      <c r="B603" s="757">
        <f t="shared" si="165"/>
        <v>0</v>
      </c>
      <c r="C603" s="561"/>
      <c r="D603" s="428"/>
      <c r="G603" s="1286">
        <f t="shared" si="167"/>
        <v>0</v>
      </c>
      <c r="H603" s="1286">
        <f t="shared" si="167"/>
        <v>0</v>
      </c>
      <c r="I603" s="1286">
        <f t="shared" si="167"/>
        <v>0</v>
      </c>
      <c r="J603" s="1286">
        <f t="shared" si="167"/>
        <v>0</v>
      </c>
      <c r="K603" s="1286">
        <f t="shared" si="167"/>
        <v>0</v>
      </c>
      <c r="L603" s="1286">
        <f t="shared" si="167"/>
        <v>0</v>
      </c>
      <c r="M603" s="1286">
        <f t="shared" si="167"/>
        <v>0</v>
      </c>
      <c r="R603" s="282"/>
      <c r="S603" s="282"/>
      <c r="T603" s="282"/>
      <c r="U603" s="282"/>
      <c r="V603" s="282"/>
      <c r="W603" s="282"/>
      <c r="X603" s="282"/>
      <c r="Y603" s="282"/>
      <c r="Z603" s="282"/>
      <c r="AA603" s="282"/>
    </row>
    <row r="604" spans="1:27" s="431" customFormat="1" outlineLevel="2">
      <c r="A604" s="276">
        <f t="shared" si="164"/>
        <v>306</v>
      </c>
      <c r="B604" s="757">
        <f t="shared" si="165"/>
        <v>0</v>
      </c>
      <c r="C604" s="561"/>
      <c r="D604" s="428"/>
      <c r="G604" s="1286">
        <f t="shared" si="167"/>
        <v>0</v>
      </c>
      <c r="H604" s="1286">
        <f t="shared" si="167"/>
        <v>0</v>
      </c>
      <c r="I604" s="1286">
        <f t="shared" si="167"/>
        <v>0</v>
      </c>
      <c r="J604" s="1286">
        <f t="shared" si="167"/>
        <v>0</v>
      </c>
      <c r="K604" s="1286">
        <f t="shared" si="167"/>
        <v>0</v>
      </c>
      <c r="L604" s="1286">
        <f t="shared" si="167"/>
        <v>0</v>
      </c>
      <c r="M604" s="1286">
        <f t="shared" si="167"/>
        <v>0</v>
      </c>
      <c r="R604" s="282"/>
      <c r="S604" s="282"/>
      <c r="T604" s="282"/>
      <c r="U604" s="282"/>
      <c r="V604" s="282"/>
      <c r="W604" s="282"/>
      <c r="X604" s="282"/>
      <c r="Y604" s="282"/>
      <c r="Z604" s="282"/>
      <c r="AA604" s="282"/>
    </row>
    <row r="605" spans="1:27" s="431" customFormat="1" outlineLevel="2">
      <c r="A605" s="276">
        <f>ROW(A307)</f>
        <v>307</v>
      </c>
      <c r="B605" s="757">
        <f t="shared" si="165"/>
        <v>0</v>
      </c>
      <c r="C605" s="561"/>
      <c r="D605" s="428"/>
      <c r="G605" s="1286"/>
      <c r="H605" s="1286">
        <f t="shared" ref="H605:M605" si="168">H307*$C$89</f>
        <v>0</v>
      </c>
      <c r="I605" s="1286">
        <f t="shared" si="168"/>
        <v>0</v>
      </c>
      <c r="J605" s="1286">
        <f t="shared" si="168"/>
        <v>0</v>
      </c>
      <c r="K605" s="1286">
        <f t="shared" si="168"/>
        <v>0</v>
      </c>
      <c r="L605" s="1286">
        <f t="shared" si="168"/>
        <v>0</v>
      </c>
      <c r="M605" s="1286">
        <f t="shared" si="168"/>
        <v>0</v>
      </c>
      <c r="R605" s="282"/>
      <c r="S605" s="282"/>
      <c r="T605" s="282"/>
      <c r="U605" s="282"/>
      <c r="V605" s="282"/>
      <c r="W605" s="282"/>
      <c r="X605" s="282"/>
      <c r="Y605" s="282"/>
      <c r="Z605" s="282"/>
      <c r="AA605" s="282"/>
    </row>
    <row r="606" spans="1:27" s="431" customFormat="1" outlineLevel="2">
      <c r="A606" s="276"/>
      <c r="B606" s="1375">
        <f t="shared" si="165"/>
        <v>0</v>
      </c>
      <c r="C606" s="561"/>
      <c r="D606" s="428"/>
      <c r="G606" s="1289"/>
      <c r="H606" s="1289"/>
      <c r="I606" s="1286"/>
      <c r="J606" s="1286"/>
      <c r="K606" s="1286"/>
      <c r="L606" s="1286"/>
      <c r="M606" s="1286"/>
      <c r="R606" s="282"/>
      <c r="S606" s="282"/>
      <c r="T606" s="282"/>
      <c r="U606" s="282"/>
      <c r="V606" s="282"/>
      <c r="W606" s="282"/>
      <c r="X606" s="282"/>
      <c r="Y606" s="282"/>
      <c r="Z606" s="282"/>
      <c r="AA606" s="282"/>
    </row>
    <row r="607" spans="1:27" s="431" customFormat="1" outlineLevel="2">
      <c r="A607" s="276"/>
      <c r="B607" s="700" t="str">
        <f t="shared" si="165"/>
        <v>Total ELL Teachers</v>
      </c>
      <c r="C607" s="701"/>
      <c r="D607" s="702"/>
      <c r="E607" s="749"/>
      <c r="F607" s="749"/>
      <c r="G607" s="1287">
        <f t="shared" ref="G607:M607" si="169">SUM(G586:G605)</f>
        <v>0</v>
      </c>
      <c r="H607" s="1287">
        <f t="shared" si="169"/>
        <v>10327.5</v>
      </c>
      <c r="I607" s="1287">
        <f t="shared" si="169"/>
        <v>17728.875</v>
      </c>
      <c r="J607" s="1287">
        <f t="shared" si="169"/>
        <v>21912.889499999997</v>
      </c>
      <c r="K607" s="1287">
        <f t="shared" si="169"/>
        <v>30093.701580000001</v>
      </c>
      <c r="L607" s="1287">
        <f t="shared" si="169"/>
        <v>34871.076705824991</v>
      </c>
      <c r="M607" s="1287">
        <f t="shared" si="169"/>
        <v>43898.81100855524</v>
      </c>
      <c r="R607" s="282"/>
      <c r="S607" s="282"/>
      <c r="T607" s="282"/>
      <c r="U607" s="282"/>
      <c r="V607" s="282"/>
      <c r="W607" s="282"/>
      <c r="X607" s="282"/>
      <c r="Y607" s="282"/>
      <c r="Z607" s="282"/>
      <c r="AA607" s="282"/>
    </row>
    <row r="608" spans="1:27" s="431" customFormat="1" outlineLevel="2">
      <c r="A608" s="276"/>
      <c r="B608" s="428"/>
      <c r="C608" s="561"/>
      <c r="D608" s="428"/>
      <c r="G608" s="1286"/>
      <c r="H608" s="1286"/>
      <c r="I608" s="1286"/>
      <c r="J608" s="1286"/>
      <c r="K608" s="1286"/>
      <c r="L608" s="1286"/>
      <c r="M608" s="1286"/>
      <c r="R608" s="282"/>
      <c r="S608" s="282"/>
      <c r="T608" s="282"/>
      <c r="U608" s="282"/>
      <c r="V608" s="282"/>
      <c r="W608" s="282"/>
      <c r="X608" s="282"/>
      <c r="Y608" s="282"/>
      <c r="Z608" s="282"/>
      <c r="AA608" s="282"/>
    </row>
    <row r="609" spans="1:27" s="428" customFormat="1" outlineLevel="2">
      <c r="A609" s="276">
        <f t="shared" ref="A609:A645" si="170">ROW(A311)</f>
        <v>311</v>
      </c>
      <c r="B609" s="753" t="str">
        <f t="shared" ref="B609:B617" si="171">$B311</f>
        <v>Guidance Counselor &amp; Other</v>
      </c>
      <c r="C609" s="754"/>
      <c r="D609" s="755"/>
      <c r="E609" s="756"/>
      <c r="F609" s="756"/>
      <c r="G609" s="1291"/>
      <c r="H609" s="1291"/>
      <c r="I609" s="1291"/>
      <c r="J609" s="1291"/>
      <c r="K609" s="1291"/>
      <c r="L609" s="1291"/>
      <c r="M609" s="1291"/>
      <c r="R609" s="282"/>
      <c r="S609" s="282"/>
      <c r="T609" s="282"/>
      <c r="U609" s="282"/>
      <c r="V609" s="282"/>
      <c r="W609" s="282"/>
      <c r="X609" s="282"/>
      <c r="Y609" s="282"/>
      <c r="Z609" s="282"/>
      <c r="AA609" s="282"/>
    </row>
    <row r="610" spans="1:27" s="428" customFormat="1" outlineLevel="2">
      <c r="A610" s="276">
        <f t="shared" si="170"/>
        <v>312</v>
      </c>
      <c r="B610" s="757" t="str">
        <f t="shared" si="171"/>
        <v>Counselor</v>
      </c>
      <c r="C610" s="560"/>
      <c r="D610" s="429"/>
      <c r="G610" s="1286">
        <f t="shared" ref="G610:M610" si="172">G312*$C$89</f>
        <v>0</v>
      </c>
      <c r="H610" s="1286">
        <f t="shared" si="172"/>
        <v>0</v>
      </c>
      <c r="I610" s="1286">
        <f t="shared" si="172"/>
        <v>3939.75</v>
      </c>
      <c r="J610" s="1286">
        <f t="shared" si="172"/>
        <v>4057.9425000000001</v>
      </c>
      <c r="K610" s="1286">
        <f t="shared" si="172"/>
        <v>4179.6807749999998</v>
      </c>
      <c r="L610" s="1286">
        <f t="shared" si="172"/>
        <v>4305.0711982499997</v>
      </c>
      <c r="M610" s="1286">
        <f t="shared" si="172"/>
        <v>4434.2233341974988</v>
      </c>
      <c r="R610" s="282"/>
      <c r="S610" s="282"/>
      <c r="T610" s="282"/>
      <c r="U610" s="282"/>
      <c r="V610" s="282"/>
      <c r="W610" s="282"/>
      <c r="X610" s="282"/>
      <c r="Y610" s="282"/>
      <c r="Z610" s="282"/>
      <c r="AA610" s="282"/>
    </row>
    <row r="611" spans="1:27" s="428" customFormat="1" outlineLevel="2">
      <c r="A611" s="276">
        <f t="shared" si="170"/>
        <v>313</v>
      </c>
      <c r="B611" s="757" t="str">
        <f t="shared" si="171"/>
        <v>Counselor</v>
      </c>
      <c r="C611" s="560"/>
      <c r="D611" s="429"/>
      <c r="G611" s="1286">
        <f t="shared" ref="G611:M611" si="173">G313*$C$89</f>
        <v>0</v>
      </c>
      <c r="H611" s="1286">
        <f t="shared" si="173"/>
        <v>0</v>
      </c>
      <c r="I611" s="1286">
        <f t="shared" si="173"/>
        <v>0</v>
      </c>
      <c r="J611" s="1286">
        <f t="shared" si="173"/>
        <v>4057.9425000000001</v>
      </c>
      <c r="K611" s="1286">
        <f t="shared" si="173"/>
        <v>4179.6807749999998</v>
      </c>
      <c r="L611" s="1286">
        <f t="shared" si="173"/>
        <v>4305.0711982499997</v>
      </c>
      <c r="M611" s="1286">
        <f t="shared" si="173"/>
        <v>4434.2233341974988</v>
      </c>
      <c r="R611" s="282"/>
      <c r="S611" s="282"/>
      <c r="T611" s="282"/>
      <c r="U611" s="282"/>
      <c r="V611" s="282"/>
      <c r="W611" s="282"/>
      <c r="X611" s="282"/>
      <c r="Y611" s="282"/>
      <c r="Z611" s="282"/>
      <c r="AA611" s="282"/>
    </row>
    <row r="612" spans="1:27" s="428" customFormat="1" outlineLevel="2">
      <c r="A612" s="276">
        <f t="shared" si="170"/>
        <v>314</v>
      </c>
      <c r="B612" s="757" t="str">
        <f t="shared" si="171"/>
        <v xml:space="preserve">Janitor / Maintenance </v>
      </c>
      <c r="C612" s="560"/>
      <c r="D612" s="429"/>
      <c r="G612" s="1286"/>
      <c r="H612" s="1286"/>
      <c r="I612" s="1286"/>
      <c r="J612" s="1286"/>
      <c r="K612" s="1286"/>
      <c r="L612" s="1286"/>
      <c r="M612" s="1286"/>
      <c r="R612" s="282"/>
      <c r="S612" s="282"/>
      <c r="T612" s="282"/>
      <c r="U612" s="282"/>
      <c r="V612" s="282"/>
      <c r="W612" s="282"/>
      <c r="X612" s="282"/>
      <c r="Y612" s="282"/>
      <c r="Z612" s="282"/>
      <c r="AA612" s="282"/>
    </row>
    <row r="613" spans="1:27" s="428" customFormat="1" outlineLevel="2">
      <c r="A613" s="276">
        <f t="shared" si="170"/>
        <v>315</v>
      </c>
      <c r="B613" s="757" t="str">
        <f t="shared" si="171"/>
        <v xml:space="preserve">Janitor / Maintenance </v>
      </c>
      <c r="C613" s="560"/>
      <c r="D613" s="429"/>
      <c r="G613" s="1286">
        <f t="shared" ref="G613:M613" si="174">G315*$C$89</f>
        <v>0</v>
      </c>
      <c r="H613" s="1286">
        <f t="shared" si="174"/>
        <v>0</v>
      </c>
      <c r="I613" s="1286">
        <f t="shared" si="174"/>
        <v>0</v>
      </c>
      <c r="J613" s="1286">
        <f t="shared" si="174"/>
        <v>2434.7655</v>
      </c>
      <c r="K613" s="1286">
        <f t="shared" si="174"/>
        <v>2507.8084649999996</v>
      </c>
      <c r="L613" s="1286">
        <f t="shared" si="174"/>
        <v>2583.0427189499997</v>
      </c>
      <c r="M613" s="1286">
        <f t="shared" si="174"/>
        <v>2660.5340005184994</v>
      </c>
      <c r="R613" s="282"/>
      <c r="S613" s="282"/>
      <c r="T613" s="282"/>
      <c r="U613" s="282"/>
      <c r="V613" s="282"/>
      <c r="W613" s="282"/>
      <c r="X613" s="282"/>
      <c r="Y613" s="282"/>
      <c r="Z613" s="282"/>
      <c r="AA613" s="282"/>
    </row>
    <row r="614" spans="1:27" s="428" customFormat="1" outlineLevel="2">
      <c r="A614" s="276">
        <f t="shared" si="170"/>
        <v>316</v>
      </c>
      <c r="B614" s="757">
        <f t="shared" si="171"/>
        <v>0</v>
      </c>
      <c r="C614" s="560"/>
      <c r="D614" s="429"/>
      <c r="G614" s="1286">
        <f t="shared" ref="G614:M614" si="175">G316*$C$89</f>
        <v>0</v>
      </c>
      <c r="H614" s="1286">
        <f t="shared" si="175"/>
        <v>0</v>
      </c>
      <c r="I614" s="1286">
        <f t="shared" si="175"/>
        <v>0</v>
      </c>
      <c r="J614" s="1286">
        <f t="shared" si="175"/>
        <v>0</v>
      </c>
      <c r="K614" s="1286">
        <f t="shared" si="175"/>
        <v>0</v>
      </c>
      <c r="L614" s="1286">
        <f t="shared" si="175"/>
        <v>0</v>
      </c>
      <c r="M614" s="1286">
        <f t="shared" si="175"/>
        <v>0</v>
      </c>
      <c r="R614" s="282"/>
      <c r="S614" s="282"/>
      <c r="T614" s="282"/>
      <c r="U614" s="282"/>
      <c r="V614" s="282"/>
      <c r="W614" s="282"/>
      <c r="X614" s="282"/>
      <c r="Y614" s="282"/>
      <c r="Z614" s="282"/>
      <c r="AA614" s="282"/>
    </row>
    <row r="615" spans="1:27" s="428" customFormat="1" outlineLevel="2">
      <c r="A615" s="276">
        <f t="shared" si="170"/>
        <v>317</v>
      </c>
      <c r="B615" s="757" t="str">
        <f t="shared" si="171"/>
        <v>Plan Manager</v>
      </c>
      <c r="C615" s="560"/>
      <c r="D615" s="429"/>
      <c r="G615" s="1286">
        <f t="shared" ref="G615:M615" si="176">G317*$C$89</f>
        <v>0</v>
      </c>
      <c r="H615" s="1286">
        <f t="shared" si="176"/>
        <v>0</v>
      </c>
      <c r="I615" s="1286">
        <f t="shared" si="176"/>
        <v>0</v>
      </c>
      <c r="J615" s="1286">
        <f t="shared" si="176"/>
        <v>0</v>
      </c>
      <c r="K615" s="1286">
        <f t="shared" si="176"/>
        <v>0</v>
      </c>
      <c r="L615" s="1286">
        <f t="shared" si="176"/>
        <v>0</v>
      </c>
      <c r="M615" s="1286">
        <f t="shared" si="176"/>
        <v>4434.2233341974988</v>
      </c>
      <c r="R615" s="282"/>
      <c r="S615" s="282"/>
      <c r="T615" s="282"/>
      <c r="U615" s="282"/>
      <c r="V615" s="282"/>
      <c r="W615" s="282"/>
      <c r="X615" s="282"/>
      <c r="Y615" s="282"/>
      <c r="Z615" s="282"/>
      <c r="AA615" s="282"/>
    </row>
    <row r="616" spans="1:27" s="428" customFormat="1" outlineLevel="2">
      <c r="A616" s="276">
        <f t="shared" si="170"/>
        <v>318</v>
      </c>
      <c r="B616" s="757" t="str">
        <f t="shared" si="171"/>
        <v>IT Support Technician</v>
      </c>
      <c r="C616" s="560"/>
      <c r="D616" s="429"/>
      <c r="G616" s="1286">
        <f t="shared" ref="G616:M616" si="177">G318*$C$89</f>
        <v>0</v>
      </c>
      <c r="H616" s="1286">
        <f t="shared" si="177"/>
        <v>2295</v>
      </c>
      <c r="I616" s="1286">
        <f t="shared" si="177"/>
        <v>2363.85</v>
      </c>
      <c r="J616" s="1286">
        <f t="shared" si="177"/>
        <v>2434.7655</v>
      </c>
      <c r="K616" s="1286">
        <f t="shared" si="177"/>
        <v>2507.8084649999996</v>
      </c>
      <c r="L616" s="1286">
        <f t="shared" si="177"/>
        <v>2583.0427189499997</v>
      </c>
      <c r="M616" s="1286">
        <f t="shared" si="177"/>
        <v>2660.5340005184994</v>
      </c>
      <c r="R616" s="282"/>
      <c r="S616" s="282"/>
      <c r="T616" s="282"/>
      <c r="U616" s="282"/>
      <c r="V616" s="282"/>
      <c r="W616" s="282"/>
      <c r="X616" s="282"/>
      <c r="Y616" s="282"/>
      <c r="Z616" s="282"/>
      <c r="AA616" s="282"/>
    </row>
    <row r="617" spans="1:27" s="428" customFormat="1" outlineLevel="2">
      <c r="A617" s="276">
        <f t="shared" si="170"/>
        <v>319</v>
      </c>
      <c r="B617" s="757" t="str">
        <f t="shared" si="171"/>
        <v>IT Support Technician</v>
      </c>
      <c r="C617" s="560"/>
      <c r="D617" s="429"/>
      <c r="G617" s="1286">
        <f t="shared" ref="G617:M617" si="178">G319*$C$89</f>
        <v>0</v>
      </c>
      <c r="H617" s="1286">
        <f t="shared" si="178"/>
        <v>0</v>
      </c>
      <c r="I617" s="1286">
        <f t="shared" si="178"/>
        <v>0</v>
      </c>
      <c r="J617" s="1286">
        <f t="shared" si="178"/>
        <v>2434.7655</v>
      </c>
      <c r="K617" s="1286">
        <f t="shared" si="178"/>
        <v>2507.8084649999996</v>
      </c>
      <c r="L617" s="1286">
        <f t="shared" si="178"/>
        <v>2583.0427189499997</v>
      </c>
      <c r="M617" s="1286">
        <f t="shared" si="178"/>
        <v>2660.5340005184994</v>
      </c>
      <c r="R617" s="282"/>
      <c r="S617" s="282"/>
      <c r="T617" s="282"/>
      <c r="U617" s="282"/>
      <c r="V617" s="282"/>
      <c r="W617" s="282"/>
      <c r="X617" s="282"/>
      <c r="Y617" s="282"/>
      <c r="Z617" s="282"/>
      <c r="AA617" s="282"/>
    </row>
    <row r="618" spans="1:27" s="428" customFormat="1" outlineLevel="2">
      <c r="A618" s="276">
        <f t="shared" si="170"/>
        <v>320</v>
      </c>
      <c r="C618" s="560"/>
      <c r="D618" s="429"/>
      <c r="G618" s="1286"/>
      <c r="H618" s="1286"/>
      <c r="I618" s="1286"/>
      <c r="J618" s="1286"/>
      <c r="K618" s="1286"/>
      <c r="L618" s="1286"/>
      <c r="M618" s="1286"/>
      <c r="R618" s="282"/>
      <c r="S618" s="282"/>
      <c r="T618" s="282"/>
      <c r="U618" s="282"/>
      <c r="V618" s="282"/>
      <c r="W618" s="282"/>
      <c r="X618" s="282"/>
      <c r="Y618" s="282"/>
      <c r="Z618" s="282"/>
      <c r="AA618" s="282"/>
    </row>
    <row r="619" spans="1:27" s="428" customFormat="1" outlineLevel="2">
      <c r="A619" s="276">
        <f t="shared" si="170"/>
        <v>321</v>
      </c>
      <c r="B619" s="700" t="str">
        <f>$B321</f>
        <v>Total Guidance Counselors/Other</v>
      </c>
      <c r="C619" s="732"/>
      <c r="D619" s="752"/>
      <c r="E619" s="702"/>
      <c r="F619" s="702"/>
      <c r="G619" s="1292">
        <f t="shared" ref="G619:M623" si="179">G321*$C$89</f>
        <v>0</v>
      </c>
      <c r="H619" s="1292">
        <f t="shared" si="179"/>
        <v>4590</v>
      </c>
      <c r="I619" s="1292">
        <f t="shared" si="179"/>
        <v>11425.275</v>
      </c>
      <c r="J619" s="1292">
        <f t="shared" si="179"/>
        <v>20695.50675</v>
      </c>
      <c r="K619" s="1292">
        <f t="shared" si="179"/>
        <v>21316.371952500001</v>
      </c>
      <c r="L619" s="1292">
        <f t="shared" si="179"/>
        <v>21955.863111074992</v>
      </c>
      <c r="M619" s="1292">
        <f t="shared" si="179"/>
        <v>27048.762338604742</v>
      </c>
      <c r="R619" s="282"/>
      <c r="S619" s="282"/>
      <c r="T619" s="282"/>
      <c r="U619" s="282"/>
      <c r="V619" s="282"/>
      <c r="W619" s="282"/>
      <c r="X619" s="282"/>
      <c r="Y619" s="282"/>
      <c r="Z619" s="282"/>
      <c r="AA619" s="282"/>
    </row>
    <row r="620" spans="1:27" s="428" customFormat="1" outlineLevel="2">
      <c r="A620" s="276">
        <f t="shared" si="170"/>
        <v>322</v>
      </c>
      <c r="B620" s="757">
        <f>$B322</f>
        <v>0</v>
      </c>
      <c r="C620" s="560"/>
      <c r="D620" s="429"/>
      <c r="G620" s="1286">
        <f t="shared" si="179"/>
        <v>0</v>
      </c>
      <c r="H620" s="1286">
        <f t="shared" si="179"/>
        <v>0</v>
      </c>
      <c r="I620" s="1286">
        <f t="shared" si="179"/>
        <v>0</v>
      </c>
      <c r="J620" s="1286">
        <f t="shared" si="179"/>
        <v>0</v>
      </c>
      <c r="K620" s="1286">
        <f t="shared" si="179"/>
        <v>0</v>
      </c>
      <c r="L620" s="1286">
        <f t="shared" si="179"/>
        <v>0</v>
      </c>
      <c r="M620" s="1286">
        <f t="shared" si="179"/>
        <v>0</v>
      </c>
      <c r="R620" s="282"/>
      <c r="S620" s="282"/>
      <c r="T620" s="282"/>
      <c r="U620" s="282"/>
      <c r="V620" s="282"/>
      <c r="W620" s="282"/>
      <c r="X620" s="282"/>
      <c r="Y620" s="282"/>
      <c r="Z620" s="282"/>
      <c r="AA620" s="282"/>
    </row>
    <row r="621" spans="1:27" s="428" customFormat="1" outlineLevel="2">
      <c r="A621" s="276">
        <f t="shared" si="170"/>
        <v>323</v>
      </c>
      <c r="B621" s="757">
        <f>$B323</f>
        <v>0</v>
      </c>
      <c r="C621" s="560"/>
      <c r="D621" s="429"/>
      <c r="G621" s="1286">
        <f t="shared" si="179"/>
        <v>0</v>
      </c>
      <c r="H621" s="1286">
        <f t="shared" si="179"/>
        <v>0</v>
      </c>
      <c r="I621" s="1286">
        <f t="shared" si="179"/>
        <v>0</v>
      </c>
      <c r="J621" s="1286">
        <f t="shared" si="179"/>
        <v>0</v>
      </c>
      <c r="K621" s="1286">
        <f t="shared" si="179"/>
        <v>0</v>
      </c>
      <c r="L621" s="1286">
        <f t="shared" si="179"/>
        <v>0</v>
      </c>
      <c r="M621" s="1286">
        <f t="shared" si="179"/>
        <v>0</v>
      </c>
      <c r="R621" s="282"/>
      <c r="S621" s="282"/>
      <c r="T621" s="282"/>
      <c r="U621" s="282"/>
      <c r="V621" s="282"/>
      <c r="W621" s="282"/>
      <c r="X621" s="282"/>
      <c r="Y621" s="282"/>
      <c r="Z621" s="282"/>
      <c r="AA621" s="282"/>
    </row>
    <row r="622" spans="1:27" s="428" customFormat="1" outlineLevel="2">
      <c r="A622" s="276">
        <f t="shared" si="170"/>
        <v>324</v>
      </c>
      <c r="B622" s="757">
        <f>$B324</f>
        <v>0</v>
      </c>
      <c r="C622" s="560"/>
      <c r="D622" s="429"/>
      <c r="G622" s="1286">
        <f t="shared" si="179"/>
        <v>0</v>
      </c>
      <c r="H622" s="1286">
        <f t="shared" si="179"/>
        <v>0</v>
      </c>
      <c r="I622" s="1286">
        <f t="shared" si="179"/>
        <v>0</v>
      </c>
      <c r="J622" s="1286">
        <f t="shared" si="179"/>
        <v>0</v>
      </c>
      <c r="K622" s="1286">
        <f t="shared" si="179"/>
        <v>0</v>
      </c>
      <c r="L622" s="1286">
        <f t="shared" si="179"/>
        <v>0</v>
      </c>
      <c r="M622" s="1286">
        <f t="shared" si="179"/>
        <v>0</v>
      </c>
      <c r="R622" s="282"/>
      <c r="S622" s="282"/>
      <c r="T622" s="282"/>
      <c r="U622" s="282"/>
      <c r="V622" s="282"/>
      <c r="W622" s="282"/>
      <c r="X622" s="282"/>
      <c r="Y622" s="282"/>
      <c r="Z622" s="282"/>
      <c r="AA622" s="282"/>
    </row>
    <row r="623" spans="1:27" s="428" customFormat="1" outlineLevel="2">
      <c r="A623" s="276">
        <f t="shared" si="170"/>
        <v>325</v>
      </c>
      <c r="B623" s="757">
        <f>$B325</f>
        <v>0</v>
      </c>
      <c r="C623" s="560"/>
      <c r="D623" s="429"/>
      <c r="G623" s="1286">
        <f t="shared" si="179"/>
        <v>0</v>
      </c>
      <c r="H623" s="1286">
        <f t="shared" si="179"/>
        <v>0</v>
      </c>
      <c r="I623" s="1286">
        <f t="shared" si="179"/>
        <v>0</v>
      </c>
      <c r="J623" s="1286">
        <f t="shared" si="179"/>
        <v>0</v>
      </c>
      <c r="K623" s="1286">
        <f t="shared" si="179"/>
        <v>0</v>
      </c>
      <c r="L623" s="1286">
        <f t="shared" si="179"/>
        <v>0</v>
      </c>
      <c r="M623" s="1286">
        <f t="shared" si="179"/>
        <v>0</v>
      </c>
      <c r="R623" s="282"/>
      <c r="S623" s="282"/>
      <c r="T623" s="282"/>
      <c r="U623" s="282"/>
      <c r="V623" s="282"/>
      <c r="W623" s="282"/>
      <c r="X623" s="282"/>
      <c r="Y623" s="282"/>
      <c r="Z623" s="282"/>
      <c r="AA623" s="282"/>
    </row>
    <row r="624" spans="1:27" s="428" customFormat="1" outlineLevel="2">
      <c r="A624" s="276">
        <f t="shared" si="170"/>
        <v>326</v>
      </c>
      <c r="B624" s="757"/>
      <c r="C624" s="560"/>
      <c r="D624" s="429"/>
      <c r="G624" s="1286"/>
      <c r="H624" s="1286"/>
      <c r="I624" s="1286"/>
      <c r="J624" s="1286"/>
      <c r="K624" s="1286"/>
      <c r="L624" s="1286"/>
      <c r="M624" s="1286"/>
      <c r="R624" s="282"/>
      <c r="S624" s="282"/>
      <c r="T624" s="282"/>
      <c r="U624" s="282"/>
      <c r="V624" s="282"/>
      <c r="W624" s="282"/>
      <c r="X624" s="282"/>
      <c r="Y624" s="282"/>
      <c r="Z624" s="282"/>
      <c r="AA624" s="282"/>
    </row>
    <row r="625" spans="1:27" s="428" customFormat="1" outlineLevel="2">
      <c r="A625" s="276">
        <f t="shared" si="170"/>
        <v>327</v>
      </c>
      <c r="B625" s="757" t="str">
        <f>$B327</f>
        <v>Kindergarten Teacher</v>
      </c>
      <c r="C625" s="560"/>
      <c r="D625" s="429"/>
      <c r="G625" s="1286">
        <f t="shared" ref="G625:M629" si="180">G327*$C$89</f>
        <v>0</v>
      </c>
      <c r="H625" s="1286">
        <f t="shared" si="180"/>
        <v>3633.75</v>
      </c>
      <c r="I625" s="1286">
        <f t="shared" si="180"/>
        <v>3742.7624999999998</v>
      </c>
      <c r="J625" s="1286">
        <f t="shared" si="180"/>
        <v>3855.0453750000001</v>
      </c>
      <c r="K625" s="1286">
        <f t="shared" si="180"/>
        <v>3970.69673625</v>
      </c>
      <c r="L625" s="1286">
        <f t="shared" si="180"/>
        <v>4089.8176383374998</v>
      </c>
      <c r="M625" s="1286">
        <f t="shared" si="180"/>
        <v>4212.5121674876245</v>
      </c>
      <c r="R625" s="282"/>
      <c r="S625" s="282"/>
      <c r="T625" s="282"/>
      <c r="U625" s="282"/>
      <c r="V625" s="282"/>
      <c r="W625" s="282"/>
      <c r="X625" s="282"/>
      <c r="Y625" s="282"/>
      <c r="Z625" s="282"/>
      <c r="AA625" s="282"/>
    </row>
    <row r="626" spans="1:27" s="428" customFormat="1" outlineLevel="2">
      <c r="A626" s="276">
        <f t="shared" si="170"/>
        <v>328</v>
      </c>
      <c r="B626" s="757" t="str">
        <f>$B328</f>
        <v>Kindergarten Teacher</v>
      </c>
      <c r="C626" s="560"/>
      <c r="D626" s="429"/>
      <c r="G626" s="1286">
        <f t="shared" si="180"/>
        <v>0</v>
      </c>
      <c r="H626" s="1286">
        <f t="shared" si="180"/>
        <v>3633.75</v>
      </c>
      <c r="I626" s="1286">
        <f t="shared" si="180"/>
        <v>3742.7624999999998</v>
      </c>
      <c r="J626" s="1286">
        <f t="shared" si="180"/>
        <v>3855.0453750000001</v>
      </c>
      <c r="K626" s="1286">
        <f t="shared" si="180"/>
        <v>3970.69673625</v>
      </c>
      <c r="L626" s="1286">
        <f t="shared" si="180"/>
        <v>4089.8176383374998</v>
      </c>
      <c r="M626" s="1286">
        <f t="shared" si="180"/>
        <v>4212.5121674876245</v>
      </c>
      <c r="R626" s="282"/>
      <c r="S626" s="282"/>
      <c r="T626" s="282"/>
      <c r="U626" s="282"/>
      <c r="V626" s="282"/>
      <c r="W626" s="282"/>
      <c r="X626" s="282"/>
      <c r="Y626" s="282"/>
      <c r="Z626" s="282"/>
      <c r="AA626" s="282"/>
    </row>
    <row r="627" spans="1:27" s="428" customFormat="1" outlineLevel="2">
      <c r="A627" s="276">
        <f t="shared" si="170"/>
        <v>329</v>
      </c>
      <c r="B627" s="757" t="str">
        <f>$B329</f>
        <v>Kindergarten Teacher</v>
      </c>
      <c r="C627" s="560"/>
      <c r="D627" s="429"/>
      <c r="G627" s="1286">
        <f t="shared" si="180"/>
        <v>0</v>
      </c>
      <c r="H627" s="1286">
        <f t="shared" si="180"/>
        <v>3633.75</v>
      </c>
      <c r="I627" s="1286">
        <f t="shared" si="180"/>
        <v>3742.7624999999998</v>
      </c>
      <c r="J627" s="1286">
        <f t="shared" si="180"/>
        <v>3855.0453750000001</v>
      </c>
      <c r="K627" s="1286">
        <f t="shared" si="180"/>
        <v>3970.69673625</v>
      </c>
      <c r="L627" s="1286">
        <f t="shared" si="180"/>
        <v>4089.8176383374998</v>
      </c>
      <c r="M627" s="1286">
        <f t="shared" si="180"/>
        <v>4212.5121674876245</v>
      </c>
      <c r="R627" s="282"/>
      <c r="S627" s="282"/>
      <c r="T627" s="282"/>
      <c r="U627" s="282"/>
      <c r="V627" s="282"/>
      <c r="W627" s="282"/>
      <c r="X627" s="282"/>
      <c r="Y627" s="282"/>
      <c r="Z627" s="282"/>
      <c r="AA627" s="282"/>
    </row>
    <row r="628" spans="1:27" s="428" customFormat="1" outlineLevel="2">
      <c r="A628" s="276">
        <f t="shared" si="170"/>
        <v>330</v>
      </c>
      <c r="B628" s="757">
        <f>$B330</f>
        <v>0</v>
      </c>
      <c r="C628" s="560"/>
      <c r="D628" s="429"/>
      <c r="G628" s="1286">
        <f t="shared" si="180"/>
        <v>0</v>
      </c>
      <c r="H628" s="1286">
        <f t="shared" si="180"/>
        <v>0</v>
      </c>
      <c r="I628" s="1286">
        <f t="shared" si="180"/>
        <v>0</v>
      </c>
      <c r="J628" s="1286">
        <f t="shared" si="180"/>
        <v>0</v>
      </c>
      <c r="K628" s="1286">
        <f t="shared" si="180"/>
        <v>0</v>
      </c>
      <c r="L628" s="1286">
        <f t="shared" si="180"/>
        <v>0</v>
      </c>
      <c r="M628" s="1286">
        <f t="shared" si="180"/>
        <v>0</v>
      </c>
      <c r="R628" s="282"/>
      <c r="S628" s="282"/>
      <c r="T628" s="282"/>
      <c r="U628" s="282"/>
      <c r="V628" s="282"/>
      <c r="W628" s="282"/>
      <c r="X628" s="282"/>
      <c r="Y628" s="282"/>
      <c r="Z628" s="282"/>
      <c r="AA628" s="282"/>
    </row>
    <row r="629" spans="1:27" s="431" customFormat="1" outlineLevel="2">
      <c r="A629" s="276">
        <f t="shared" si="170"/>
        <v>331</v>
      </c>
      <c r="B629" s="757">
        <f>$B331</f>
        <v>0</v>
      </c>
      <c r="C629" s="560"/>
      <c r="D629" s="429"/>
      <c r="G629" s="1286">
        <f t="shared" si="180"/>
        <v>0</v>
      </c>
      <c r="H629" s="1286">
        <f t="shared" si="180"/>
        <v>0</v>
      </c>
      <c r="I629" s="1286">
        <f t="shared" si="180"/>
        <v>0</v>
      </c>
      <c r="J629" s="1286">
        <f t="shared" si="180"/>
        <v>0</v>
      </c>
      <c r="K629" s="1286">
        <f t="shared" si="180"/>
        <v>0</v>
      </c>
      <c r="L629" s="1286">
        <f t="shared" si="180"/>
        <v>0</v>
      </c>
      <c r="M629" s="1286">
        <f t="shared" si="180"/>
        <v>0</v>
      </c>
      <c r="R629" s="282"/>
      <c r="S629" s="282"/>
      <c r="T629" s="282"/>
      <c r="U629" s="282"/>
      <c r="V629" s="282"/>
      <c r="W629" s="282"/>
      <c r="X629" s="282"/>
      <c r="Y629" s="282"/>
      <c r="Z629" s="282"/>
      <c r="AA629" s="282"/>
    </row>
    <row r="630" spans="1:27" s="431" customFormat="1" outlineLevel="2">
      <c r="A630" s="276">
        <f t="shared" si="170"/>
        <v>332</v>
      </c>
      <c r="B630" s="757"/>
      <c r="C630" s="561"/>
      <c r="D630" s="428"/>
      <c r="G630" s="1286"/>
      <c r="H630" s="1286"/>
      <c r="I630" s="1286"/>
      <c r="J630" s="1286"/>
      <c r="K630" s="1286"/>
      <c r="L630" s="1286"/>
      <c r="M630" s="1286"/>
      <c r="R630" s="282"/>
      <c r="S630" s="282"/>
      <c r="T630" s="282"/>
      <c r="U630" s="282"/>
      <c r="V630" s="282"/>
      <c r="W630" s="282"/>
      <c r="X630" s="282"/>
      <c r="Y630" s="282"/>
      <c r="Z630" s="282"/>
      <c r="AA630" s="282"/>
    </row>
    <row r="631" spans="1:27" s="428" customFormat="1" outlineLevel="2">
      <c r="A631" s="276">
        <f t="shared" si="170"/>
        <v>333</v>
      </c>
      <c r="B631" s="757" t="str">
        <f>$B333</f>
        <v>1st Grade Teacher</v>
      </c>
      <c r="C631" s="560"/>
      <c r="D631" s="429"/>
      <c r="G631" s="1286">
        <f t="shared" ref="G631:M635" si="181">G333*$C$89</f>
        <v>0</v>
      </c>
      <c r="H631" s="1286">
        <f t="shared" si="181"/>
        <v>3633.75</v>
      </c>
      <c r="I631" s="1286">
        <f t="shared" si="181"/>
        <v>3742.7624999999998</v>
      </c>
      <c r="J631" s="1286">
        <f t="shared" si="181"/>
        <v>3855.0453750000001</v>
      </c>
      <c r="K631" s="1286">
        <f t="shared" si="181"/>
        <v>3970.69673625</v>
      </c>
      <c r="L631" s="1286">
        <f t="shared" si="181"/>
        <v>4089.8176383374998</v>
      </c>
      <c r="M631" s="1286">
        <f t="shared" si="181"/>
        <v>4212.5121674876245</v>
      </c>
      <c r="R631" s="282"/>
      <c r="S631" s="282"/>
      <c r="T631" s="282"/>
      <c r="U631" s="282"/>
      <c r="V631" s="282"/>
      <c r="W631" s="282"/>
      <c r="X631" s="282"/>
      <c r="Y631" s="282"/>
      <c r="Z631" s="282"/>
      <c r="AA631" s="282"/>
    </row>
    <row r="632" spans="1:27" s="428" customFormat="1" outlineLevel="2">
      <c r="A632" s="276">
        <f t="shared" si="170"/>
        <v>334</v>
      </c>
      <c r="B632" s="757" t="str">
        <f>$B334</f>
        <v>1st Grade Teacher</v>
      </c>
      <c r="C632" s="560"/>
      <c r="D632" s="429"/>
      <c r="G632" s="1286">
        <f t="shared" si="181"/>
        <v>0</v>
      </c>
      <c r="H632" s="1286">
        <f t="shared" si="181"/>
        <v>3633.75</v>
      </c>
      <c r="I632" s="1286">
        <f t="shared" si="181"/>
        <v>3742.7624999999998</v>
      </c>
      <c r="J632" s="1286">
        <f t="shared" si="181"/>
        <v>3855.0453750000001</v>
      </c>
      <c r="K632" s="1286">
        <f t="shared" si="181"/>
        <v>3970.69673625</v>
      </c>
      <c r="L632" s="1286">
        <f t="shared" si="181"/>
        <v>4089.8176383374998</v>
      </c>
      <c r="M632" s="1286">
        <f t="shared" si="181"/>
        <v>4212.5121674876245</v>
      </c>
      <c r="R632" s="282"/>
      <c r="S632" s="282"/>
      <c r="T632" s="282"/>
      <c r="U632" s="282"/>
      <c r="V632" s="282"/>
      <c r="W632" s="282"/>
      <c r="X632" s="282"/>
      <c r="Y632" s="282"/>
      <c r="Z632" s="282"/>
      <c r="AA632" s="282"/>
    </row>
    <row r="633" spans="1:27" s="428" customFormat="1" outlineLevel="2">
      <c r="A633" s="276">
        <f t="shared" si="170"/>
        <v>335</v>
      </c>
      <c r="B633" s="757" t="str">
        <f>$B335</f>
        <v>1st Grade Teacher</v>
      </c>
      <c r="C633" s="560"/>
      <c r="D633" s="429"/>
      <c r="G633" s="1286">
        <f t="shared" si="181"/>
        <v>0</v>
      </c>
      <c r="H633" s="1286">
        <f t="shared" si="181"/>
        <v>0</v>
      </c>
      <c r="I633" s="1286">
        <f t="shared" si="181"/>
        <v>3742.7624999999998</v>
      </c>
      <c r="J633" s="1286">
        <f t="shared" si="181"/>
        <v>3855.0453750000001</v>
      </c>
      <c r="K633" s="1286">
        <f t="shared" si="181"/>
        <v>3970.69673625</v>
      </c>
      <c r="L633" s="1286">
        <f t="shared" si="181"/>
        <v>4089.8176383374998</v>
      </c>
      <c r="M633" s="1286">
        <f t="shared" si="181"/>
        <v>4212.5121674876245</v>
      </c>
      <c r="R633" s="282"/>
      <c r="S633" s="282"/>
      <c r="T633" s="282"/>
      <c r="U633" s="282"/>
      <c r="V633" s="282"/>
      <c r="W633" s="282"/>
      <c r="X633" s="282"/>
      <c r="Y633" s="282"/>
      <c r="Z633" s="282"/>
      <c r="AA633" s="282"/>
    </row>
    <row r="634" spans="1:27" s="428" customFormat="1" outlineLevel="2">
      <c r="A634" s="276">
        <f t="shared" si="170"/>
        <v>336</v>
      </c>
      <c r="B634" s="757">
        <f>$B336</f>
        <v>0</v>
      </c>
      <c r="C634" s="560"/>
      <c r="D634" s="429"/>
      <c r="G634" s="1286">
        <f t="shared" si="181"/>
        <v>0</v>
      </c>
      <c r="H634" s="1286">
        <f t="shared" si="181"/>
        <v>0</v>
      </c>
      <c r="I634" s="1286">
        <f t="shared" si="181"/>
        <v>0</v>
      </c>
      <c r="J634" s="1286">
        <f t="shared" si="181"/>
        <v>0</v>
      </c>
      <c r="K634" s="1286">
        <f t="shared" si="181"/>
        <v>0</v>
      </c>
      <c r="L634" s="1286">
        <f t="shared" si="181"/>
        <v>0</v>
      </c>
      <c r="M634" s="1286">
        <f t="shared" si="181"/>
        <v>0</v>
      </c>
      <c r="R634" s="282"/>
      <c r="S634" s="282"/>
      <c r="T634" s="282"/>
      <c r="U634" s="282"/>
      <c r="V634" s="282"/>
      <c r="W634" s="282"/>
      <c r="X634" s="282"/>
      <c r="Y634" s="282"/>
      <c r="Z634" s="282"/>
      <c r="AA634" s="282"/>
    </row>
    <row r="635" spans="1:27" s="428" customFormat="1" outlineLevel="2">
      <c r="A635" s="276">
        <f t="shared" si="170"/>
        <v>337</v>
      </c>
      <c r="B635" s="757">
        <f>$B337</f>
        <v>0</v>
      </c>
      <c r="C635" s="560"/>
      <c r="D635" s="429"/>
      <c r="G635" s="1286">
        <f t="shared" si="181"/>
        <v>0</v>
      </c>
      <c r="H635" s="1286">
        <f t="shared" si="181"/>
        <v>0</v>
      </c>
      <c r="I635" s="1286">
        <f t="shared" si="181"/>
        <v>0</v>
      </c>
      <c r="J635" s="1286">
        <f t="shared" si="181"/>
        <v>0</v>
      </c>
      <c r="K635" s="1286">
        <f t="shared" si="181"/>
        <v>0</v>
      </c>
      <c r="L635" s="1286">
        <f t="shared" si="181"/>
        <v>0</v>
      </c>
      <c r="M635" s="1286">
        <f t="shared" si="181"/>
        <v>0</v>
      </c>
      <c r="R635" s="282"/>
      <c r="S635" s="282"/>
      <c r="T635" s="282"/>
      <c r="U635" s="282"/>
      <c r="V635" s="282"/>
      <c r="W635" s="282"/>
      <c r="X635" s="282"/>
      <c r="Y635" s="282"/>
      <c r="Z635" s="282"/>
      <c r="AA635" s="282"/>
    </row>
    <row r="636" spans="1:27" s="428" customFormat="1" outlineLevel="2">
      <c r="A636" s="276">
        <f t="shared" si="170"/>
        <v>338</v>
      </c>
      <c r="B636" s="757"/>
      <c r="C636" s="560"/>
      <c r="D636" s="429"/>
      <c r="G636" s="1286"/>
      <c r="H636" s="1286"/>
      <c r="I636" s="1286"/>
      <c r="J636" s="1286"/>
      <c r="K636" s="1286"/>
      <c r="L636" s="1286"/>
      <c r="M636" s="1286"/>
      <c r="R636" s="282"/>
      <c r="S636" s="282"/>
      <c r="T636" s="282"/>
      <c r="U636" s="282"/>
      <c r="V636" s="282"/>
      <c r="W636" s="282"/>
      <c r="X636" s="282"/>
      <c r="Y636" s="282"/>
      <c r="Z636" s="282"/>
      <c r="AA636" s="282"/>
    </row>
    <row r="637" spans="1:27" s="428" customFormat="1" outlineLevel="2">
      <c r="A637" s="276">
        <f t="shared" si="170"/>
        <v>339</v>
      </c>
      <c r="B637" s="757" t="str">
        <f>$B339</f>
        <v>2nd Grade Teacher</v>
      </c>
      <c r="C637" s="560"/>
      <c r="D637" s="429"/>
      <c r="G637" s="1286">
        <f t="shared" ref="G637:M641" si="182">G339*$C$89</f>
        <v>0</v>
      </c>
      <c r="H637" s="1286">
        <f t="shared" si="182"/>
        <v>3633.75</v>
      </c>
      <c r="I637" s="1286">
        <f t="shared" si="182"/>
        <v>3742.7624999999998</v>
      </c>
      <c r="J637" s="1286">
        <f t="shared" si="182"/>
        <v>3855.0453750000001</v>
      </c>
      <c r="K637" s="1286">
        <f t="shared" si="182"/>
        <v>3970.69673625</v>
      </c>
      <c r="L637" s="1286">
        <f t="shared" si="182"/>
        <v>4089.8176383374998</v>
      </c>
      <c r="M637" s="1286">
        <f t="shared" si="182"/>
        <v>4212.5121674876245</v>
      </c>
      <c r="R637" s="282"/>
      <c r="S637" s="282"/>
      <c r="T637" s="282"/>
      <c r="U637" s="282"/>
      <c r="V637" s="282"/>
      <c r="W637" s="282"/>
      <c r="X637" s="282"/>
      <c r="Y637" s="282"/>
      <c r="Z637" s="282"/>
      <c r="AA637" s="282"/>
    </row>
    <row r="638" spans="1:27" s="428" customFormat="1" outlineLevel="2">
      <c r="A638" s="276">
        <f t="shared" si="170"/>
        <v>340</v>
      </c>
      <c r="B638" s="757" t="str">
        <f>$B340</f>
        <v>2nd Grade Teacher</v>
      </c>
      <c r="C638" s="560"/>
      <c r="D638" s="429"/>
      <c r="G638" s="1286">
        <f t="shared" si="182"/>
        <v>0</v>
      </c>
      <c r="H638" s="1286">
        <f t="shared" si="182"/>
        <v>0</v>
      </c>
      <c r="I638" s="1286">
        <f t="shared" si="182"/>
        <v>3742.7624999999998</v>
      </c>
      <c r="J638" s="1286">
        <f t="shared" si="182"/>
        <v>3855.0453750000001</v>
      </c>
      <c r="K638" s="1286">
        <f t="shared" si="182"/>
        <v>3970.69673625</v>
      </c>
      <c r="L638" s="1286">
        <f t="shared" si="182"/>
        <v>4089.8176383374998</v>
      </c>
      <c r="M638" s="1286">
        <f t="shared" si="182"/>
        <v>4212.5121674876245</v>
      </c>
      <c r="R638" s="282"/>
      <c r="S638" s="282"/>
      <c r="T638" s="282"/>
      <c r="U638" s="282"/>
      <c r="V638" s="282"/>
      <c r="W638" s="282"/>
      <c r="X638" s="282"/>
      <c r="Y638" s="282"/>
      <c r="Z638" s="282"/>
      <c r="AA638" s="282"/>
    </row>
    <row r="639" spans="1:27" s="428" customFormat="1" outlineLevel="2">
      <c r="A639" s="276">
        <f t="shared" si="170"/>
        <v>341</v>
      </c>
      <c r="B639" s="757" t="str">
        <f>$B341</f>
        <v>2nd Grade Teacher</v>
      </c>
      <c r="C639" s="560"/>
      <c r="D639" s="429"/>
      <c r="G639" s="1286">
        <f t="shared" si="182"/>
        <v>0</v>
      </c>
      <c r="H639" s="1286">
        <f t="shared" si="182"/>
        <v>0</v>
      </c>
      <c r="I639" s="1286">
        <f t="shared" si="182"/>
        <v>0</v>
      </c>
      <c r="J639" s="1286">
        <f t="shared" si="182"/>
        <v>3855.0453750000001</v>
      </c>
      <c r="K639" s="1286">
        <f t="shared" si="182"/>
        <v>3970.69673625</v>
      </c>
      <c r="L639" s="1286">
        <f t="shared" si="182"/>
        <v>4089.8176383374998</v>
      </c>
      <c r="M639" s="1286">
        <f t="shared" si="182"/>
        <v>4212.5121674876245</v>
      </c>
      <c r="R639" s="282"/>
      <c r="S639" s="282"/>
      <c r="T639" s="282"/>
      <c r="U639" s="282"/>
      <c r="V639" s="282"/>
      <c r="W639" s="282"/>
      <c r="X639" s="282"/>
      <c r="Y639" s="282"/>
      <c r="Z639" s="282"/>
      <c r="AA639" s="282"/>
    </row>
    <row r="640" spans="1:27" s="428" customFormat="1" outlineLevel="2">
      <c r="A640" s="276">
        <f t="shared" si="170"/>
        <v>342</v>
      </c>
      <c r="B640" s="757">
        <f>$B342</f>
        <v>0</v>
      </c>
      <c r="C640" s="560"/>
      <c r="D640" s="429"/>
      <c r="G640" s="1286">
        <f t="shared" si="182"/>
        <v>0</v>
      </c>
      <c r="H640" s="1286">
        <f t="shared" si="182"/>
        <v>0</v>
      </c>
      <c r="I640" s="1286">
        <f t="shared" si="182"/>
        <v>0</v>
      </c>
      <c r="J640" s="1286">
        <f t="shared" si="182"/>
        <v>0</v>
      </c>
      <c r="K640" s="1286">
        <f t="shared" si="182"/>
        <v>0</v>
      </c>
      <c r="L640" s="1286">
        <f t="shared" si="182"/>
        <v>0</v>
      </c>
      <c r="M640" s="1286">
        <f t="shared" si="182"/>
        <v>0</v>
      </c>
      <c r="R640" s="282"/>
      <c r="S640" s="282"/>
      <c r="T640" s="282"/>
      <c r="U640" s="282"/>
      <c r="V640" s="282"/>
      <c r="W640" s="282"/>
      <c r="X640" s="282"/>
      <c r="Y640" s="282"/>
      <c r="Z640" s="282"/>
      <c r="AA640" s="282"/>
    </row>
    <row r="641" spans="1:27" s="431" customFormat="1" outlineLevel="2">
      <c r="A641" s="276">
        <f t="shared" si="170"/>
        <v>343</v>
      </c>
      <c r="B641" s="757">
        <f>$B343</f>
        <v>0</v>
      </c>
      <c r="C641" s="560"/>
      <c r="D641" s="429"/>
      <c r="G641" s="1286">
        <f t="shared" si="182"/>
        <v>0</v>
      </c>
      <c r="H641" s="1286">
        <f t="shared" si="182"/>
        <v>0</v>
      </c>
      <c r="I641" s="1286">
        <f t="shared" si="182"/>
        <v>0</v>
      </c>
      <c r="J641" s="1286">
        <f t="shared" si="182"/>
        <v>0</v>
      </c>
      <c r="K641" s="1286">
        <f t="shared" si="182"/>
        <v>0</v>
      </c>
      <c r="L641" s="1286">
        <f t="shared" si="182"/>
        <v>0</v>
      </c>
      <c r="M641" s="1286">
        <f t="shared" si="182"/>
        <v>0</v>
      </c>
      <c r="R641" s="282"/>
      <c r="S641" s="282"/>
      <c r="T641" s="282"/>
      <c r="U641" s="282"/>
      <c r="V641" s="282"/>
      <c r="W641" s="282"/>
      <c r="X641" s="282"/>
      <c r="Y641" s="282"/>
      <c r="Z641" s="282"/>
      <c r="AA641" s="282"/>
    </row>
    <row r="642" spans="1:27" s="431" customFormat="1" outlineLevel="2">
      <c r="A642" s="276">
        <f t="shared" si="170"/>
        <v>344</v>
      </c>
      <c r="B642" s="757"/>
      <c r="C642" s="561"/>
      <c r="D642" s="428"/>
      <c r="G642" s="1286"/>
      <c r="H642" s="1286"/>
      <c r="I642" s="1286"/>
      <c r="J642" s="1286"/>
      <c r="K642" s="1286"/>
      <c r="L642" s="1286"/>
      <c r="M642" s="1286"/>
      <c r="R642" s="282"/>
      <c r="S642" s="282"/>
      <c r="T642" s="282"/>
      <c r="U642" s="282"/>
      <c r="V642" s="282"/>
      <c r="W642" s="282"/>
      <c r="X642" s="282"/>
      <c r="Y642" s="282"/>
      <c r="Z642" s="282"/>
      <c r="AA642" s="282"/>
    </row>
    <row r="643" spans="1:27" s="428" customFormat="1" outlineLevel="2">
      <c r="A643" s="276">
        <f t="shared" si="170"/>
        <v>345</v>
      </c>
      <c r="B643" s="757" t="str">
        <f>$B345</f>
        <v>3rd Grade Teacher</v>
      </c>
      <c r="C643" s="560"/>
      <c r="D643" s="429"/>
      <c r="G643" s="1286">
        <f t="shared" ref="G643:M647" si="183">G345*$C$89</f>
        <v>0</v>
      </c>
      <c r="H643" s="1286">
        <f t="shared" si="183"/>
        <v>3633.75</v>
      </c>
      <c r="I643" s="1286">
        <f t="shared" si="183"/>
        <v>3742.7624999999998</v>
      </c>
      <c r="J643" s="1286">
        <f t="shared" si="183"/>
        <v>3855.0453750000001</v>
      </c>
      <c r="K643" s="1286">
        <f t="shared" si="183"/>
        <v>3970.69673625</v>
      </c>
      <c r="L643" s="1286">
        <f t="shared" si="183"/>
        <v>4089.8176383374998</v>
      </c>
      <c r="M643" s="1286">
        <f t="shared" si="183"/>
        <v>4212.5121674876245</v>
      </c>
      <c r="R643" s="282"/>
      <c r="S643" s="282"/>
      <c r="T643" s="282"/>
      <c r="U643" s="282"/>
      <c r="V643" s="282"/>
      <c r="W643" s="282"/>
      <c r="X643" s="282"/>
      <c r="Y643" s="282"/>
      <c r="Z643" s="282"/>
      <c r="AA643" s="282"/>
    </row>
    <row r="644" spans="1:27" s="428" customFormat="1" outlineLevel="2">
      <c r="A644" s="276">
        <f t="shared" si="170"/>
        <v>346</v>
      </c>
      <c r="B644" s="757" t="str">
        <f>$B346</f>
        <v>3rd Grade Teacher</v>
      </c>
      <c r="C644" s="560"/>
      <c r="D644" s="429"/>
      <c r="G644" s="1286">
        <f t="shared" si="183"/>
        <v>0</v>
      </c>
      <c r="H644" s="1286">
        <f t="shared" si="183"/>
        <v>0</v>
      </c>
      <c r="I644" s="1286">
        <f t="shared" si="183"/>
        <v>0</v>
      </c>
      <c r="J644" s="1286">
        <f t="shared" si="183"/>
        <v>3855.0453750000001</v>
      </c>
      <c r="K644" s="1286">
        <f t="shared" si="183"/>
        <v>3970.69673625</v>
      </c>
      <c r="L644" s="1286">
        <f t="shared" si="183"/>
        <v>4089.8176383374998</v>
      </c>
      <c r="M644" s="1286">
        <f t="shared" si="183"/>
        <v>4212.5121674876245</v>
      </c>
      <c r="R644" s="282"/>
      <c r="S644" s="282"/>
      <c r="T644" s="282"/>
      <c r="U644" s="282"/>
      <c r="V644" s="282"/>
      <c r="W644" s="282"/>
      <c r="X644" s="282"/>
      <c r="Y644" s="282"/>
      <c r="Z644" s="282"/>
      <c r="AA644" s="282"/>
    </row>
    <row r="645" spans="1:27" s="428" customFormat="1" outlineLevel="2">
      <c r="A645" s="276">
        <f t="shared" si="170"/>
        <v>347</v>
      </c>
      <c r="B645" s="757" t="str">
        <f>$B347</f>
        <v>3rd Grade Teacher</v>
      </c>
      <c r="C645" s="560"/>
      <c r="D645" s="429"/>
      <c r="G645" s="1286">
        <f t="shared" si="183"/>
        <v>0</v>
      </c>
      <c r="H645" s="1286">
        <f t="shared" si="183"/>
        <v>0</v>
      </c>
      <c r="I645" s="1286">
        <f t="shared" si="183"/>
        <v>0</v>
      </c>
      <c r="J645" s="1286">
        <f t="shared" si="183"/>
        <v>0</v>
      </c>
      <c r="K645" s="1286">
        <f t="shared" si="183"/>
        <v>3970.69673625</v>
      </c>
      <c r="L645" s="1286">
        <f t="shared" si="183"/>
        <v>4089.8176383374998</v>
      </c>
      <c r="M645" s="1286">
        <f t="shared" si="183"/>
        <v>4212.5121674876245</v>
      </c>
      <c r="R645" s="282"/>
      <c r="S645" s="282"/>
      <c r="T645" s="282"/>
      <c r="U645" s="282"/>
      <c r="V645" s="282"/>
      <c r="W645" s="282"/>
      <c r="X645" s="282"/>
      <c r="Y645" s="282"/>
      <c r="Z645" s="282"/>
      <c r="AA645" s="282"/>
    </row>
    <row r="646" spans="1:27" s="428" customFormat="1" outlineLevel="2">
      <c r="A646" s="276">
        <f t="shared" ref="A646:A673" si="184">ROW(A348)</f>
        <v>348</v>
      </c>
      <c r="B646" s="757">
        <f>$B348</f>
        <v>0</v>
      </c>
      <c r="C646" s="560"/>
      <c r="D646" s="429"/>
      <c r="G646" s="1286">
        <f t="shared" si="183"/>
        <v>0</v>
      </c>
      <c r="H646" s="1286">
        <f t="shared" si="183"/>
        <v>0</v>
      </c>
      <c r="I646" s="1286">
        <f t="shared" si="183"/>
        <v>0</v>
      </c>
      <c r="J646" s="1286">
        <f t="shared" si="183"/>
        <v>0</v>
      </c>
      <c r="K646" s="1286">
        <f t="shared" si="183"/>
        <v>0</v>
      </c>
      <c r="L646" s="1286">
        <f t="shared" si="183"/>
        <v>0</v>
      </c>
      <c r="M646" s="1286">
        <f t="shared" si="183"/>
        <v>0</v>
      </c>
      <c r="R646" s="282"/>
      <c r="S646" s="282"/>
      <c r="T646" s="282"/>
      <c r="U646" s="282"/>
      <c r="V646" s="282"/>
      <c r="W646" s="282"/>
      <c r="X646" s="282"/>
      <c r="Y646" s="282"/>
      <c r="Z646" s="282"/>
      <c r="AA646" s="282"/>
    </row>
    <row r="647" spans="1:27" s="428" customFormat="1" outlineLevel="2">
      <c r="A647" s="276">
        <f t="shared" si="184"/>
        <v>349</v>
      </c>
      <c r="B647" s="757">
        <f>$B349</f>
        <v>0</v>
      </c>
      <c r="C647" s="560"/>
      <c r="D647" s="429"/>
      <c r="G647" s="1286">
        <f t="shared" si="183"/>
        <v>0</v>
      </c>
      <c r="H647" s="1286">
        <f t="shared" si="183"/>
        <v>0</v>
      </c>
      <c r="I647" s="1286">
        <f t="shared" si="183"/>
        <v>0</v>
      </c>
      <c r="J647" s="1286">
        <f t="shared" si="183"/>
        <v>0</v>
      </c>
      <c r="K647" s="1286">
        <f t="shared" si="183"/>
        <v>0</v>
      </c>
      <c r="L647" s="1286">
        <f t="shared" si="183"/>
        <v>0</v>
      </c>
      <c r="M647" s="1286">
        <f t="shared" si="183"/>
        <v>0</v>
      </c>
      <c r="R647" s="282"/>
      <c r="S647" s="282"/>
      <c r="T647" s="282"/>
      <c r="U647" s="282"/>
      <c r="V647" s="282"/>
      <c r="W647" s="282"/>
      <c r="X647" s="282"/>
      <c r="Y647" s="282"/>
      <c r="Z647" s="282"/>
      <c r="AA647" s="282"/>
    </row>
    <row r="648" spans="1:27" s="428" customFormat="1" outlineLevel="2">
      <c r="A648" s="276">
        <f t="shared" si="184"/>
        <v>350</v>
      </c>
      <c r="B648" s="757"/>
      <c r="C648" s="560"/>
      <c r="D648" s="429"/>
      <c r="G648" s="1286"/>
      <c r="H648" s="1286"/>
      <c r="I648" s="1286"/>
      <c r="J648" s="1286"/>
      <c r="K648" s="1286"/>
      <c r="L648" s="1286"/>
      <c r="M648" s="1286"/>
      <c r="R648" s="282"/>
      <c r="S648" s="282"/>
      <c r="T648" s="282"/>
      <c r="U648" s="282"/>
      <c r="V648" s="282"/>
      <c r="W648" s="282"/>
      <c r="X648" s="282"/>
      <c r="Y648" s="282"/>
      <c r="Z648" s="282"/>
      <c r="AA648" s="282"/>
    </row>
    <row r="649" spans="1:27" s="428" customFormat="1" outlineLevel="2">
      <c r="A649" s="276">
        <f t="shared" si="184"/>
        <v>351</v>
      </c>
      <c r="B649" s="757" t="str">
        <f>$B351</f>
        <v>4th Grade Teacher</v>
      </c>
      <c r="C649" s="560"/>
      <c r="D649" s="429"/>
      <c r="G649" s="1286">
        <f t="shared" ref="G649:M653" si="185">G351*$C$89</f>
        <v>0</v>
      </c>
      <c r="H649" s="1286">
        <f t="shared" si="185"/>
        <v>3633.75</v>
      </c>
      <c r="I649" s="1286">
        <f t="shared" si="185"/>
        <v>3742.7624999999998</v>
      </c>
      <c r="J649" s="1286">
        <f t="shared" si="185"/>
        <v>3855.0453750000001</v>
      </c>
      <c r="K649" s="1286">
        <f t="shared" si="185"/>
        <v>3970.69673625</v>
      </c>
      <c r="L649" s="1286">
        <f t="shared" si="185"/>
        <v>4089.8176383374998</v>
      </c>
      <c r="M649" s="1286">
        <f t="shared" si="185"/>
        <v>4212.5121674876245</v>
      </c>
      <c r="R649" s="282"/>
      <c r="S649" s="282"/>
      <c r="T649" s="282"/>
      <c r="U649" s="282"/>
      <c r="V649" s="282"/>
      <c r="W649" s="282"/>
      <c r="X649" s="282"/>
      <c r="Y649" s="282"/>
      <c r="Z649" s="282"/>
      <c r="AA649" s="282"/>
    </row>
    <row r="650" spans="1:27" s="428" customFormat="1" outlineLevel="2">
      <c r="A650" s="276">
        <f t="shared" si="184"/>
        <v>352</v>
      </c>
      <c r="B650" s="757" t="str">
        <f>$B352</f>
        <v>4th Grade Teacher</v>
      </c>
      <c r="C650" s="560"/>
      <c r="D650" s="429"/>
      <c r="G650" s="1286">
        <f t="shared" si="185"/>
        <v>0</v>
      </c>
      <c r="H650" s="1286">
        <f t="shared" si="185"/>
        <v>0</v>
      </c>
      <c r="I650" s="1286">
        <f t="shared" si="185"/>
        <v>0</v>
      </c>
      <c r="J650" s="1286">
        <f t="shared" si="185"/>
        <v>0</v>
      </c>
      <c r="K650" s="1286">
        <f t="shared" si="185"/>
        <v>3970.69673625</v>
      </c>
      <c r="L650" s="1286">
        <f t="shared" si="185"/>
        <v>4089.8176383374998</v>
      </c>
      <c r="M650" s="1286">
        <f t="shared" si="185"/>
        <v>4212.5121674876245</v>
      </c>
      <c r="R650" s="282"/>
      <c r="S650" s="282"/>
      <c r="T650" s="282"/>
      <c r="U650" s="282"/>
      <c r="V650" s="282"/>
      <c r="W650" s="282"/>
      <c r="X650" s="282"/>
      <c r="Y650" s="282"/>
      <c r="Z650" s="282"/>
      <c r="AA650" s="282"/>
    </row>
    <row r="651" spans="1:27" s="428" customFormat="1" outlineLevel="2">
      <c r="A651" s="276">
        <f t="shared" si="184"/>
        <v>353</v>
      </c>
      <c r="B651" s="757" t="str">
        <f>$B353</f>
        <v>4th Grade Teacher</v>
      </c>
      <c r="C651" s="560"/>
      <c r="D651" s="429"/>
      <c r="G651" s="1286">
        <f t="shared" si="185"/>
        <v>0</v>
      </c>
      <c r="H651" s="1286">
        <f t="shared" si="185"/>
        <v>0</v>
      </c>
      <c r="I651" s="1286">
        <f t="shared" si="185"/>
        <v>0</v>
      </c>
      <c r="J651" s="1286">
        <f t="shared" si="185"/>
        <v>0</v>
      </c>
      <c r="K651" s="1286">
        <f t="shared" si="185"/>
        <v>0</v>
      </c>
      <c r="L651" s="1286">
        <f t="shared" si="185"/>
        <v>4089.8176383374998</v>
      </c>
      <c r="M651" s="1286">
        <f t="shared" si="185"/>
        <v>4212.5121674876245</v>
      </c>
      <c r="R651" s="282"/>
      <c r="S651" s="282"/>
      <c r="T651" s="282"/>
      <c r="U651" s="282"/>
      <c r="V651" s="282"/>
      <c r="W651" s="282"/>
      <c r="X651" s="282"/>
      <c r="Y651" s="282"/>
      <c r="Z651" s="282"/>
      <c r="AA651" s="282"/>
    </row>
    <row r="652" spans="1:27" s="428" customFormat="1" outlineLevel="2">
      <c r="A652" s="276">
        <f t="shared" si="184"/>
        <v>354</v>
      </c>
      <c r="B652" s="757">
        <f>$B354</f>
        <v>0</v>
      </c>
      <c r="C652" s="560"/>
      <c r="D652" s="429"/>
      <c r="G652" s="1286">
        <f t="shared" si="185"/>
        <v>0</v>
      </c>
      <c r="H652" s="1286">
        <f t="shared" si="185"/>
        <v>0</v>
      </c>
      <c r="I652" s="1286">
        <f t="shared" si="185"/>
        <v>0</v>
      </c>
      <c r="J652" s="1286">
        <f t="shared" si="185"/>
        <v>0</v>
      </c>
      <c r="K652" s="1286">
        <f t="shared" si="185"/>
        <v>0</v>
      </c>
      <c r="L652" s="1286">
        <f t="shared" si="185"/>
        <v>0</v>
      </c>
      <c r="M652" s="1286">
        <f t="shared" si="185"/>
        <v>0</v>
      </c>
      <c r="R652" s="282"/>
      <c r="S652" s="282"/>
      <c r="T652" s="282"/>
      <c r="U652" s="282"/>
      <c r="V652" s="282"/>
      <c r="W652" s="282"/>
      <c r="X652" s="282"/>
      <c r="Y652" s="282"/>
      <c r="Z652" s="282"/>
      <c r="AA652" s="282"/>
    </row>
    <row r="653" spans="1:27" s="431" customFormat="1" outlineLevel="2">
      <c r="A653" s="276">
        <f t="shared" si="184"/>
        <v>355</v>
      </c>
      <c r="B653" s="757">
        <f>$B355</f>
        <v>0</v>
      </c>
      <c r="C653" s="560"/>
      <c r="D653" s="429"/>
      <c r="G653" s="1286">
        <f t="shared" si="185"/>
        <v>0</v>
      </c>
      <c r="H653" s="1286">
        <f t="shared" si="185"/>
        <v>0</v>
      </c>
      <c r="I653" s="1286">
        <f t="shared" si="185"/>
        <v>0</v>
      </c>
      <c r="J653" s="1286">
        <f t="shared" si="185"/>
        <v>0</v>
      </c>
      <c r="K653" s="1286">
        <f t="shared" si="185"/>
        <v>0</v>
      </c>
      <c r="L653" s="1286">
        <f t="shared" si="185"/>
        <v>0</v>
      </c>
      <c r="M653" s="1286">
        <f t="shared" si="185"/>
        <v>0</v>
      </c>
      <c r="R653" s="282"/>
      <c r="S653" s="282"/>
      <c r="T653" s="282"/>
      <c r="U653" s="282"/>
      <c r="V653" s="282"/>
      <c r="W653" s="282"/>
      <c r="X653" s="282"/>
      <c r="Y653" s="282"/>
      <c r="Z653" s="282"/>
      <c r="AA653" s="282"/>
    </row>
    <row r="654" spans="1:27" s="431" customFormat="1" outlineLevel="2">
      <c r="A654" s="276">
        <f t="shared" si="184"/>
        <v>356</v>
      </c>
      <c r="B654" s="757"/>
      <c r="C654" s="561"/>
      <c r="D654" s="428"/>
      <c r="G654" s="1286"/>
      <c r="H654" s="1286"/>
      <c r="I654" s="1286"/>
      <c r="J654" s="1286"/>
      <c r="K654" s="1286"/>
      <c r="L654" s="1286"/>
      <c r="M654" s="1286"/>
      <c r="R654" s="282"/>
      <c r="S654" s="282"/>
      <c r="T654" s="282"/>
      <c r="U654" s="282"/>
      <c r="V654" s="282"/>
      <c r="W654" s="282"/>
      <c r="X654" s="282"/>
      <c r="Y654" s="282"/>
      <c r="Z654" s="282"/>
      <c r="AA654" s="282"/>
    </row>
    <row r="655" spans="1:27" s="428" customFormat="1" outlineLevel="2">
      <c r="A655" s="276">
        <f t="shared" si="184"/>
        <v>357</v>
      </c>
      <c r="B655" s="757" t="str">
        <f>$B357</f>
        <v>5th Grade Teacher</v>
      </c>
      <c r="C655" s="560"/>
      <c r="D655" s="429"/>
      <c r="G655" s="1286">
        <f t="shared" ref="G655:M659" si="186">G357*$C$89</f>
        <v>0</v>
      </c>
      <c r="H655" s="1286">
        <f t="shared" si="186"/>
        <v>3633.75</v>
      </c>
      <c r="I655" s="1286">
        <f t="shared" si="186"/>
        <v>3742.7624999999998</v>
      </c>
      <c r="J655" s="1286">
        <f t="shared" si="186"/>
        <v>3855.0453750000001</v>
      </c>
      <c r="K655" s="1286">
        <f t="shared" si="186"/>
        <v>3970.69673625</v>
      </c>
      <c r="L655" s="1286">
        <f t="shared" si="186"/>
        <v>4089.8176383374998</v>
      </c>
      <c r="M655" s="1286">
        <f t="shared" si="186"/>
        <v>4212.5121674876245</v>
      </c>
      <c r="R655" s="282"/>
      <c r="S655" s="282"/>
      <c r="T655" s="282"/>
      <c r="U655" s="282"/>
      <c r="V655" s="282"/>
      <c r="W655" s="282"/>
      <c r="X655" s="282"/>
      <c r="Y655" s="282"/>
      <c r="Z655" s="282"/>
      <c r="AA655" s="282"/>
    </row>
    <row r="656" spans="1:27" s="428" customFormat="1" outlineLevel="2">
      <c r="A656" s="276">
        <f t="shared" si="184"/>
        <v>358</v>
      </c>
      <c r="B656" s="757" t="str">
        <f>$B358</f>
        <v>5th Grade Teacher</v>
      </c>
      <c r="C656" s="560"/>
      <c r="D656" s="429"/>
      <c r="G656" s="1286">
        <f t="shared" si="186"/>
        <v>0</v>
      </c>
      <c r="H656" s="1286">
        <f t="shared" si="186"/>
        <v>0</v>
      </c>
      <c r="I656" s="1286">
        <f t="shared" si="186"/>
        <v>0</v>
      </c>
      <c r="J656" s="1286">
        <f t="shared" si="186"/>
        <v>0</v>
      </c>
      <c r="K656" s="1286">
        <f t="shared" si="186"/>
        <v>0</v>
      </c>
      <c r="L656" s="1286">
        <f t="shared" si="186"/>
        <v>4089.8176383374998</v>
      </c>
      <c r="M656" s="1286">
        <f t="shared" si="186"/>
        <v>4212.5121674876245</v>
      </c>
      <c r="R656" s="282"/>
      <c r="S656" s="282"/>
      <c r="T656" s="282"/>
      <c r="U656" s="282"/>
      <c r="V656" s="282"/>
      <c r="W656" s="282"/>
      <c r="X656" s="282"/>
      <c r="Y656" s="282"/>
      <c r="Z656" s="282"/>
      <c r="AA656" s="282"/>
    </row>
    <row r="657" spans="1:27" s="428" customFormat="1" outlineLevel="2">
      <c r="A657" s="276">
        <f t="shared" si="184"/>
        <v>359</v>
      </c>
      <c r="B657" s="757" t="str">
        <f>$B359</f>
        <v>5th Grade Teacher</v>
      </c>
      <c r="C657" s="560"/>
      <c r="D657" s="429"/>
      <c r="G657" s="1286">
        <f t="shared" si="186"/>
        <v>0</v>
      </c>
      <c r="H657" s="1286">
        <f t="shared" si="186"/>
        <v>0</v>
      </c>
      <c r="I657" s="1286">
        <f t="shared" si="186"/>
        <v>0</v>
      </c>
      <c r="J657" s="1286">
        <f t="shared" si="186"/>
        <v>0</v>
      </c>
      <c r="K657" s="1286">
        <f t="shared" si="186"/>
        <v>0</v>
      </c>
      <c r="L657" s="1286">
        <f t="shared" si="186"/>
        <v>0</v>
      </c>
      <c r="M657" s="1286">
        <f t="shared" si="186"/>
        <v>4212.5121674876245</v>
      </c>
      <c r="R657" s="282"/>
      <c r="S657" s="282"/>
      <c r="T657" s="282"/>
      <c r="U657" s="282"/>
      <c r="V657" s="282"/>
      <c r="W657" s="282"/>
      <c r="X657" s="282"/>
      <c r="Y657" s="282"/>
      <c r="Z657" s="282"/>
      <c r="AA657" s="282"/>
    </row>
    <row r="658" spans="1:27" s="428" customFormat="1" outlineLevel="2">
      <c r="A658" s="276">
        <f t="shared" si="184"/>
        <v>360</v>
      </c>
      <c r="B658" s="757">
        <f>$B360</f>
        <v>0</v>
      </c>
      <c r="C658" s="560"/>
      <c r="D658" s="429"/>
      <c r="G658" s="1286">
        <f t="shared" si="186"/>
        <v>0</v>
      </c>
      <c r="H658" s="1286">
        <f t="shared" si="186"/>
        <v>0</v>
      </c>
      <c r="I658" s="1286">
        <f t="shared" si="186"/>
        <v>0</v>
      </c>
      <c r="J658" s="1286">
        <f t="shared" si="186"/>
        <v>0</v>
      </c>
      <c r="K658" s="1286">
        <f t="shared" si="186"/>
        <v>0</v>
      </c>
      <c r="L658" s="1286">
        <f t="shared" si="186"/>
        <v>0</v>
      </c>
      <c r="M658" s="1286">
        <f t="shared" si="186"/>
        <v>0</v>
      </c>
      <c r="R658" s="282"/>
      <c r="S658" s="282"/>
      <c r="T658" s="282"/>
      <c r="U658" s="282"/>
      <c r="V658" s="282"/>
      <c r="W658" s="282"/>
      <c r="X658" s="282"/>
      <c r="Y658" s="282"/>
      <c r="Z658" s="282"/>
      <c r="AA658" s="282"/>
    </row>
    <row r="659" spans="1:27" s="428" customFormat="1" outlineLevel="2">
      <c r="A659" s="276">
        <f t="shared" si="184"/>
        <v>361</v>
      </c>
      <c r="B659" s="757">
        <f>$B361</f>
        <v>0</v>
      </c>
      <c r="C659" s="560"/>
      <c r="D659" s="429"/>
      <c r="G659" s="1286">
        <f t="shared" si="186"/>
        <v>0</v>
      </c>
      <c r="H659" s="1286">
        <f t="shared" si="186"/>
        <v>0</v>
      </c>
      <c r="I659" s="1286">
        <f t="shared" si="186"/>
        <v>0</v>
      </c>
      <c r="J659" s="1286">
        <f t="shared" si="186"/>
        <v>0</v>
      </c>
      <c r="K659" s="1286">
        <f t="shared" si="186"/>
        <v>0</v>
      </c>
      <c r="L659" s="1286">
        <f t="shared" si="186"/>
        <v>0</v>
      </c>
      <c r="M659" s="1286">
        <f t="shared" si="186"/>
        <v>0</v>
      </c>
      <c r="R659" s="282"/>
      <c r="S659" s="282"/>
      <c r="T659" s="282"/>
      <c r="U659" s="282"/>
      <c r="V659" s="282"/>
      <c r="W659" s="282"/>
      <c r="X659" s="282"/>
      <c r="Y659" s="282"/>
      <c r="Z659" s="282"/>
      <c r="AA659" s="282"/>
    </row>
    <row r="660" spans="1:27" s="428" customFormat="1" outlineLevel="2">
      <c r="A660" s="276">
        <f t="shared" si="184"/>
        <v>362</v>
      </c>
      <c r="B660" s="757"/>
      <c r="C660" s="560"/>
      <c r="D660" s="429"/>
      <c r="G660" s="1286"/>
      <c r="H660" s="1286"/>
      <c r="I660" s="1286"/>
      <c r="J660" s="1286"/>
      <c r="K660" s="1286"/>
      <c r="L660" s="1286"/>
      <c r="M660" s="1286"/>
      <c r="R660" s="282"/>
      <c r="S660" s="282"/>
      <c r="T660" s="282"/>
      <c r="U660" s="282"/>
      <c r="V660" s="282"/>
      <c r="W660" s="282"/>
      <c r="X660" s="282"/>
      <c r="Y660" s="282"/>
      <c r="Z660" s="282"/>
      <c r="AA660" s="282"/>
    </row>
    <row r="661" spans="1:27" s="428" customFormat="1" outlineLevel="2">
      <c r="A661" s="276">
        <f t="shared" si="184"/>
        <v>363</v>
      </c>
      <c r="B661" s="757" t="str">
        <f>$B363</f>
        <v>6th Grade Teacher</v>
      </c>
      <c r="C661" s="560"/>
      <c r="D661" s="429"/>
      <c r="G661" s="1286">
        <f t="shared" ref="G661:M665" si="187">G363*$C$89</f>
        <v>0</v>
      </c>
      <c r="H661" s="1286">
        <f t="shared" si="187"/>
        <v>3633.75</v>
      </c>
      <c r="I661" s="1286">
        <f t="shared" si="187"/>
        <v>3742.7624999999998</v>
      </c>
      <c r="J661" s="1286">
        <f t="shared" si="187"/>
        <v>3855.0453750000001</v>
      </c>
      <c r="K661" s="1286">
        <f t="shared" si="187"/>
        <v>3970.69673625</v>
      </c>
      <c r="L661" s="1286">
        <f t="shared" si="187"/>
        <v>4089.8176383374998</v>
      </c>
      <c r="M661" s="1286">
        <f t="shared" si="187"/>
        <v>4212.5121674876245</v>
      </c>
      <c r="R661" s="282"/>
      <c r="S661" s="282"/>
      <c r="T661" s="282"/>
      <c r="U661" s="282"/>
      <c r="V661" s="282"/>
      <c r="W661" s="282"/>
      <c r="X661" s="282"/>
      <c r="Y661" s="282"/>
      <c r="Z661" s="282"/>
      <c r="AA661" s="282"/>
    </row>
    <row r="662" spans="1:27" s="428" customFormat="1" outlineLevel="2">
      <c r="A662" s="276">
        <f t="shared" si="184"/>
        <v>364</v>
      </c>
      <c r="B662" s="757" t="str">
        <f>$B364</f>
        <v>6th Grade Teacher</v>
      </c>
      <c r="C662" s="560"/>
      <c r="D662" s="429"/>
      <c r="G662" s="1286">
        <f t="shared" si="187"/>
        <v>0</v>
      </c>
      <c r="H662" s="1286">
        <f t="shared" si="187"/>
        <v>3633.75</v>
      </c>
      <c r="I662" s="1286">
        <f t="shared" si="187"/>
        <v>3742.7624999999998</v>
      </c>
      <c r="J662" s="1286">
        <f t="shared" si="187"/>
        <v>3855.0453750000001</v>
      </c>
      <c r="K662" s="1286">
        <f t="shared" si="187"/>
        <v>3970.69673625</v>
      </c>
      <c r="L662" s="1286">
        <f t="shared" si="187"/>
        <v>4089.8176383374998</v>
      </c>
      <c r="M662" s="1286">
        <f t="shared" si="187"/>
        <v>4212.5121674876245</v>
      </c>
      <c r="R662" s="282"/>
      <c r="S662" s="282"/>
      <c r="T662" s="282"/>
      <c r="U662" s="282"/>
      <c r="V662" s="282"/>
      <c r="W662" s="282"/>
      <c r="X662" s="282"/>
      <c r="Y662" s="282"/>
      <c r="Z662" s="282"/>
      <c r="AA662" s="282"/>
    </row>
    <row r="663" spans="1:27" s="428" customFormat="1" outlineLevel="2">
      <c r="A663" s="276">
        <f t="shared" si="184"/>
        <v>365</v>
      </c>
      <c r="B663" s="757" t="str">
        <f>$B365</f>
        <v>6th Grade Teacher</v>
      </c>
      <c r="C663" s="560"/>
      <c r="D663" s="429"/>
      <c r="G663" s="1286">
        <f t="shared" si="187"/>
        <v>0</v>
      </c>
      <c r="H663" s="1286">
        <f t="shared" si="187"/>
        <v>0</v>
      </c>
      <c r="I663" s="1286">
        <f t="shared" si="187"/>
        <v>0</v>
      </c>
      <c r="J663" s="1286">
        <f t="shared" si="187"/>
        <v>0</v>
      </c>
      <c r="K663" s="1286">
        <f t="shared" si="187"/>
        <v>0</v>
      </c>
      <c r="L663" s="1286">
        <f t="shared" si="187"/>
        <v>0</v>
      </c>
      <c r="M663" s="1286">
        <f t="shared" si="187"/>
        <v>4212.5121674876245</v>
      </c>
      <c r="R663" s="282"/>
      <c r="S663" s="282"/>
      <c r="T663" s="282"/>
      <c r="U663" s="282"/>
      <c r="V663" s="282"/>
      <c r="W663" s="282"/>
      <c r="X663" s="282"/>
      <c r="Y663" s="282"/>
      <c r="Z663" s="282"/>
      <c r="AA663" s="282"/>
    </row>
    <row r="664" spans="1:27" s="428" customFormat="1" outlineLevel="2">
      <c r="A664" s="276">
        <f t="shared" si="184"/>
        <v>366</v>
      </c>
      <c r="B664" s="757">
        <f>$B366</f>
        <v>0</v>
      </c>
      <c r="C664" s="560"/>
      <c r="D664" s="429"/>
      <c r="G664" s="1286">
        <f t="shared" si="187"/>
        <v>0</v>
      </c>
      <c r="H664" s="1286">
        <f t="shared" si="187"/>
        <v>0</v>
      </c>
      <c r="I664" s="1286">
        <f t="shared" si="187"/>
        <v>0</v>
      </c>
      <c r="J664" s="1286">
        <f t="shared" si="187"/>
        <v>0</v>
      </c>
      <c r="K664" s="1286">
        <f t="shared" si="187"/>
        <v>0</v>
      </c>
      <c r="L664" s="1286">
        <f t="shared" si="187"/>
        <v>0</v>
      </c>
      <c r="M664" s="1286">
        <f t="shared" si="187"/>
        <v>0</v>
      </c>
      <c r="R664" s="282"/>
      <c r="S664" s="282"/>
      <c r="T664" s="282"/>
      <c r="U664" s="282"/>
      <c r="V664" s="282"/>
      <c r="W664" s="282"/>
      <c r="X664" s="282"/>
      <c r="Y664" s="282"/>
      <c r="Z664" s="282"/>
      <c r="AA664" s="282"/>
    </row>
    <row r="665" spans="1:27" s="431" customFormat="1" outlineLevel="2">
      <c r="A665" s="276">
        <f t="shared" si="184"/>
        <v>367</v>
      </c>
      <c r="B665" s="757">
        <f>$B367</f>
        <v>0</v>
      </c>
      <c r="C665" s="560"/>
      <c r="D665" s="429"/>
      <c r="G665" s="1286">
        <f t="shared" si="187"/>
        <v>0</v>
      </c>
      <c r="H665" s="1286">
        <f t="shared" si="187"/>
        <v>0</v>
      </c>
      <c r="I665" s="1286">
        <f t="shared" si="187"/>
        <v>0</v>
      </c>
      <c r="J665" s="1286">
        <f t="shared" si="187"/>
        <v>0</v>
      </c>
      <c r="K665" s="1286">
        <f t="shared" si="187"/>
        <v>0</v>
      </c>
      <c r="L665" s="1286">
        <f t="shared" si="187"/>
        <v>0</v>
      </c>
      <c r="M665" s="1286">
        <f t="shared" si="187"/>
        <v>0</v>
      </c>
      <c r="R665" s="282"/>
      <c r="S665" s="282"/>
      <c r="T665" s="282"/>
      <c r="U665" s="282"/>
      <c r="V665" s="282"/>
      <c r="W665" s="282"/>
      <c r="X665" s="282"/>
      <c r="Y665" s="282"/>
      <c r="Z665" s="282"/>
      <c r="AA665" s="282"/>
    </row>
    <row r="666" spans="1:27" s="431" customFormat="1" outlineLevel="2">
      <c r="A666" s="276">
        <f t="shared" si="184"/>
        <v>368</v>
      </c>
      <c r="B666" s="757"/>
      <c r="C666" s="561"/>
      <c r="D666" s="428"/>
      <c r="G666" s="1286"/>
      <c r="H666" s="1286"/>
      <c r="I666" s="1286"/>
      <c r="J666" s="1286"/>
      <c r="K666" s="1286"/>
      <c r="L666" s="1286"/>
      <c r="M666" s="1286"/>
      <c r="R666" s="282"/>
      <c r="S666" s="282"/>
      <c r="T666" s="282"/>
      <c r="U666" s="282"/>
      <c r="V666" s="282"/>
      <c r="W666" s="282"/>
      <c r="X666" s="282"/>
      <c r="Y666" s="282"/>
      <c r="Z666" s="282"/>
      <c r="AA666" s="282"/>
    </row>
    <row r="667" spans="1:27" s="428" customFormat="1" outlineLevel="2">
      <c r="A667" s="276">
        <f t="shared" si="184"/>
        <v>369</v>
      </c>
      <c r="B667" s="757" t="str">
        <f t="shared" ref="B667:B672" si="188">$B369</f>
        <v>7th Grade Teacher</v>
      </c>
      <c r="C667" s="560"/>
      <c r="D667" s="429"/>
      <c r="G667" s="1286">
        <f t="shared" ref="G667:M672" si="189">G369*$C$89</f>
        <v>0</v>
      </c>
      <c r="H667" s="1286">
        <f t="shared" si="189"/>
        <v>3633.75</v>
      </c>
      <c r="I667" s="1286">
        <f t="shared" si="189"/>
        <v>3742.7624999999998</v>
      </c>
      <c r="J667" s="1286">
        <f t="shared" si="189"/>
        <v>3855.0453750000001</v>
      </c>
      <c r="K667" s="1286">
        <f t="shared" si="189"/>
        <v>3970.69673625</v>
      </c>
      <c r="L667" s="1286">
        <f t="shared" si="189"/>
        <v>4089.8176383374998</v>
      </c>
      <c r="M667" s="1286">
        <f t="shared" si="189"/>
        <v>4212.5121674876245</v>
      </c>
      <c r="R667" s="282"/>
      <c r="S667" s="282"/>
      <c r="T667" s="282"/>
      <c r="U667" s="282"/>
      <c r="V667" s="282"/>
      <c r="W667" s="282"/>
      <c r="X667" s="282"/>
      <c r="Y667" s="282"/>
      <c r="Z667" s="282"/>
      <c r="AA667" s="282"/>
    </row>
    <row r="668" spans="1:27" s="428" customFormat="1" outlineLevel="2">
      <c r="A668" s="276">
        <f t="shared" si="184"/>
        <v>370</v>
      </c>
      <c r="B668" s="757" t="str">
        <f t="shared" si="188"/>
        <v>7th Grade Teacher</v>
      </c>
      <c r="C668" s="560"/>
      <c r="D668" s="429"/>
      <c r="G668" s="1286">
        <f t="shared" si="189"/>
        <v>0</v>
      </c>
      <c r="H668" s="1286">
        <f t="shared" si="189"/>
        <v>3633.75</v>
      </c>
      <c r="I668" s="1286">
        <f t="shared" si="189"/>
        <v>3742.7624999999998</v>
      </c>
      <c r="J668" s="1286">
        <f t="shared" si="189"/>
        <v>3855.0453750000001</v>
      </c>
      <c r="K668" s="1286">
        <f t="shared" si="189"/>
        <v>3970.69673625</v>
      </c>
      <c r="L668" s="1286">
        <f t="shared" si="189"/>
        <v>4089.8176383374998</v>
      </c>
      <c r="M668" s="1286">
        <f t="shared" si="189"/>
        <v>4212.5121674876245</v>
      </c>
      <c r="R668" s="282"/>
      <c r="S668" s="282"/>
      <c r="T668" s="282"/>
      <c r="U668" s="282"/>
      <c r="V668" s="282"/>
      <c r="W668" s="282"/>
      <c r="X668" s="282"/>
      <c r="Y668" s="282"/>
      <c r="Z668" s="282"/>
      <c r="AA668" s="282"/>
    </row>
    <row r="669" spans="1:27" s="428" customFormat="1" outlineLevel="2">
      <c r="A669" s="276">
        <f t="shared" si="184"/>
        <v>371</v>
      </c>
      <c r="B669" s="757" t="str">
        <f t="shared" si="188"/>
        <v>7th Grade Teacher</v>
      </c>
      <c r="C669" s="560"/>
      <c r="D669" s="429"/>
      <c r="G669" s="1286">
        <f t="shared" si="189"/>
        <v>0</v>
      </c>
      <c r="H669" s="1286">
        <f t="shared" si="189"/>
        <v>0</v>
      </c>
      <c r="I669" s="1286">
        <f t="shared" si="189"/>
        <v>0</v>
      </c>
      <c r="J669" s="1286">
        <f t="shared" si="189"/>
        <v>0</v>
      </c>
      <c r="K669" s="1286">
        <f t="shared" si="189"/>
        <v>0</v>
      </c>
      <c r="L669" s="1286">
        <f t="shared" si="189"/>
        <v>0</v>
      </c>
      <c r="M669" s="1286">
        <f t="shared" si="189"/>
        <v>4212.5121674876245</v>
      </c>
      <c r="R669" s="282"/>
      <c r="S669" s="282"/>
      <c r="T669" s="282"/>
      <c r="U669" s="282"/>
      <c r="V669" s="282"/>
      <c r="W669" s="282"/>
      <c r="X669" s="282"/>
      <c r="Y669" s="282"/>
      <c r="Z669" s="282"/>
      <c r="AA669" s="282"/>
    </row>
    <row r="670" spans="1:27" s="428" customFormat="1" outlineLevel="2">
      <c r="A670" s="276">
        <f t="shared" si="184"/>
        <v>372</v>
      </c>
      <c r="B670" s="757">
        <f t="shared" si="188"/>
        <v>0</v>
      </c>
      <c r="C670" s="560"/>
      <c r="D670" s="429"/>
      <c r="G670" s="1286">
        <f t="shared" si="189"/>
        <v>0</v>
      </c>
      <c r="H670" s="1286">
        <f t="shared" si="189"/>
        <v>0</v>
      </c>
      <c r="I670" s="1286">
        <f t="shared" si="189"/>
        <v>0</v>
      </c>
      <c r="J670" s="1286">
        <f t="shared" si="189"/>
        <v>0</v>
      </c>
      <c r="K670" s="1286">
        <f t="shared" si="189"/>
        <v>0</v>
      </c>
      <c r="L670" s="1286">
        <f t="shared" si="189"/>
        <v>0</v>
      </c>
      <c r="M670" s="1286">
        <f t="shared" si="189"/>
        <v>0</v>
      </c>
      <c r="R670" s="282"/>
      <c r="S670" s="282"/>
      <c r="T670" s="282"/>
      <c r="U670" s="282"/>
      <c r="V670" s="282"/>
      <c r="W670" s="282"/>
      <c r="X670" s="282"/>
      <c r="Y670" s="282"/>
      <c r="Z670" s="282"/>
      <c r="AA670" s="282"/>
    </row>
    <row r="671" spans="1:27" s="428" customFormat="1" outlineLevel="2">
      <c r="A671" s="276">
        <f t="shared" si="184"/>
        <v>373</v>
      </c>
      <c r="B671" s="757">
        <f t="shared" si="188"/>
        <v>0</v>
      </c>
      <c r="C671" s="560"/>
      <c r="D671" s="429"/>
      <c r="G671" s="1286">
        <f t="shared" si="189"/>
        <v>0</v>
      </c>
      <c r="H671" s="1286">
        <f t="shared" si="189"/>
        <v>0</v>
      </c>
      <c r="I671" s="1286">
        <f t="shared" si="189"/>
        <v>0</v>
      </c>
      <c r="J671" s="1286">
        <f t="shared" si="189"/>
        <v>0</v>
      </c>
      <c r="K671" s="1286">
        <f t="shared" si="189"/>
        <v>0</v>
      </c>
      <c r="L671" s="1286">
        <f t="shared" si="189"/>
        <v>0</v>
      </c>
      <c r="M671" s="1286">
        <f t="shared" si="189"/>
        <v>0</v>
      </c>
      <c r="R671" s="282"/>
      <c r="S671" s="282"/>
      <c r="T671" s="282"/>
      <c r="U671" s="282"/>
      <c r="V671" s="282"/>
      <c r="W671" s="282"/>
      <c r="X671" s="282"/>
      <c r="Y671" s="282"/>
      <c r="Z671" s="282"/>
      <c r="AA671" s="282"/>
    </row>
    <row r="672" spans="1:27" s="428" customFormat="1" outlineLevel="2">
      <c r="A672" s="276">
        <f t="shared" si="184"/>
        <v>374</v>
      </c>
      <c r="B672" s="757">
        <f t="shared" si="188"/>
        <v>0</v>
      </c>
      <c r="C672" s="560"/>
      <c r="D672" s="429"/>
      <c r="G672" s="1286">
        <f t="shared" si="189"/>
        <v>0</v>
      </c>
      <c r="H672" s="1286">
        <f t="shared" si="189"/>
        <v>0</v>
      </c>
      <c r="I672" s="1286">
        <f t="shared" si="189"/>
        <v>0</v>
      </c>
      <c r="J672" s="1286">
        <f t="shared" si="189"/>
        <v>0</v>
      </c>
      <c r="K672" s="1286">
        <f t="shared" si="189"/>
        <v>0</v>
      </c>
      <c r="L672" s="1286">
        <f t="shared" si="189"/>
        <v>0</v>
      </c>
      <c r="M672" s="1286">
        <f t="shared" si="189"/>
        <v>0</v>
      </c>
      <c r="R672" s="282"/>
      <c r="S672" s="282"/>
      <c r="T672" s="282"/>
      <c r="U672" s="282"/>
      <c r="V672" s="282"/>
      <c r="W672" s="282"/>
      <c r="X672" s="282"/>
      <c r="Y672" s="282"/>
      <c r="Z672" s="282"/>
      <c r="AA672" s="282"/>
    </row>
    <row r="673" spans="1:27" s="431" customFormat="1" outlineLevel="2">
      <c r="A673" s="276">
        <f t="shared" si="184"/>
        <v>375</v>
      </c>
      <c r="B673" s="757"/>
      <c r="C673" s="561"/>
      <c r="D673" s="428"/>
      <c r="G673" s="1286"/>
      <c r="H673" s="1286"/>
      <c r="I673" s="1286"/>
      <c r="J673" s="1286"/>
      <c r="K673" s="1286"/>
      <c r="L673" s="1286"/>
      <c r="M673" s="1286"/>
      <c r="R673" s="282"/>
      <c r="S673" s="282"/>
      <c r="T673" s="282"/>
      <c r="U673" s="282"/>
      <c r="V673" s="282"/>
      <c r="W673" s="282"/>
      <c r="X673" s="282"/>
      <c r="Y673" s="282"/>
      <c r="Z673" s="282"/>
      <c r="AA673" s="282"/>
    </row>
    <row r="674" spans="1:27" s="428" customFormat="1" outlineLevel="2">
      <c r="A674" s="276">
        <f>ROW(A376)</f>
        <v>376</v>
      </c>
      <c r="B674" s="757" t="str">
        <f>$B376</f>
        <v>8th Grade Teacher</v>
      </c>
      <c r="C674" s="560"/>
      <c r="D674" s="429"/>
      <c r="G674" s="1286">
        <f t="shared" ref="G674:M678" si="190">G376*$C$89</f>
        <v>0</v>
      </c>
      <c r="H674" s="1286">
        <f t="shared" si="190"/>
        <v>0</v>
      </c>
      <c r="I674" s="1286">
        <f t="shared" si="190"/>
        <v>3742.7624999999998</v>
      </c>
      <c r="J674" s="1286">
        <f t="shared" si="190"/>
        <v>3855.0453750000001</v>
      </c>
      <c r="K674" s="1286">
        <f t="shared" si="190"/>
        <v>3970.69673625</v>
      </c>
      <c r="L674" s="1286">
        <f t="shared" si="190"/>
        <v>4089.8176383374998</v>
      </c>
      <c r="M674" s="1286">
        <f t="shared" si="190"/>
        <v>4212.5121674876245</v>
      </c>
      <c r="R674" s="282"/>
      <c r="S674" s="282"/>
      <c r="T674" s="282"/>
      <c r="U674" s="282"/>
      <c r="V674" s="282"/>
      <c r="W674" s="282"/>
      <c r="X674" s="282"/>
      <c r="Y674" s="282"/>
      <c r="Z674" s="282"/>
      <c r="AA674" s="282"/>
    </row>
    <row r="675" spans="1:27" s="428" customFormat="1" outlineLevel="2">
      <c r="A675" s="276">
        <f>ROW()</f>
        <v>675</v>
      </c>
      <c r="B675" s="757" t="str">
        <f t="shared" ref="B675:B690" si="191">$B377</f>
        <v>8th Grade Teacher</v>
      </c>
      <c r="C675" s="560"/>
      <c r="D675" s="429"/>
      <c r="G675" s="1286">
        <f t="shared" si="190"/>
        <v>0</v>
      </c>
      <c r="H675" s="1286">
        <f t="shared" si="190"/>
        <v>0</v>
      </c>
      <c r="I675" s="1286">
        <f t="shared" si="190"/>
        <v>3742.7624999999998</v>
      </c>
      <c r="J675" s="1286">
        <f t="shared" si="190"/>
        <v>3855.0453750000001</v>
      </c>
      <c r="K675" s="1286">
        <f t="shared" si="190"/>
        <v>3970.69673625</v>
      </c>
      <c r="L675" s="1286">
        <f t="shared" si="190"/>
        <v>4089.8176383374998</v>
      </c>
      <c r="M675" s="1286">
        <f t="shared" si="190"/>
        <v>4212.5121674876245</v>
      </c>
      <c r="R675" s="282"/>
      <c r="S675" s="282"/>
      <c r="T675" s="282"/>
      <c r="U675" s="282"/>
      <c r="V675" s="282"/>
      <c r="W675" s="282"/>
      <c r="X675" s="282"/>
      <c r="Y675" s="282"/>
      <c r="Z675" s="282"/>
      <c r="AA675" s="282"/>
    </row>
    <row r="676" spans="1:27" s="428" customFormat="1" outlineLevel="2">
      <c r="A676" s="276">
        <f>ROW()</f>
        <v>676</v>
      </c>
      <c r="B676" s="757" t="str">
        <f t="shared" si="191"/>
        <v>8th Grade Teacher</v>
      </c>
      <c r="C676" s="560"/>
      <c r="D676" s="429"/>
      <c r="G676" s="1286">
        <f t="shared" si="190"/>
        <v>0</v>
      </c>
      <c r="H676" s="1286">
        <f t="shared" si="190"/>
        <v>0</v>
      </c>
      <c r="I676" s="1286">
        <f t="shared" si="190"/>
        <v>0</v>
      </c>
      <c r="J676" s="1286">
        <f t="shared" si="190"/>
        <v>0</v>
      </c>
      <c r="K676" s="1286">
        <f t="shared" si="190"/>
        <v>0</v>
      </c>
      <c r="L676" s="1286">
        <f t="shared" si="190"/>
        <v>0</v>
      </c>
      <c r="M676" s="1286">
        <f t="shared" si="190"/>
        <v>4212.5121674876245</v>
      </c>
      <c r="R676" s="282"/>
      <c r="S676" s="282"/>
      <c r="T676" s="282"/>
      <c r="U676" s="282"/>
      <c r="V676" s="282"/>
      <c r="W676" s="282"/>
      <c r="X676" s="282"/>
      <c r="Y676" s="282"/>
      <c r="Z676" s="282"/>
      <c r="AA676" s="282"/>
    </row>
    <row r="677" spans="1:27" s="428" customFormat="1" outlineLevel="2">
      <c r="A677" s="276">
        <f>ROW()</f>
        <v>677</v>
      </c>
      <c r="B677" s="757">
        <f t="shared" si="191"/>
        <v>0</v>
      </c>
      <c r="C677" s="560"/>
      <c r="D677" s="429"/>
      <c r="G677" s="1286">
        <f t="shared" si="190"/>
        <v>0</v>
      </c>
      <c r="H677" s="1286">
        <f t="shared" si="190"/>
        <v>0</v>
      </c>
      <c r="I677" s="1286">
        <f t="shared" si="190"/>
        <v>0</v>
      </c>
      <c r="J677" s="1286">
        <f t="shared" si="190"/>
        <v>0</v>
      </c>
      <c r="K677" s="1286">
        <f t="shared" si="190"/>
        <v>0</v>
      </c>
      <c r="L677" s="1286">
        <f t="shared" si="190"/>
        <v>0</v>
      </c>
      <c r="M677" s="1286">
        <f t="shared" si="190"/>
        <v>0</v>
      </c>
      <c r="R677" s="282"/>
      <c r="S677" s="282"/>
      <c r="T677" s="282"/>
      <c r="U677" s="282"/>
      <c r="V677" s="282"/>
      <c r="W677" s="282"/>
      <c r="X677" s="282"/>
      <c r="Y677" s="282"/>
      <c r="Z677" s="282"/>
      <c r="AA677" s="282"/>
    </row>
    <row r="678" spans="1:27" s="428" customFormat="1" outlineLevel="2">
      <c r="A678" s="276">
        <f>ROW()</f>
        <v>678</v>
      </c>
      <c r="B678" s="757">
        <f t="shared" si="191"/>
        <v>0</v>
      </c>
      <c r="C678" s="560"/>
      <c r="D678" s="429"/>
      <c r="G678" s="1286">
        <f t="shared" si="190"/>
        <v>0</v>
      </c>
      <c r="H678" s="1286">
        <f t="shared" si="190"/>
        <v>0</v>
      </c>
      <c r="I678" s="1286">
        <f t="shared" si="190"/>
        <v>0</v>
      </c>
      <c r="J678" s="1286">
        <f t="shared" si="190"/>
        <v>0</v>
      </c>
      <c r="K678" s="1286">
        <f t="shared" si="190"/>
        <v>0</v>
      </c>
      <c r="L678" s="1286">
        <f t="shared" si="190"/>
        <v>0</v>
      </c>
      <c r="M678" s="1286">
        <f t="shared" si="190"/>
        <v>0</v>
      </c>
      <c r="R678" s="282"/>
      <c r="S678" s="282"/>
      <c r="T678" s="282"/>
      <c r="U678" s="282"/>
      <c r="V678" s="282"/>
      <c r="W678" s="282"/>
      <c r="X678" s="282"/>
      <c r="Y678" s="282"/>
      <c r="Z678" s="282"/>
      <c r="AA678" s="282"/>
    </row>
    <row r="679" spans="1:27" s="428" customFormat="1" outlineLevel="2">
      <c r="A679" s="276">
        <f>ROW()</f>
        <v>679</v>
      </c>
      <c r="B679" s="757"/>
      <c r="C679" s="560"/>
      <c r="D679" s="429"/>
      <c r="G679" s="1286"/>
      <c r="H679" s="1286"/>
      <c r="I679" s="1286"/>
      <c r="J679" s="1286"/>
      <c r="K679" s="1286"/>
      <c r="L679" s="1286"/>
      <c r="M679" s="1286"/>
      <c r="R679" s="282"/>
      <c r="S679" s="282"/>
      <c r="T679" s="282"/>
      <c r="U679" s="282"/>
      <c r="V679" s="282"/>
      <c r="W679" s="282"/>
      <c r="X679" s="282"/>
      <c r="Y679" s="282"/>
      <c r="Z679" s="282"/>
      <c r="AA679" s="282"/>
    </row>
    <row r="680" spans="1:27" s="428" customFormat="1" outlineLevel="2">
      <c r="A680" s="276">
        <f>ROW()</f>
        <v>680</v>
      </c>
      <c r="B680" s="757" t="str">
        <f t="shared" si="191"/>
        <v>9th Grade Teacher</v>
      </c>
      <c r="C680" s="560"/>
      <c r="D680" s="429"/>
      <c r="G680" s="1286">
        <f t="shared" ref="G680:M684" si="192">G382*$C$89</f>
        <v>0</v>
      </c>
      <c r="H680" s="1286">
        <f t="shared" si="192"/>
        <v>0</v>
      </c>
      <c r="I680" s="1286">
        <f t="shared" si="192"/>
        <v>0</v>
      </c>
      <c r="J680" s="1286">
        <f t="shared" si="192"/>
        <v>3855.0453750000001</v>
      </c>
      <c r="K680" s="1286">
        <f t="shared" si="192"/>
        <v>3970.69673625</v>
      </c>
      <c r="L680" s="1286">
        <f t="shared" si="192"/>
        <v>4089.8176383374998</v>
      </c>
      <c r="M680" s="1286">
        <f t="shared" si="192"/>
        <v>4212.5121674876245</v>
      </c>
      <c r="R680" s="282"/>
      <c r="S680" s="282"/>
      <c r="T680" s="282"/>
      <c r="U680" s="282"/>
      <c r="V680" s="282"/>
      <c r="W680" s="282"/>
      <c r="X680" s="282"/>
      <c r="Y680" s="282"/>
      <c r="Z680" s="282"/>
      <c r="AA680" s="282"/>
    </row>
    <row r="681" spans="1:27" s="428" customFormat="1" outlineLevel="2">
      <c r="A681" s="276">
        <f>ROW()</f>
        <v>681</v>
      </c>
      <c r="B681" s="757" t="str">
        <f t="shared" si="191"/>
        <v>9th Grade Teacher</v>
      </c>
      <c r="C681" s="560"/>
      <c r="D681" s="429"/>
      <c r="G681" s="1286">
        <f t="shared" si="192"/>
        <v>0</v>
      </c>
      <c r="H681" s="1286">
        <f t="shared" si="192"/>
        <v>0</v>
      </c>
      <c r="I681" s="1286">
        <f t="shared" si="192"/>
        <v>0</v>
      </c>
      <c r="J681" s="1286">
        <f t="shared" si="192"/>
        <v>3855.0453750000001</v>
      </c>
      <c r="K681" s="1286">
        <f t="shared" si="192"/>
        <v>3970.69673625</v>
      </c>
      <c r="L681" s="1286">
        <f t="shared" si="192"/>
        <v>4089.8176383374998</v>
      </c>
      <c r="M681" s="1286">
        <f t="shared" si="192"/>
        <v>4212.5121674876245</v>
      </c>
      <c r="R681" s="282"/>
      <c r="S681" s="282"/>
      <c r="T681" s="282"/>
      <c r="U681" s="282"/>
      <c r="V681" s="282"/>
      <c r="W681" s="282"/>
      <c r="X681" s="282"/>
      <c r="Y681" s="282"/>
      <c r="Z681" s="282"/>
      <c r="AA681" s="282"/>
    </row>
    <row r="682" spans="1:27" s="428" customFormat="1" outlineLevel="2">
      <c r="A682" s="276">
        <f>ROW()</f>
        <v>682</v>
      </c>
      <c r="B682" s="757" t="str">
        <f t="shared" si="191"/>
        <v>9th Grade Teacher</v>
      </c>
      <c r="C682" s="560"/>
      <c r="D682" s="429"/>
      <c r="G682" s="1286">
        <f t="shared" si="192"/>
        <v>0</v>
      </c>
      <c r="H682" s="1286">
        <f t="shared" si="192"/>
        <v>0</v>
      </c>
      <c r="I682" s="1286">
        <f t="shared" si="192"/>
        <v>0</v>
      </c>
      <c r="J682" s="1286">
        <f t="shared" si="192"/>
        <v>3855.0453750000001</v>
      </c>
      <c r="K682" s="1286">
        <f t="shared" si="192"/>
        <v>3970.69673625</v>
      </c>
      <c r="L682" s="1286">
        <f t="shared" si="192"/>
        <v>4089.8176383374998</v>
      </c>
      <c r="M682" s="1286">
        <f t="shared" si="192"/>
        <v>4212.5121674876245</v>
      </c>
      <c r="R682" s="282"/>
      <c r="S682" s="282"/>
      <c r="T682" s="282"/>
      <c r="U682" s="282"/>
      <c r="V682" s="282"/>
      <c r="W682" s="282"/>
      <c r="X682" s="282"/>
      <c r="Y682" s="282"/>
      <c r="Z682" s="282"/>
      <c r="AA682" s="282"/>
    </row>
    <row r="683" spans="1:27" s="428" customFormat="1" outlineLevel="2">
      <c r="A683" s="276">
        <f>ROW()</f>
        <v>683</v>
      </c>
      <c r="B683" s="757">
        <f t="shared" si="191"/>
        <v>0</v>
      </c>
      <c r="C683" s="560"/>
      <c r="D683" s="429"/>
      <c r="G683" s="1286">
        <f t="shared" si="192"/>
        <v>0</v>
      </c>
      <c r="H683" s="1286">
        <f t="shared" si="192"/>
        <v>0</v>
      </c>
      <c r="I683" s="1286">
        <f t="shared" si="192"/>
        <v>0</v>
      </c>
      <c r="J683" s="1286">
        <f t="shared" si="192"/>
        <v>0</v>
      </c>
      <c r="K683" s="1286">
        <f t="shared" si="192"/>
        <v>0</v>
      </c>
      <c r="L683" s="1286">
        <f t="shared" si="192"/>
        <v>0</v>
      </c>
      <c r="M683" s="1286">
        <f t="shared" si="192"/>
        <v>0</v>
      </c>
      <c r="R683" s="282"/>
      <c r="S683" s="282"/>
      <c r="T683" s="282"/>
      <c r="U683" s="282"/>
      <c r="V683" s="282"/>
      <c r="W683" s="282"/>
      <c r="X683" s="282"/>
      <c r="Y683" s="282"/>
      <c r="Z683" s="282"/>
      <c r="AA683" s="282"/>
    </row>
    <row r="684" spans="1:27" s="428" customFormat="1" outlineLevel="2">
      <c r="A684" s="276">
        <f>ROW()</f>
        <v>684</v>
      </c>
      <c r="B684" s="757">
        <f t="shared" si="191"/>
        <v>0</v>
      </c>
      <c r="C684" s="560"/>
      <c r="D684" s="429"/>
      <c r="G684" s="1286">
        <f t="shared" si="192"/>
        <v>0</v>
      </c>
      <c r="H684" s="1286">
        <f t="shared" si="192"/>
        <v>0</v>
      </c>
      <c r="I684" s="1286">
        <f t="shared" si="192"/>
        <v>0</v>
      </c>
      <c r="J684" s="1286">
        <f t="shared" si="192"/>
        <v>0</v>
      </c>
      <c r="K684" s="1286">
        <f t="shared" si="192"/>
        <v>0</v>
      </c>
      <c r="L684" s="1286">
        <f t="shared" si="192"/>
        <v>0</v>
      </c>
      <c r="M684" s="1286">
        <f t="shared" si="192"/>
        <v>0</v>
      </c>
      <c r="R684" s="282"/>
      <c r="S684" s="282"/>
      <c r="T684" s="282"/>
      <c r="U684" s="282"/>
      <c r="V684" s="282"/>
      <c r="W684" s="282"/>
      <c r="X684" s="282"/>
      <c r="Y684" s="282"/>
      <c r="Z684" s="282"/>
      <c r="AA684" s="282"/>
    </row>
    <row r="685" spans="1:27" s="428" customFormat="1" outlineLevel="2">
      <c r="A685" s="276">
        <f>ROW()</f>
        <v>685</v>
      </c>
      <c r="B685" s="757"/>
      <c r="C685" s="560"/>
      <c r="D685" s="429"/>
      <c r="G685" s="1286"/>
      <c r="H685" s="1286"/>
      <c r="I685" s="1286"/>
      <c r="J685" s="1286"/>
      <c r="K685" s="1286"/>
      <c r="L685" s="1286"/>
      <c r="M685" s="1286"/>
      <c r="R685" s="282"/>
      <c r="S685" s="282"/>
      <c r="T685" s="282"/>
      <c r="U685" s="282"/>
      <c r="V685" s="282"/>
      <c r="W685" s="282"/>
      <c r="X685" s="282"/>
      <c r="Y685" s="282"/>
      <c r="Z685" s="282"/>
      <c r="AA685" s="282"/>
    </row>
    <row r="686" spans="1:27" s="428" customFormat="1" outlineLevel="2">
      <c r="A686" s="276">
        <f>ROW()</f>
        <v>686</v>
      </c>
      <c r="B686" s="757" t="str">
        <f t="shared" si="191"/>
        <v>10th Grade Teacher</v>
      </c>
      <c r="C686" s="560"/>
      <c r="D686" s="429"/>
      <c r="G686" s="1286">
        <f t="shared" ref="G686:M690" si="193">G388*$C$89</f>
        <v>0</v>
      </c>
      <c r="H686" s="1286">
        <f t="shared" si="193"/>
        <v>0</v>
      </c>
      <c r="I686" s="1286">
        <f t="shared" si="193"/>
        <v>0</v>
      </c>
      <c r="J686" s="1286">
        <f t="shared" si="193"/>
        <v>0</v>
      </c>
      <c r="K686" s="1286">
        <f t="shared" si="193"/>
        <v>3970.69673625</v>
      </c>
      <c r="L686" s="1286">
        <f t="shared" si="193"/>
        <v>4089.8176383374998</v>
      </c>
      <c r="M686" s="1286">
        <f t="shared" si="193"/>
        <v>4212.5121674876245</v>
      </c>
      <c r="R686" s="282"/>
      <c r="S686" s="282"/>
      <c r="T686" s="282"/>
      <c r="U686" s="282"/>
      <c r="V686" s="282"/>
      <c r="W686" s="282"/>
      <c r="X686" s="282"/>
      <c r="Y686" s="282"/>
      <c r="Z686" s="282"/>
      <c r="AA686" s="282"/>
    </row>
    <row r="687" spans="1:27" s="428" customFormat="1" outlineLevel="2">
      <c r="A687" s="276">
        <f>ROW()</f>
        <v>687</v>
      </c>
      <c r="B687" s="757" t="str">
        <f t="shared" si="191"/>
        <v>10th Grade Teacher</v>
      </c>
      <c r="C687" s="560"/>
      <c r="D687" s="429"/>
      <c r="G687" s="1286">
        <f t="shared" si="193"/>
        <v>0</v>
      </c>
      <c r="H687" s="1286">
        <f t="shared" si="193"/>
        <v>0</v>
      </c>
      <c r="I687" s="1286">
        <f t="shared" si="193"/>
        <v>0</v>
      </c>
      <c r="J687" s="1286">
        <f t="shared" si="193"/>
        <v>0</v>
      </c>
      <c r="K687" s="1286">
        <f t="shared" si="193"/>
        <v>3970.69673625</v>
      </c>
      <c r="L687" s="1286">
        <f t="shared" si="193"/>
        <v>4089.8176383374998</v>
      </c>
      <c r="M687" s="1286">
        <f t="shared" si="193"/>
        <v>4212.5121674876245</v>
      </c>
      <c r="R687" s="282"/>
      <c r="S687" s="282"/>
      <c r="T687" s="282"/>
      <c r="U687" s="282"/>
      <c r="V687" s="282"/>
      <c r="W687" s="282"/>
      <c r="X687" s="282"/>
      <c r="Y687" s="282"/>
      <c r="Z687" s="282"/>
      <c r="AA687" s="282"/>
    </row>
    <row r="688" spans="1:27" s="428" customFormat="1" outlineLevel="2">
      <c r="A688" s="276">
        <f>ROW()</f>
        <v>688</v>
      </c>
      <c r="B688" s="757" t="str">
        <f t="shared" si="191"/>
        <v>10th Grade Teacher</v>
      </c>
      <c r="C688" s="560"/>
      <c r="D688" s="429"/>
      <c r="G688" s="1286">
        <f t="shared" si="193"/>
        <v>0</v>
      </c>
      <c r="H688" s="1286">
        <f t="shared" si="193"/>
        <v>0</v>
      </c>
      <c r="I688" s="1286">
        <f t="shared" si="193"/>
        <v>0</v>
      </c>
      <c r="J688" s="1286">
        <f t="shared" si="193"/>
        <v>0</v>
      </c>
      <c r="K688" s="1286">
        <f t="shared" si="193"/>
        <v>3970.69673625</v>
      </c>
      <c r="L688" s="1286">
        <f t="shared" si="193"/>
        <v>4089.8176383374998</v>
      </c>
      <c r="M688" s="1286">
        <f t="shared" si="193"/>
        <v>4212.5121674876245</v>
      </c>
      <c r="R688" s="282"/>
      <c r="S688" s="282"/>
      <c r="T688" s="282"/>
      <c r="U688" s="282"/>
      <c r="V688" s="282"/>
      <c r="W688" s="282"/>
      <c r="X688" s="282"/>
      <c r="Y688" s="282"/>
      <c r="Z688" s="282"/>
      <c r="AA688" s="282"/>
    </row>
    <row r="689" spans="1:27" s="428" customFormat="1" outlineLevel="2">
      <c r="A689" s="276">
        <f>ROW()</f>
        <v>689</v>
      </c>
      <c r="B689" s="757">
        <f t="shared" si="191"/>
        <v>0</v>
      </c>
      <c r="C689" s="560"/>
      <c r="D689" s="429"/>
      <c r="G689" s="1286">
        <f t="shared" si="193"/>
        <v>0</v>
      </c>
      <c r="H689" s="1286">
        <f t="shared" si="193"/>
        <v>0</v>
      </c>
      <c r="I689" s="1286">
        <f t="shared" si="193"/>
        <v>0</v>
      </c>
      <c r="J689" s="1286">
        <f t="shared" si="193"/>
        <v>0</v>
      </c>
      <c r="K689" s="1286">
        <f t="shared" si="193"/>
        <v>0</v>
      </c>
      <c r="L689" s="1286">
        <f t="shared" si="193"/>
        <v>0</v>
      </c>
      <c r="M689" s="1286">
        <f t="shared" si="193"/>
        <v>0</v>
      </c>
      <c r="R689" s="282"/>
      <c r="S689" s="282"/>
      <c r="T689" s="282"/>
      <c r="U689" s="282"/>
      <c r="V689" s="282"/>
      <c r="W689" s="282"/>
      <c r="X689" s="282"/>
      <c r="Y689" s="282"/>
      <c r="Z689" s="282"/>
      <c r="AA689" s="282"/>
    </row>
    <row r="690" spans="1:27" s="428" customFormat="1" outlineLevel="2">
      <c r="A690" s="276">
        <f>ROW()</f>
        <v>690</v>
      </c>
      <c r="B690" s="757">
        <f t="shared" si="191"/>
        <v>0</v>
      </c>
      <c r="C690" s="560"/>
      <c r="D690" s="429"/>
      <c r="G690" s="1286">
        <f t="shared" si="193"/>
        <v>0</v>
      </c>
      <c r="H690" s="1286">
        <f t="shared" si="193"/>
        <v>0</v>
      </c>
      <c r="I690" s="1286">
        <f t="shared" si="193"/>
        <v>0</v>
      </c>
      <c r="J690" s="1286">
        <f t="shared" si="193"/>
        <v>0</v>
      </c>
      <c r="K690" s="1286">
        <f t="shared" si="193"/>
        <v>0</v>
      </c>
      <c r="L690" s="1286">
        <f t="shared" si="193"/>
        <v>0</v>
      </c>
      <c r="M690" s="1286">
        <f t="shared" si="193"/>
        <v>0</v>
      </c>
      <c r="R690" s="282"/>
      <c r="S690" s="282"/>
      <c r="T690" s="282"/>
      <c r="U690" s="282"/>
      <c r="V690" s="282"/>
      <c r="W690" s="282"/>
      <c r="X690" s="282"/>
      <c r="Y690" s="282"/>
      <c r="Z690" s="282"/>
      <c r="AA690" s="282"/>
    </row>
    <row r="691" spans="1:27" s="431" customFormat="1" outlineLevel="2">
      <c r="A691" s="276">
        <f>ROW()</f>
        <v>691</v>
      </c>
      <c r="B691" s="757"/>
      <c r="C691" s="561"/>
      <c r="D691" s="428"/>
      <c r="G691" s="1286"/>
      <c r="H691" s="1286"/>
      <c r="I691" s="1286"/>
      <c r="J691" s="1286"/>
      <c r="K691" s="1286"/>
      <c r="L691" s="1286"/>
      <c r="M691" s="1286"/>
      <c r="R691" s="282"/>
      <c r="S691" s="282"/>
      <c r="T691" s="282"/>
      <c r="U691" s="282"/>
      <c r="V691" s="282"/>
      <c r="W691" s="282"/>
      <c r="X691" s="282"/>
      <c r="Y691" s="282"/>
      <c r="Z691" s="282"/>
      <c r="AA691" s="282"/>
    </row>
    <row r="692" spans="1:27" s="428" customFormat="1" outlineLevel="2">
      <c r="A692" s="276">
        <f>ROW()</f>
        <v>692</v>
      </c>
      <c r="B692" s="757" t="str">
        <f>$B$243</f>
        <v>11th Grade Teacher</v>
      </c>
      <c r="C692" s="560"/>
      <c r="D692" s="429"/>
      <c r="G692" s="1286">
        <f t="shared" ref="G692:M696" si="194">G394*$C$89</f>
        <v>0</v>
      </c>
      <c r="H692" s="1286">
        <f t="shared" si="194"/>
        <v>0</v>
      </c>
      <c r="I692" s="1286">
        <f t="shared" si="194"/>
        <v>0</v>
      </c>
      <c r="J692" s="1286">
        <f t="shared" si="194"/>
        <v>0</v>
      </c>
      <c r="K692" s="1286">
        <f t="shared" si="194"/>
        <v>0</v>
      </c>
      <c r="L692" s="1286">
        <f t="shared" si="194"/>
        <v>4089.8176383374998</v>
      </c>
      <c r="M692" s="1286">
        <f t="shared" si="194"/>
        <v>4212.5121674876245</v>
      </c>
      <c r="R692" s="282"/>
      <c r="S692" s="282"/>
      <c r="T692" s="282"/>
      <c r="U692" s="282"/>
      <c r="V692" s="282"/>
      <c r="W692" s="282"/>
      <c r="X692" s="282"/>
      <c r="Y692" s="282"/>
      <c r="Z692" s="282"/>
      <c r="AA692" s="282"/>
    </row>
    <row r="693" spans="1:27" s="428" customFormat="1" outlineLevel="2">
      <c r="A693" s="276">
        <f>ROW()</f>
        <v>693</v>
      </c>
      <c r="B693" s="757" t="str">
        <f>$B$244</f>
        <v>11th Grade Teacher</v>
      </c>
      <c r="C693" s="560"/>
      <c r="D693" s="429"/>
      <c r="G693" s="1286">
        <f t="shared" si="194"/>
        <v>0</v>
      </c>
      <c r="H693" s="1286">
        <f t="shared" si="194"/>
        <v>0</v>
      </c>
      <c r="I693" s="1286">
        <f t="shared" si="194"/>
        <v>0</v>
      </c>
      <c r="J693" s="1286">
        <f t="shared" si="194"/>
        <v>0</v>
      </c>
      <c r="K693" s="1286">
        <f t="shared" si="194"/>
        <v>0</v>
      </c>
      <c r="L693" s="1286">
        <f t="shared" si="194"/>
        <v>4089.8176383374998</v>
      </c>
      <c r="M693" s="1286">
        <f t="shared" si="194"/>
        <v>4212.5121674876245</v>
      </c>
      <c r="R693" s="282"/>
      <c r="S693" s="282"/>
      <c r="T693" s="282"/>
      <c r="U693" s="282"/>
      <c r="V693" s="282"/>
      <c r="W693" s="282"/>
      <c r="X693" s="282"/>
      <c r="Y693" s="282"/>
      <c r="Z693" s="282"/>
      <c r="AA693" s="282"/>
    </row>
    <row r="694" spans="1:27" s="428" customFormat="1" outlineLevel="2">
      <c r="A694" s="276">
        <f>ROW()</f>
        <v>694</v>
      </c>
      <c r="B694" s="757" t="str">
        <f>$B$245</f>
        <v>11th Grade Teacher</v>
      </c>
      <c r="C694" s="560"/>
      <c r="D694" s="429"/>
      <c r="G694" s="1286">
        <f t="shared" si="194"/>
        <v>0</v>
      </c>
      <c r="H694" s="1286">
        <f t="shared" si="194"/>
        <v>0</v>
      </c>
      <c r="I694" s="1286">
        <f t="shared" si="194"/>
        <v>0</v>
      </c>
      <c r="J694" s="1286">
        <f t="shared" si="194"/>
        <v>0</v>
      </c>
      <c r="K694" s="1286">
        <f t="shared" si="194"/>
        <v>0</v>
      </c>
      <c r="L694" s="1286">
        <f t="shared" si="194"/>
        <v>4089.8176383374998</v>
      </c>
      <c r="M694" s="1286">
        <f t="shared" si="194"/>
        <v>4212.5121674876245</v>
      </c>
      <c r="R694" s="282"/>
      <c r="S694" s="282"/>
      <c r="T694" s="282"/>
      <c r="U694" s="282"/>
      <c r="V694" s="282"/>
      <c r="W694" s="282"/>
      <c r="X694" s="282"/>
      <c r="Y694" s="282"/>
      <c r="Z694" s="282"/>
      <c r="AA694" s="282"/>
    </row>
    <row r="695" spans="1:27" s="428" customFormat="1" outlineLevel="2">
      <c r="A695" s="276">
        <f>ROW()</f>
        <v>695</v>
      </c>
      <c r="B695" s="757">
        <f>$B$246</f>
        <v>0</v>
      </c>
      <c r="C695" s="560"/>
      <c r="D695" s="429"/>
      <c r="G695" s="1286">
        <f t="shared" si="194"/>
        <v>0</v>
      </c>
      <c r="H695" s="1286">
        <f t="shared" si="194"/>
        <v>0</v>
      </c>
      <c r="I695" s="1286">
        <f t="shared" si="194"/>
        <v>0</v>
      </c>
      <c r="J695" s="1286">
        <f t="shared" si="194"/>
        <v>0</v>
      </c>
      <c r="K695" s="1286">
        <f t="shared" si="194"/>
        <v>0</v>
      </c>
      <c r="L695" s="1286">
        <f t="shared" si="194"/>
        <v>0</v>
      </c>
      <c r="M695" s="1286">
        <f t="shared" si="194"/>
        <v>0</v>
      </c>
      <c r="R695" s="282"/>
      <c r="S695" s="282"/>
      <c r="T695" s="282"/>
      <c r="U695" s="282"/>
      <c r="V695" s="282"/>
      <c r="W695" s="282"/>
      <c r="X695" s="282"/>
      <c r="Y695" s="282"/>
      <c r="Z695" s="282"/>
      <c r="AA695" s="282"/>
    </row>
    <row r="696" spans="1:27" s="428" customFormat="1" outlineLevel="2">
      <c r="A696" s="276">
        <f>ROW()</f>
        <v>696</v>
      </c>
      <c r="B696" s="757">
        <f>$B$247</f>
        <v>0</v>
      </c>
      <c r="C696" s="560"/>
      <c r="D696" s="429"/>
      <c r="G696" s="1286">
        <f t="shared" si="194"/>
        <v>0</v>
      </c>
      <c r="H696" s="1286">
        <f t="shared" si="194"/>
        <v>0</v>
      </c>
      <c r="I696" s="1286">
        <f t="shared" si="194"/>
        <v>0</v>
      </c>
      <c r="J696" s="1286">
        <f t="shared" si="194"/>
        <v>0</v>
      </c>
      <c r="K696" s="1286">
        <f t="shared" si="194"/>
        <v>0</v>
      </c>
      <c r="L696" s="1286">
        <f t="shared" si="194"/>
        <v>0</v>
      </c>
      <c r="M696" s="1286">
        <f t="shared" si="194"/>
        <v>0</v>
      </c>
      <c r="R696" s="282"/>
      <c r="S696" s="282"/>
      <c r="T696" s="282"/>
      <c r="U696" s="282"/>
      <c r="V696" s="282"/>
      <c r="W696" s="282"/>
      <c r="X696" s="282"/>
      <c r="Y696" s="282"/>
      <c r="Z696" s="282"/>
      <c r="AA696" s="282"/>
    </row>
    <row r="697" spans="1:27" s="431" customFormat="1" outlineLevel="2">
      <c r="A697" s="276">
        <f>ROW()</f>
        <v>697</v>
      </c>
      <c r="B697" s="757"/>
      <c r="C697" s="561"/>
      <c r="D697" s="428"/>
      <c r="G697" s="1286"/>
      <c r="H697" s="1286"/>
      <c r="I697" s="1286"/>
      <c r="J697" s="1286"/>
      <c r="K697" s="1286"/>
      <c r="L697" s="1286"/>
      <c r="M697" s="1286"/>
      <c r="R697" s="282"/>
      <c r="S697" s="282"/>
      <c r="T697" s="282"/>
      <c r="U697" s="282"/>
      <c r="V697" s="282"/>
      <c r="W697" s="282"/>
      <c r="X697" s="282"/>
      <c r="Y697" s="282"/>
      <c r="Z697" s="282"/>
      <c r="AA697" s="282"/>
    </row>
    <row r="698" spans="1:27" s="428" customFormat="1" outlineLevel="2">
      <c r="A698" s="276">
        <f>ROW()</f>
        <v>698</v>
      </c>
      <c r="B698" s="757" t="str">
        <f>$B$249</f>
        <v>12th Grade Teacher</v>
      </c>
      <c r="C698" s="560"/>
      <c r="D698" s="429"/>
      <c r="G698" s="1286">
        <f t="shared" ref="G698:M702" si="195">G400*$C$89</f>
        <v>0</v>
      </c>
      <c r="H698" s="1286">
        <f t="shared" si="195"/>
        <v>0</v>
      </c>
      <c r="I698" s="1286">
        <f t="shared" si="195"/>
        <v>0</v>
      </c>
      <c r="J698" s="1286">
        <f t="shared" si="195"/>
        <v>0</v>
      </c>
      <c r="K698" s="1286">
        <f t="shared" si="195"/>
        <v>0</v>
      </c>
      <c r="L698" s="1286">
        <f t="shared" si="195"/>
        <v>0</v>
      </c>
      <c r="M698" s="1286">
        <f t="shared" si="195"/>
        <v>4212.5121674876245</v>
      </c>
      <c r="R698" s="282"/>
      <c r="S698" s="282"/>
      <c r="T698" s="282"/>
      <c r="U698" s="282"/>
      <c r="V698" s="282"/>
      <c r="W698" s="282"/>
      <c r="X698" s="282"/>
      <c r="Y698" s="282"/>
      <c r="Z698" s="282"/>
      <c r="AA698" s="282"/>
    </row>
    <row r="699" spans="1:27" s="428" customFormat="1" outlineLevel="2">
      <c r="A699" s="276">
        <f>ROW()</f>
        <v>699</v>
      </c>
      <c r="B699" s="757" t="str">
        <f>$B$250</f>
        <v>12th Grade Teacher</v>
      </c>
      <c r="C699" s="560"/>
      <c r="D699" s="429"/>
      <c r="G699" s="1286">
        <f t="shared" si="195"/>
        <v>0</v>
      </c>
      <c r="H699" s="1286">
        <f t="shared" si="195"/>
        <v>0</v>
      </c>
      <c r="I699" s="1286">
        <f t="shared" si="195"/>
        <v>0</v>
      </c>
      <c r="J699" s="1286">
        <f t="shared" si="195"/>
        <v>0</v>
      </c>
      <c r="K699" s="1286">
        <f t="shared" si="195"/>
        <v>0</v>
      </c>
      <c r="L699" s="1286">
        <f t="shared" si="195"/>
        <v>0</v>
      </c>
      <c r="M699" s="1286">
        <f t="shared" si="195"/>
        <v>4212.5121674876245</v>
      </c>
      <c r="R699" s="282"/>
      <c r="S699" s="282"/>
      <c r="T699" s="282"/>
      <c r="U699" s="282"/>
      <c r="V699" s="282"/>
      <c r="W699" s="282"/>
      <c r="X699" s="282"/>
      <c r="Y699" s="282"/>
      <c r="Z699" s="282"/>
      <c r="AA699" s="282"/>
    </row>
    <row r="700" spans="1:27" s="428" customFormat="1" outlineLevel="2">
      <c r="A700" s="276">
        <f>ROW()</f>
        <v>700</v>
      </c>
      <c r="B700" s="757" t="str">
        <f>$B$251</f>
        <v>12th Grade Teacher</v>
      </c>
      <c r="C700" s="560"/>
      <c r="D700" s="429"/>
      <c r="G700" s="1286">
        <f t="shared" si="195"/>
        <v>0</v>
      </c>
      <c r="H700" s="1286">
        <f t="shared" si="195"/>
        <v>0</v>
      </c>
      <c r="I700" s="1286">
        <f t="shared" si="195"/>
        <v>0</v>
      </c>
      <c r="J700" s="1286">
        <f t="shared" si="195"/>
        <v>0</v>
      </c>
      <c r="K700" s="1286">
        <f t="shared" si="195"/>
        <v>0</v>
      </c>
      <c r="L700" s="1286">
        <f t="shared" si="195"/>
        <v>0</v>
      </c>
      <c r="M700" s="1286">
        <f t="shared" si="195"/>
        <v>4212.5121674876245</v>
      </c>
      <c r="R700" s="282"/>
      <c r="S700" s="282"/>
      <c r="T700" s="282"/>
      <c r="U700" s="282"/>
      <c r="V700" s="282"/>
      <c r="W700" s="282"/>
      <c r="X700" s="282"/>
      <c r="Y700" s="282"/>
      <c r="Z700" s="282"/>
      <c r="AA700" s="282"/>
    </row>
    <row r="701" spans="1:27" s="428" customFormat="1" outlineLevel="2">
      <c r="A701" s="276">
        <f>ROW()</f>
        <v>701</v>
      </c>
      <c r="B701" s="757">
        <f>$B$252</f>
        <v>0</v>
      </c>
      <c r="C701" s="560"/>
      <c r="D701" s="429"/>
      <c r="G701" s="1286">
        <f t="shared" si="195"/>
        <v>0</v>
      </c>
      <c r="H701" s="1286">
        <f t="shared" si="195"/>
        <v>0</v>
      </c>
      <c r="I701" s="1286">
        <f t="shared" si="195"/>
        <v>0</v>
      </c>
      <c r="J701" s="1286">
        <f t="shared" si="195"/>
        <v>0</v>
      </c>
      <c r="K701" s="1286">
        <f t="shared" si="195"/>
        <v>0</v>
      </c>
      <c r="L701" s="1286">
        <f t="shared" si="195"/>
        <v>0</v>
      </c>
      <c r="M701" s="1286">
        <f t="shared" si="195"/>
        <v>0</v>
      </c>
      <c r="R701" s="282"/>
      <c r="S701" s="282"/>
      <c r="T701" s="282"/>
      <c r="U701" s="282"/>
      <c r="V701" s="282"/>
      <c r="W701" s="282"/>
      <c r="X701" s="282"/>
      <c r="Y701" s="282"/>
      <c r="Z701" s="282"/>
      <c r="AA701" s="282"/>
    </row>
    <row r="702" spans="1:27" s="428" customFormat="1" outlineLevel="2">
      <c r="A702" s="276">
        <f>ROW()</f>
        <v>702</v>
      </c>
      <c r="B702" s="757">
        <f>$B$253</f>
        <v>0</v>
      </c>
      <c r="C702" s="560"/>
      <c r="D702" s="429"/>
      <c r="G702" s="1286">
        <f t="shared" si="195"/>
        <v>0</v>
      </c>
      <c r="H702" s="1286">
        <f t="shared" si="195"/>
        <v>0</v>
      </c>
      <c r="I702" s="1286">
        <f t="shared" si="195"/>
        <v>0</v>
      </c>
      <c r="J702" s="1286">
        <f t="shared" si="195"/>
        <v>0</v>
      </c>
      <c r="K702" s="1286">
        <f t="shared" si="195"/>
        <v>0</v>
      </c>
      <c r="L702" s="1286">
        <f t="shared" si="195"/>
        <v>0</v>
      </c>
      <c r="M702" s="1286">
        <f t="shared" si="195"/>
        <v>0</v>
      </c>
      <c r="R702" s="282"/>
      <c r="S702" s="282"/>
      <c r="T702" s="282"/>
      <c r="U702" s="282"/>
      <c r="V702" s="282"/>
      <c r="W702" s="282"/>
      <c r="X702" s="282"/>
      <c r="Y702" s="282"/>
      <c r="Z702" s="282"/>
      <c r="AA702" s="282"/>
    </row>
    <row r="703" spans="1:27" s="428" customFormat="1" outlineLevel="2">
      <c r="A703" s="276">
        <f>ROW()</f>
        <v>703</v>
      </c>
      <c r="B703" s="757"/>
      <c r="C703" s="560"/>
      <c r="D703" s="429"/>
      <c r="G703" s="1286"/>
      <c r="H703" s="1286"/>
      <c r="I703" s="1286"/>
      <c r="J703" s="1286"/>
      <c r="K703" s="1286"/>
      <c r="L703" s="1286"/>
      <c r="M703" s="1286"/>
      <c r="R703" s="282"/>
      <c r="S703" s="282"/>
      <c r="T703" s="282"/>
      <c r="U703" s="282"/>
      <c r="V703" s="282"/>
      <c r="W703" s="282"/>
      <c r="X703" s="282"/>
      <c r="Y703" s="282"/>
      <c r="Z703" s="282"/>
      <c r="AA703" s="282"/>
    </row>
    <row r="704" spans="1:27" s="428" customFormat="1" outlineLevel="2">
      <c r="A704" s="276">
        <f>ROW()</f>
        <v>704</v>
      </c>
      <c r="B704" s="757" t="str">
        <f>$B$255</f>
        <v>Instructional Aide</v>
      </c>
      <c r="C704" s="560"/>
      <c r="D704" s="429"/>
      <c r="G704" s="1286">
        <f t="shared" ref="G704:M708" si="196">G406*$C$89</f>
        <v>0</v>
      </c>
      <c r="H704" s="1286">
        <f t="shared" si="196"/>
        <v>2295</v>
      </c>
      <c r="I704" s="1286">
        <f t="shared" si="196"/>
        <v>2363.85</v>
      </c>
      <c r="J704" s="1286">
        <f t="shared" si="196"/>
        <v>2434.7655</v>
      </c>
      <c r="K704" s="1286">
        <f t="shared" si="196"/>
        <v>2507.8084649999996</v>
      </c>
      <c r="L704" s="1286">
        <f t="shared" si="196"/>
        <v>2583.0427189499997</v>
      </c>
      <c r="M704" s="1286">
        <f t="shared" si="196"/>
        <v>2660.5340005184994</v>
      </c>
      <c r="R704" s="282"/>
      <c r="S704" s="282"/>
      <c r="T704" s="282"/>
      <c r="U704" s="282"/>
      <c r="V704" s="282"/>
      <c r="W704" s="282"/>
      <c r="X704" s="282"/>
      <c r="Y704" s="282"/>
      <c r="Z704" s="282"/>
      <c r="AA704" s="282"/>
    </row>
    <row r="705" spans="1:27" s="428" customFormat="1" outlineLevel="2">
      <c r="A705" s="276">
        <f>ROW()</f>
        <v>705</v>
      </c>
      <c r="B705" s="757" t="str">
        <f>$B$256</f>
        <v>Instructional Aide</v>
      </c>
      <c r="C705" s="560"/>
      <c r="D705" s="429"/>
      <c r="G705" s="1286">
        <f t="shared" si="196"/>
        <v>0</v>
      </c>
      <c r="H705" s="1286">
        <f t="shared" si="196"/>
        <v>0</v>
      </c>
      <c r="I705" s="1286">
        <f t="shared" si="196"/>
        <v>2363.85</v>
      </c>
      <c r="J705" s="1286">
        <f t="shared" si="196"/>
        <v>2434.7655</v>
      </c>
      <c r="K705" s="1286">
        <f t="shared" si="196"/>
        <v>2507.8084649999996</v>
      </c>
      <c r="L705" s="1286">
        <f t="shared" si="196"/>
        <v>2583.0427189499997</v>
      </c>
      <c r="M705" s="1286">
        <f t="shared" si="196"/>
        <v>2660.5340005184994</v>
      </c>
      <c r="R705" s="282"/>
      <c r="S705" s="282"/>
      <c r="T705" s="282"/>
      <c r="U705" s="282"/>
      <c r="V705" s="282"/>
      <c r="W705" s="282"/>
      <c r="X705" s="282"/>
      <c r="Y705" s="282"/>
      <c r="Z705" s="282"/>
      <c r="AA705" s="282"/>
    </row>
    <row r="706" spans="1:27" s="428" customFormat="1" outlineLevel="2">
      <c r="A706" s="276">
        <f>ROW()</f>
        <v>706</v>
      </c>
      <c r="B706" s="757" t="str">
        <f>$B$257</f>
        <v>Instructional Aide</v>
      </c>
      <c r="C706" s="560"/>
      <c r="D706" s="429"/>
      <c r="G706" s="1286">
        <f t="shared" si="196"/>
        <v>0</v>
      </c>
      <c r="H706" s="1286">
        <f t="shared" si="196"/>
        <v>0</v>
      </c>
      <c r="I706" s="1286">
        <f t="shared" si="196"/>
        <v>2363.85</v>
      </c>
      <c r="J706" s="1286">
        <f t="shared" si="196"/>
        <v>2434.7655</v>
      </c>
      <c r="K706" s="1286">
        <f t="shared" si="196"/>
        <v>2507.8084649999996</v>
      </c>
      <c r="L706" s="1286">
        <f t="shared" si="196"/>
        <v>2583.0427189499997</v>
      </c>
      <c r="M706" s="1286">
        <f t="shared" si="196"/>
        <v>2660.5340005184994</v>
      </c>
      <c r="R706" s="282"/>
      <c r="S706" s="282"/>
      <c r="T706" s="282"/>
      <c r="U706" s="282"/>
      <c r="V706" s="282"/>
      <c r="W706" s="282"/>
      <c r="X706" s="282"/>
      <c r="Y706" s="282"/>
      <c r="Z706" s="282"/>
      <c r="AA706" s="282"/>
    </row>
    <row r="707" spans="1:27" s="428" customFormat="1" outlineLevel="2">
      <c r="A707" s="276">
        <f>ROW()</f>
        <v>707</v>
      </c>
      <c r="B707" s="757" t="str">
        <f>$B$258</f>
        <v>Instructional Aide</v>
      </c>
      <c r="C707" s="560"/>
      <c r="D707" s="429"/>
      <c r="G707" s="1286">
        <f t="shared" si="196"/>
        <v>0</v>
      </c>
      <c r="H707" s="1286">
        <f t="shared" si="196"/>
        <v>0</v>
      </c>
      <c r="I707" s="1286">
        <f t="shared" si="196"/>
        <v>0</v>
      </c>
      <c r="J707" s="1286">
        <f t="shared" si="196"/>
        <v>2434.7655</v>
      </c>
      <c r="K707" s="1286">
        <f t="shared" si="196"/>
        <v>2507.8084649999996</v>
      </c>
      <c r="L707" s="1286">
        <f t="shared" si="196"/>
        <v>2583.0427189499997</v>
      </c>
      <c r="M707" s="1286">
        <f t="shared" si="196"/>
        <v>2660.5340005184994</v>
      </c>
      <c r="R707" s="282"/>
      <c r="S707" s="282"/>
      <c r="T707" s="282"/>
      <c r="U707" s="282"/>
      <c r="V707" s="282"/>
      <c r="W707" s="282"/>
      <c r="X707" s="282"/>
      <c r="Y707" s="282"/>
      <c r="Z707" s="282"/>
      <c r="AA707" s="282"/>
    </row>
    <row r="708" spans="1:27" s="428" customFormat="1" outlineLevel="2">
      <c r="A708" s="276">
        <f>ROW()</f>
        <v>708</v>
      </c>
      <c r="B708" s="757" t="str">
        <f>$B$259</f>
        <v>Instructional Aide</v>
      </c>
      <c r="C708" s="560"/>
      <c r="D708" s="429"/>
      <c r="G708" s="1286">
        <f t="shared" si="196"/>
        <v>0</v>
      </c>
      <c r="H708" s="1286">
        <f t="shared" si="196"/>
        <v>0</v>
      </c>
      <c r="I708" s="1286">
        <f t="shared" si="196"/>
        <v>0</v>
      </c>
      <c r="J708" s="1286">
        <f t="shared" si="196"/>
        <v>2434.7655</v>
      </c>
      <c r="K708" s="1286">
        <f t="shared" si="196"/>
        <v>2507.8084649999996</v>
      </c>
      <c r="L708" s="1286">
        <f t="shared" si="196"/>
        <v>2583.0427189499997</v>
      </c>
      <c r="M708" s="1286">
        <f t="shared" si="196"/>
        <v>2660.5340005184994</v>
      </c>
      <c r="R708" s="282"/>
      <c r="S708" s="282"/>
      <c r="T708" s="282"/>
      <c r="U708" s="282"/>
      <c r="V708" s="282"/>
      <c r="W708" s="282"/>
      <c r="X708" s="282"/>
      <c r="Y708" s="282"/>
      <c r="Z708" s="282"/>
      <c r="AA708" s="282"/>
    </row>
    <row r="709" spans="1:27" s="428" customFormat="1" outlineLevel="2">
      <c r="A709" s="276">
        <f>ROW()</f>
        <v>709</v>
      </c>
      <c r="B709" s="757"/>
      <c r="C709" s="560"/>
      <c r="D709" s="429"/>
      <c r="G709" s="1286"/>
      <c r="H709" s="1286"/>
      <c r="I709" s="1286"/>
      <c r="J709" s="1286"/>
      <c r="K709" s="1286"/>
      <c r="L709" s="1286"/>
      <c r="M709" s="1286"/>
      <c r="R709" s="282"/>
      <c r="S709" s="282"/>
      <c r="T709" s="282"/>
      <c r="U709" s="282"/>
      <c r="V709" s="282"/>
      <c r="W709" s="282"/>
      <c r="X709" s="282"/>
      <c r="Y709" s="282"/>
      <c r="Z709" s="282"/>
      <c r="AA709" s="282"/>
    </row>
    <row r="710" spans="1:27" s="428" customFormat="1" outlineLevel="2">
      <c r="A710" s="276">
        <f>ROW()</f>
        <v>710</v>
      </c>
      <c r="B710" s="757" t="str">
        <f>$B$261</f>
        <v>Instructional Aide</v>
      </c>
      <c r="C710" s="560"/>
      <c r="D710" s="429"/>
      <c r="G710" s="1286">
        <f t="shared" ref="G710:M714" si="197">G412*$C$89</f>
        <v>0</v>
      </c>
      <c r="H710" s="1286">
        <f t="shared" si="197"/>
        <v>0</v>
      </c>
      <c r="I710" s="1286">
        <f t="shared" si="197"/>
        <v>0</v>
      </c>
      <c r="J710" s="1286">
        <f t="shared" si="197"/>
        <v>0</v>
      </c>
      <c r="K710" s="1286">
        <f t="shared" si="197"/>
        <v>2507.8084649999996</v>
      </c>
      <c r="L710" s="1286">
        <f t="shared" si="197"/>
        <v>2583.0427189499997</v>
      </c>
      <c r="M710" s="1286">
        <f t="shared" si="197"/>
        <v>2660.5340005184994</v>
      </c>
      <c r="R710" s="282"/>
      <c r="S710" s="282"/>
      <c r="T710" s="282"/>
      <c r="U710" s="282"/>
      <c r="V710" s="282"/>
      <c r="W710" s="282"/>
      <c r="X710" s="282"/>
      <c r="Y710" s="282"/>
      <c r="Z710" s="282"/>
      <c r="AA710" s="282"/>
    </row>
    <row r="711" spans="1:27" s="428" customFormat="1" outlineLevel="2">
      <c r="A711" s="276">
        <f>ROW()</f>
        <v>711</v>
      </c>
      <c r="B711" s="757" t="str">
        <f>$B$262</f>
        <v>Instructional Aide</v>
      </c>
      <c r="C711" s="560"/>
      <c r="D711" s="429"/>
      <c r="G711" s="1286">
        <f t="shared" si="197"/>
        <v>0</v>
      </c>
      <c r="H711" s="1286">
        <f t="shared" si="197"/>
        <v>0</v>
      </c>
      <c r="I711" s="1286">
        <f t="shared" si="197"/>
        <v>0</v>
      </c>
      <c r="J711" s="1286">
        <f t="shared" si="197"/>
        <v>0</v>
      </c>
      <c r="K711" s="1286">
        <f t="shared" si="197"/>
        <v>2507.8084649999996</v>
      </c>
      <c r="L711" s="1286">
        <f t="shared" si="197"/>
        <v>2583.0427189499997</v>
      </c>
      <c r="M711" s="1286">
        <f t="shared" si="197"/>
        <v>2660.5340005184994</v>
      </c>
      <c r="R711" s="282"/>
      <c r="S711" s="282"/>
      <c r="T711" s="282"/>
      <c r="U711" s="282"/>
      <c r="V711" s="282"/>
      <c r="W711" s="282"/>
      <c r="X711" s="282"/>
      <c r="Y711" s="282"/>
      <c r="Z711" s="282"/>
      <c r="AA711" s="282"/>
    </row>
    <row r="712" spans="1:27" s="428" customFormat="1" outlineLevel="2">
      <c r="A712" s="276">
        <f>ROW()</f>
        <v>712</v>
      </c>
      <c r="B712" s="757" t="str">
        <f>$B$263</f>
        <v>Instructional Aide</v>
      </c>
      <c r="C712" s="560"/>
      <c r="D712" s="429"/>
      <c r="G712" s="1286">
        <f t="shared" si="197"/>
        <v>0</v>
      </c>
      <c r="H712" s="1286">
        <f t="shared" si="197"/>
        <v>0</v>
      </c>
      <c r="I712" s="1286">
        <f t="shared" si="197"/>
        <v>0</v>
      </c>
      <c r="J712" s="1286">
        <f t="shared" si="197"/>
        <v>0</v>
      </c>
      <c r="K712" s="1286">
        <f t="shared" si="197"/>
        <v>0</v>
      </c>
      <c r="L712" s="1286">
        <f t="shared" si="197"/>
        <v>2583.0427189499997</v>
      </c>
      <c r="M712" s="1286">
        <f t="shared" si="197"/>
        <v>2660.5340005184994</v>
      </c>
      <c r="Q712" s="282"/>
      <c r="R712" s="282"/>
      <c r="S712" s="282"/>
      <c r="T712" s="282"/>
      <c r="U712" s="282"/>
      <c r="V712" s="282"/>
      <c r="W712" s="282"/>
      <c r="X712" s="282"/>
      <c r="Y712" s="282"/>
      <c r="Z712" s="282"/>
      <c r="AA712" s="282"/>
    </row>
    <row r="713" spans="1:27" s="428" customFormat="1" outlineLevel="2">
      <c r="A713" s="276">
        <f>ROW()</f>
        <v>713</v>
      </c>
      <c r="B713" s="757" t="str">
        <f>$B$264</f>
        <v>Instructional Aide</v>
      </c>
      <c r="C713" s="560"/>
      <c r="D713" s="429"/>
      <c r="G713" s="1286">
        <f t="shared" si="197"/>
        <v>0</v>
      </c>
      <c r="H713" s="1286">
        <f t="shared" si="197"/>
        <v>0</v>
      </c>
      <c r="I713" s="1286">
        <f t="shared" si="197"/>
        <v>0</v>
      </c>
      <c r="J713" s="1286">
        <f t="shared" si="197"/>
        <v>0</v>
      </c>
      <c r="K713" s="1286">
        <f t="shared" si="197"/>
        <v>0</v>
      </c>
      <c r="L713" s="1286">
        <f t="shared" si="197"/>
        <v>2583.0427189499997</v>
      </c>
      <c r="M713" s="1286">
        <f t="shared" si="197"/>
        <v>2660.5340005184994</v>
      </c>
      <c r="Q713" s="282"/>
      <c r="R713" s="282"/>
      <c r="S713" s="282"/>
      <c r="T713" s="282"/>
      <c r="U713" s="282"/>
      <c r="V713" s="282"/>
      <c r="W713" s="282"/>
      <c r="X713" s="282"/>
      <c r="Y713" s="282"/>
      <c r="Z713" s="282"/>
      <c r="AA713" s="282"/>
    </row>
    <row r="714" spans="1:27" s="428" customFormat="1" outlineLevel="2">
      <c r="A714" s="276">
        <f>ROW()</f>
        <v>714</v>
      </c>
      <c r="B714" s="757" t="str">
        <f>$B$265</f>
        <v>Instructional Aide</v>
      </c>
      <c r="C714" s="560"/>
      <c r="D714" s="429"/>
      <c r="G714" s="1286">
        <f t="shared" si="197"/>
        <v>0</v>
      </c>
      <c r="H714" s="1286">
        <f t="shared" si="197"/>
        <v>0</v>
      </c>
      <c r="I714" s="1286">
        <f t="shared" si="197"/>
        <v>0</v>
      </c>
      <c r="J714" s="1286">
        <f t="shared" si="197"/>
        <v>0</v>
      </c>
      <c r="K714" s="1286">
        <f t="shared" si="197"/>
        <v>0</v>
      </c>
      <c r="L714" s="1286">
        <f t="shared" si="197"/>
        <v>0</v>
      </c>
      <c r="M714" s="1286">
        <f t="shared" si="197"/>
        <v>2660.5340005184994</v>
      </c>
      <c r="Q714" s="282"/>
      <c r="R714" s="282"/>
      <c r="S714" s="282"/>
      <c r="T714" s="282"/>
      <c r="U714" s="282"/>
      <c r="V714" s="282"/>
      <c r="W714" s="282"/>
      <c r="X714" s="282"/>
      <c r="Y714" s="282"/>
      <c r="Z714" s="282"/>
      <c r="AA714" s="282"/>
    </row>
    <row r="715" spans="1:27" s="431" customFormat="1" outlineLevel="2">
      <c r="A715" s="276">
        <f>ROW()</f>
        <v>715</v>
      </c>
      <c r="B715" s="428"/>
      <c r="C715" s="561"/>
      <c r="D715" s="428"/>
      <c r="G715" s="1286"/>
      <c r="H715" s="1286"/>
      <c r="I715" s="1286"/>
      <c r="J715" s="1286"/>
      <c r="K715" s="1286"/>
      <c r="L715" s="1286"/>
      <c r="M715" s="1286"/>
      <c r="Q715" s="282"/>
      <c r="R715" s="282"/>
      <c r="S715" s="282"/>
      <c r="T715" s="282"/>
      <c r="U715" s="282"/>
      <c r="V715" s="282"/>
      <c r="W715" s="282"/>
      <c r="X715" s="282"/>
      <c r="Y715" s="282"/>
      <c r="Z715" s="282"/>
      <c r="AA715" s="282"/>
    </row>
    <row r="716" spans="1:27" s="431" customFormat="1" outlineLevel="2">
      <c r="A716" s="276">
        <f>ROW()</f>
        <v>716</v>
      </c>
      <c r="B716" s="700" t="s">
        <v>100</v>
      </c>
      <c r="C716" s="732"/>
      <c r="D716" s="700"/>
      <c r="E716" s="749"/>
      <c r="F716" s="749"/>
      <c r="G716" s="1287">
        <f t="shared" ref="G716:M716" si="198">SUM(G609:G714)</f>
        <v>0</v>
      </c>
      <c r="H716" s="1287">
        <f t="shared" si="198"/>
        <v>56418.75</v>
      </c>
      <c r="I716" s="1287">
        <f t="shared" si="198"/>
        <v>88447.387499999983</v>
      </c>
      <c r="J716" s="1287">
        <f t="shared" si="198"/>
        <v>133100.514</v>
      </c>
      <c r="K716" s="1287">
        <f t="shared" si="198"/>
        <v>161962.63003125013</v>
      </c>
      <c r="L716" s="1287">
        <f t="shared" si="198"/>
        <v>192436.68256177483</v>
      </c>
      <c r="M716" s="1287">
        <f t="shared" si="198"/>
        <v>239226.34887995495</v>
      </c>
      <c r="Q716" s="282"/>
      <c r="R716" s="282"/>
      <c r="S716" s="282"/>
      <c r="T716" s="282"/>
      <c r="U716" s="282"/>
      <c r="V716" s="282"/>
      <c r="W716" s="282"/>
      <c r="X716" s="282"/>
      <c r="Y716" s="282"/>
      <c r="Z716" s="282"/>
      <c r="AA716" s="282"/>
    </row>
    <row r="717" spans="1:27" s="431" customFormat="1" outlineLevel="2">
      <c r="A717" s="276">
        <f>ROW()</f>
        <v>717</v>
      </c>
      <c r="B717" s="428"/>
      <c r="C717" s="561"/>
      <c r="D717" s="428"/>
      <c r="G717" s="1286"/>
      <c r="H717" s="1286"/>
      <c r="I717" s="1286"/>
      <c r="J717" s="1286"/>
      <c r="K717" s="1286"/>
      <c r="L717" s="1286"/>
      <c r="M717" s="1286"/>
      <c r="Q717" s="282"/>
      <c r="R717" s="282"/>
      <c r="S717" s="282"/>
      <c r="T717" s="282"/>
      <c r="U717" s="282"/>
      <c r="V717" s="282"/>
      <c r="W717" s="282"/>
      <c r="X717" s="282"/>
      <c r="Y717" s="282"/>
      <c r="Z717" s="282"/>
      <c r="AA717" s="282"/>
    </row>
    <row r="718" spans="1:27" s="431" customFormat="1" outlineLevel="2">
      <c r="A718" s="276">
        <f>ROW()</f>
        <v>718</v>
      </c>
      <c r="B718" s="428"/>
      <c r="C718" s="561"/>
      <c r="D718" s="428"/>
      <c r="G718" s="1286"/>
      <c r="H718" s="1286"/>
      <c r="I718" s="1286"/>
      <c r="J718" s="1286"/>
      <c r="K718" s="1286"/>
      <c r="L718" s="1286"/>
      <c r="M718" s="1286"/>
      <c r="Q718" s="282"/>
      <c r="R718" s="282"/>
      <c r="S718" s="282"/>
      <c r="T718" s="282"/>
      <c r="U718" s="282"/>
      <c r="V718" s="282"/>
      <c r="W718" s="282"/>
      <c r="X718" s="282"/>
      <c r="Y718" s="282"/>
      <c r="Z718" s="282"/>
      <c r="AA718" s="282"/>
    </row>
    <row r="719" spans="1:27" s="431" customFormat="1" outlineLevel="1">
      <c r="A719" s="276">
        <f>ROW()</f>
        <v>719</v>
      </c>
      <c r="B719" s="747" t="s">
        <v>163</v>
      </c>
      <c r="C719" s="748"/>
      <c r="D719" s="747"/>
      <c r="E719" s="749"/>
      <c r="F719" s="749"/>
      <c r="G719" s="1288">
        <f t="shared" ref="G719:M719" si="199">G716+G607+G583</f>
        <v>0</v>
      </c>
      <c r="H719" s="1288">
        <f t="shared" si="199"/>
        <v>79292.25</v>
      </c>
      <c r="I719" s="1288">
        <f t="shared" si="199"/>
        <v>124614.29249999998</v>
      </c>
      <c r="J719" s="1288">
        <f t="shared" si="199"/>
        <v>176763.97529999999</v>
      </c>
      <c r="K719" s="1288">
        <f t="shared" si="199"/>
        <v>220310.97365025012</v>
      </c>
      <c r="L719" s="1288">
        <f t="shared" si="199"/>
        <v>263298.1544849698</v>
      </c>
      <c r="M719" s="1288">
        <f t="shared" si="199"/>
        <v>326403.17963027779</v>
      </c>
      <c r="Q719" s="282"/>
      <c r="R719" s="282"/>
      <c r="S719" s="282"/>
      <c r="T719" s="282"/>
      <c r="U719" s="282"/>
      <c r="V719" s="282"/>
      <c r="W719" s="282"/>
      <c r="X719" s="282"/>
      <c r="Y719" s="282"/>
      <c r="Z719" s="282"/>
      <c r="AA719" s="282"/>
    </row>
    <row r="720" spans="1:27" s="428" customFormat="1" outlineLevel="1">
      <c r="A720" s="276">
        <f t="shared" ref="A720:A734" si="200">ROW(A265)</f>
        <v>265</v>
      </c>
      <c r="C720" s="560"/>
      <c r="D720" s="429"/>
      <c r="G720" s="168"/>
      <c r="H720" s="1051"/>
      <c r="I720" s="1051"/>
      <c r="J720" s="1051"/>
      <c r="K720" s="1051"/>
      <c r="L720" s="1051"/>
      <c r="M720" s="1051"/>
      <c r="Q720" s="282"/>
      <c r="R720" s="282"/>
      <c r="S720" s="282"/>
      <c r="T720" s="282"/>
      <c r="U720" s="282"/>
      <c r="V720" s="282"/>
      <c r="W720" s="282"/>
      <c r="X720" s="282"/>
      <c r="Y720" s="282"/>
      <c r="Z720" s="282"/>
      <c r="AA720" s="282"/>
    </row>
    <row r="721" spans="1:27" s="428" customFormat="1" ht="18" outlineLevel="2">
      <c r="A721" s="276">
        <f t="shared" si="200"/>
        <v>266</v>
      </c>
      <c r="B721" s="1348" t="s">
        <v>166</v>
      </c>
      <c r="C721" s="1349"/>
      <c r="D721" s="1350"/>
      <c r="E721" s="1351"/>
      <c r="F721" s="1351"/>
      <c r="G721" s="1352"/>
      <c r="H721" s="1352"/>
      <c r="I721" s="1352"/>
      <c r="J721" s="1352"/>
      <c r="K721" s="1352"/>
      <c r="L721" s="1352"/>
      <c r="M721" s="1352"/>
      <c r="Q721" s="282"/>
      <c r="R721" s="282"/>
      <c r="S721" s="282"/>
      <c r="T721" s="282"/>
      <c r="U721" s="282"/>
      <c r="V721" s="282"/>
      <c r="W721" s="282"/>
      <c r="X721" s="282"/>
      <c r="Y721" s="282"/>
      <c r="Z721" s="282"/>
      <c r="AA721" s="282"/>
    </row>
    <row r="722" spans="1:27" s="428" customFormat="1" outlineLevel="2">
      <c r="A722" s="276">
        <f t="shared" si="200"/>
        <v>267</v>
      </c>
      <c r="C722" s="560"/>
      <c r="D722" s="429"/>
      <c r="G722" s="1051"/>
      <c r="H722" s="1051"/>
      <c r="I722" s="1051"/>
      <c r="J722" s="1051"/>
      <c r="K722" s="1051"/>
      <c r="L722" s="1051"/>
      <c r="M722" s="1051"/>
      <c r="Q722" s="282"/>
      <c r="R722" s="282"/>
      <c r="S722" s="282"/>
      <c r="T722" s="282"/>
      <c r="U722" s="282"/>
      <c r="V722" s="282"/>
      <c r="W722" s="282"/>
      <c r="X722" s="282"/>
      <c r="Y722" s="282"/>
      <c r="Z722" s="282"/>
      <c r="AA722" s="282"/>
    </row>
    <row r="723" spans="1:27" s="428" customFormat="1" outlineLevel="2">
      <c r="A723" s="276">
        <f t="shared" si="200"/>
        <v>268</v>
      </c>
      <c r="C723" s="560"/>
      <c r="D723" s="429"/>
      <c r="G723" s="1051"/>
      <c r="H723" s="1051"/>
      <c r="I723" s="1051"/>
      <c r="J723" s="1051"/>
      <c r="K723" s="1051"/>
      <c r="L723" s="1051"/>
      <c r="M723" s="1051"/>
      <c r="Q723" s="282"/>
      <c r="R723" s="282"/>
      <c r="S723" s="282"/>
      <c r="T723" s="282"/>
      <c r="U723" s="282"/>
      <c r="V723" s="282"/>
      <c r="W723" s="282"/>
      <c r="X723" s="282"/>
      <c r="Y723" s="282"/>
      <c r="Z723" s="282"/>
      <c r="AA723" s="282"/>
    </row>
    <row r="724" spans="1:27" s="431" customFormat="1" outlineLevel="2">
      <c r="A724" s="276">
        <f t="shared" si="200"/>
        <v>269</v>
      </c>
      <c r="B724" s="753" t="str">
        <f>$B$113</f>
        <v>Administrators</v>
      </c>
      <c r="C724" s="759"/>
      <c r="D724" s="756"/>
      <c r="E724" s="760"/>
      <c r="F724" s="760"/>
      <c r="G724" s="1291"/>
      <c r="H724" s="1291"/>
      <c r="I724" s="1291"/>
      <c r="J724" s="1291"/>
      <c r="K724" s="1291"/>
      <c r="L724" s="1291"/>
      <c r="M724" s="1291"/>
      <c r="Q724" s="282"/>
      <c r="R724" s="282"/>
      <c r="S724" s="282"/>
      <c r="T724" s="282"/>
      <c r="U724" s="282"/>
      <c r="V724" s="282"/>
      <c r="W724" s="282"/>
      <c r="X724" s="282"/>
      <c r="Y724" s="282"/>
      <c r="Z724" s="282"/>
      <c r="AA724" s="282"/>
    </row>
    <row r="725" spans="1:27" s="431" customFormat="1" outlineLevel="2">
      <c r="A725" s="276">
        <f t="shared" si="200"/>
        <v>270</v>
      </c>
      <c r="B725" s="428" t="str">
        <f>$B$114</f>
        <v>Executive Director</v>
      </c>
      <c r="C725" s="561"/>
      <c r="D725" s="428"/>
      <c r="G725" s="1286">
        <f t="shared" ref="G725:M729" si="201">G273*$C$90</f>
        <v>0</v>
      </c>
      <c r="H725" s="1286">
        <f t="shared" si="201"/>
        <v>26325</v>
      </c>
      <c r="I725" s="1286">
        <f t="shared" si="201"/>
        <v>27114.75</v>
      </c>
      <c r="J725" s="1286">
        <f t="shared" si="201"/>
        <v>27928.192499999997</v>
      </c>
      <c r="K725" s="1286">
        <f t="shared" si="201"/>
        <v>28766.038274999999</v>
      </c>
      <c r="L725" s="1286">
        <f t="shared" si="201"/>
        <v>29629.019423249993</v>
      </c>
      <c r="M725" s="1286">
        <f t="shared" si="201"/>
        <v>30517.890005947495</v>
      </c>
      <c r="Q725" s="282"/>
      <c r="R725" s="282"/>
      <c r="S725" s="1362">
        <f t="shared" ref="S725:S734" si="202">IFERROR(H725/H273,0)</f>
        <v>0.29249999999999998</v>
      </c>
      <c r="T725" s="1362">
        <f t="shared" ref="T725:T734" si="203">IFERROR(I725/I273,0)</f>
        <v>0.29249999999999998</v>
      </c>
      <c r="U725" s="1362">
        <f t="shared" ref="U725:U734" si="204">IFERROR(J725/J273,0)</f>
        <v>0.29249999999999998</v>
      </c>
      <c r="V725" s="1362">
        <f t="shared" ref="V725:V734" si="205">IFERROR(K725/K273,0)</f>
        <v>0.29249999999999998</v>
      </c>
      <c r="W725" s="1362">
        <f t="shared" ref="W725:X734" si="206">IFERROR(L725/L273,0)</f>
        <v>0.29249999999999998</v>
      </c>
      <c r="X725" s="1362">
        <f t="shared" si="206"/>
        <v>0.29249999999999998</v>
      </c>
      <c r="Y725" s="282"/>
      <c r="Z725" s="282"/>
      <c r="AA725" s="282"/>
    </row>
    <row r="726" spans="1:27" s="431" customFormat="1" outlineLevel="2">
      <c r="A726" s="276">
        <f t="shared" si="200"/>
        <v>271</v>
      </c>
      <c r="B726" s="428" t="str">
        <f>$B$115</f>
        <v>Director of Data, Instruction, Asses.</v>
      </c>
      <c r="C726" s="561"/>
      <c r="D726" s="428"/>
      <c r="G726" s="1286">
        <f t="shared" si="201"/>
        <v>0</v>
      </c>
      <c r="H726" s="1286">
        <f t="shared" si="201"/>
        <v>0</v>
      </c>
      <c r="I726" s="1286">
        <f t="shared" si="201"/>
        <v>21089.25</v>
      </c>
      <c r="J726" s="1286">
        <f t="shared" si="201"/>
        <v>21721.927499999998</v>
      </c>
      <c r="K726" s="1286">
        <f t="shared" si="201"/>
        <v>22373.585325</v>
      </c>
      <c r="L726" s="1286">
        <f t="shared" si="201"/>
        <v>23044.792884749997</v>
      </c>
      <c r="M726" s="1286">
        <f t="shared" si="201"/>
        <v>23736.136671292494</v>
      </c>
      <c r="Q726" s="282"/>
      <c r="R726" s="282"/>
      <c r="S726" s="1362">
        <f t="shared" si="202"/>
        <v>0</v>
      </c>
      <c r="T726" s="1362">
        <f t="shared" si="203"/>
        <v>0.29249999999999998</v>
      </c>
      <c r="U726" s="1362">
        <f t="shared" si="204"/>
        <v>0.29249999999999998</v>
      </c>
      <c r="V726" s="1362">
        <f t="shared" si="205"/>
        <v>0.29249999999999998</v>
      </c>
      <c r="W726" s="1362">
        <f t="shared" si="206"/>
        <v>0.29249999999999998</v>
      </c>
      <c r="X726" s="1362">
        <f t="shared" si="206"/>
        <v>0.29249999999999998</v>
      </c>
      <c r="Y726" s="282"/>
      <c r="Z726" s="282"/>
      <c r="AA726" s="282"/>
    </row>
    <row r="727" spans="1:27" s="431" customFormat="1" outlineLevel="2">
      <c r="A727" s="276">
        <f t="shared" si="200"/>
        <v>272</v>
      </c>
      <c r="B727" s="428" t="str">
        <f>$B$116</f>
        <v>Director of Data, Instruction, Asses.</v>
      </c>
      <c r="C727" s="561"/>
      <c r="D727" s="428"/>
      <c r="G727" s="1286">
        <f t="shared" si="201"/>
        <v>0</v>
      </c>
      <c r="H727" s="1286">
        <f t="shared" si="201"/>
        <v>0</v>
      </c>
      <c r="I727" s="1286">
        <f t="shared" si="201"/>
        <v>0</v>
      </c>
      <c r="J727" s="1286">
        <f t="shared" si="201"/>
        <v>0</v>
      </c>
      <c r="K727" s="1286">
        <f t="shared" si="201"/>
        <v>22373.585325</v>
      </c>
      <c r="L727" s="1286">
        <f t="shared" si="201"/>
        <v>23044.792884749997</v>
      </c>
      <c r="M727" s="1286">
        <f t="shared" si="201"/>
        <v>23736.136671292494</v>
      </c>
      <c r="Q727" s="282"/>
      <c r="R727" s="282"/>
      <c r="S727" s="1362">
        <f t="shared" si="202"/>
        <v>0</v>
      </c>
      <c r="T727" s="1362">
        <f t="shared" si="203"/>
        <v>0</v>
      </c>
      <c r="U727" s="1362">
        <f t="shared" si="204"/>
        <v>0</v>
      </c>
      <c r="V727" s="1362">
        <f t="shared" si="205"/>
        <v>0.29249999999999998</v>
      </c>
      <c r="W727" s="1362">
        <f t="shared" si="206"/>
        <v>0.29249999999999998</v>
      </c>
      <c r="X727" s="1362">
        <f t="shared" si="206"/>
        <v>0.29249999999999998</v>
      </c>
      <c r="Y727" s="282"/>
      <c r="Z727" s="282"/>
      <c r="AA727" s="282"/>
    </row>
    <row r="728" spans="1:27" s="431" customFormat="1" outlineLevel="2">
      <c r="A728" s="276">
        <f t="shared" si="200"/>
        <v>273</v>
      </c>
      <c r="B728" s="428" t="str">
        <f>$B$117</f>
        <v>Director of Data, Instruction, Asses.</v>
      </c>
      <c r="C728" s="561"/>
      <c r="D728" s="428"/>
      <c r="G728" s="1286">
        <f t="shared" si="201"/>
        <v>0</v>
      </c>
      <c r="H728" s="1286">
        <f t="shared" si="201"/>
        <v>0</v>
      </c>
      <c r="I728" s="1286">
        <f t="shared" si="201"/>
        <v>0</v>
      </c>
      <c r="J728" s="1286">
        <f t="shared" si="201"/>
        <v>0</v>
      </c>
      <c r="K728" s="1286">
        <f t="shared" si="201"/>
        <v>0</v>
      </c>
      <c r="L728" s="1286">
        <f t="shared" si="201"/>
        <v>0</v>
      </c>
      <c r="M728" s="1286">
        <f t="shared" si="201"/>
        <v>23736.136671292494</v>
      </c>
      <c r="Q728" s="282"/>
      <c r="R728" s="282"/>
      <c r="S728" s="1362">
        <f t="shared" si="202"/>
        <v>0</v>
      </c>
      <c r="T728" s="1362">
        <f t="shared" si="203"/>
        <v>0</v>
      </c>
      <c r="U728" s="1362">
        <f t="shared" si="204"/>
        <v>0</v>
      </c>
      <c r="V728" s="1362">
        <f t="shared" si="205"/>
        <v>0</v>
      </c>
      <c r="W728" s="1362">
        <f t="shared" si="206"/>
        <v>0</v>
      </c>
      <c r="X728" s="1362">
        <f t="shared" si="206"/>
        <v>0.29249999999999998</v>
      </c>
      <c r="Y728" s="282"/>
      <c r="Z728" s="282"/>
      <c r="AA728" s="282"/>
    </row>
    <row r="729" spans="1:27" s="431" customFormat="1" outlineLevel="2">
      <c r="A729" s="276">
        <f t="shared" si="200"/>
        <v>274</v>
      </c>
      <c r="B729" s="428" t="str">
        <f>$B$118</f>
        <v>Superintendent</v>
      </c>
      <c r="C729" s="561"/>
      <c r="D729" s="428"/>
      <c r="G729" s="1286">
        <f t="shared" si="201"/>
        <v>0</v>
      </c>
      <c r="H729" s="1286">
        <f t="shared" si="201"/>
        <v>0</v>
      </c>
      <c r="I729" s="1286">
        <f t="shared" si="201"/>
        <v>0</v>
      </c>
      <c r="J729" s="1286">
        <f t="shared" si="201"/>
        <v>0</v>
      </c>
      <c r="K729" s="1286">
        <f t="shared" si="201"/>
        <v>0</v>
      </c>
      <c r="L729" s="1286">
        <f t="shared" si="201"/>
        <v>26336.906153999997</v>
      </c>
      <c r="M729" s="1286">
        <f t="shared" si="201"/>
        <v>27127.013338619996</v>
      </c>
      <c r="Q729" s="282"/>
      <c r="R729" s="282"/>
      <c r="S729" s="1362">
        <f t="shared" si="202"/>
        <v>0</v>
      </c>
      <c r="T729" s="1362">
        <f t="shared" si="203"/>
        <v>0</v>
      </c>
      <c r="U729" s="1362">
        <f t="shared" si="204"/>
        <v>0</v>
      </c>
      <c r="V729" s="1362">
        <f t="shared" si="205"/>
        <v>0</v>
      </c>
      <c r="W729" s="1362">
        <f t="shared" si="206"/>
        <v>0.29249999999999998</v>
      </c>
      <c r="X729" s="1362">
        <f t="shared" si="206"/>
        <v>0.29249999999999998</v>
      </c>
      <c r="Y729" s="282"/>
      <c r="Z729" s="282"/>
      <c r="AA729" s="282"/>
    </row>
    <row r="730" spans="1:27" s="431" customFormat="1" outlineLevel="2">
      <c r="A730" s="276">
        <f t="shared" si="200"/>
        <v>275</v>
      </c>
      <c r="B730" s="428"/>
      <c r="C730" s="561"/>
      <c r="D730" s="428"/>
      <c r="G730" s="141"/>
      <c r="H730" s="1286"/>
      <c r="I730" s="1286"/>
      <c r="J730" s="1286"/>
      <c r="K730" s="1286"/>
      <c r="L730" s="1286"/>
      <c r="M730" s="1286"/>
      <c r="Q730" s="282"/>
      <c r="R730" s="282"/>
      <c r="S730" s="1362">
        <f t="shared" si="202"/>
        <v>0</v>
      </c>
      <c r="T730" s="1362">
        <f t="shared" si="203"/>
        <v>0</v>
      </c>
      <c r="U730" s="1362">
        <f t="shared" si="204"/>
        <v>0</v>
      </c>
      <c r="V730" s="1362">
        <f t="shared" si="205"/>
        <v>0</v>
      </c>
      <c r="W730" s="1362">
        <f t="shared" si="206"/>
        <v>0</v>
      </c>
      <c r="X730" s="1362">
        <f t="shared" si="206"/>
        <v>0</v>
      </c>
      <c r="Y730" s="282"/>
      <c r="Z730" s="282"/>
      <c r="AA730" s="282"/>
    </row>
    <row r="731" spans="1:27" s="431" customFormat="1" outlineLevel="2">
      <c r="A731" s="276">
        <f t="shared" si="200"/>
        <v>276</v>
      </c>
      <c r="B731" s="753" t="str">
        <f>$B$122</f>
        <v>Office Staff</v>
      </c>
      <c r="C731" s="759"/>
      <c r="D731" s="756"/>
      <c r="E731" s="760"/>
      <c r="F731" s="760"/>
      <c r="G731" s="1345"/>
      <c r="H731" s="1291"/>
      <c r="I731" s="1291"/>
      <c r="J731" s="1291"/>
      <c r="K731" s="1291"/>
      <c r="L731" s="1291"/>
      <c r="M731" s="1291"/>
      <c r="Q731" s="282"/>
      <c r="R731" s="282"/>
      <c r="S731" s="1362">
        <f t="shared" si="202"/>
        <v>0</v>
      </c>
      <c r="T731" s="1362">
        <f t="shared" si="203"/>
        <v>0</v>
      </c>
      <c r="U731" s="1362">
        <f t="shared" si="204"/>
        <v>0</v>
      </c>
      <c r="V731" s="1362">
        <f t="shared" si="205"/>
        <v>0</v>
      </c>
      <c r="W731" s="1362">
        <f t="shared" si="206"/>
        <v>0</v>
      </c>
      <c r="X731" s="1362">
        <f t="shared" si="206"/>
        <v>0</v>
      </c>
      <c r="Y731" s="282"/>
      <c r="Z731" s="282"/>
      <c r="AA731" s="282"/>
    </row>
    <row r="732" spans="1:27" s="431" customFormat="1" outlineLevel="2">
      <c r="A732" s="276">
        <f t="shared" si="200"/>
        <v>277</v>
      </c>
      <c r="B732" s="428" t="str">
        <f>$B$123</f>
        <v>Office Manager</v>
      </c>
      <c r="C732" s="561"/>
      <c r="D732" s="428"/>
      <c r="G732" s="1286">
        <f t="shared" ref="G732:M734" si="207">G280*$C$91</f>
        <v>0</v>
      </c>
      <c r="H732" s="1286">
        <f t="shared" si="207"/>
        <v>0</v>
      </c>
      <c r="I732" s="1286">
        <f t="shared" si="207"/>
        <v>0</v>
      </c>
      <c r="J732" s="1286">
        <f t="shared" si="207"/>
        <v>0</v>
      </c>
      <c r="K732" s="1286">
        <f t="shared" si="207"/>
        <v>0</v>
      </c>
      <c r="L732" s="1286">
        <f t="shared" si="207"/>
        <v>0</v>
      </c>
      <c r="M732" s="1286">
        <f t="shared" si="207"/>
        <v>0</v>
      </c>
      <c r="Q732" s="282"/>
      <c r="R732" s="282"/>
      <c r="S732" s="1362">
        <f t="shared" si="202"/>
        <v>0</v>
      </c>
      <c r="T732" s="1362">
        <f t="shared" si="203"/>
        <v>0</v>
      </c>
      <c r="U732" s="1362">
        <f t="shared" si="204"/>
        <v>0</v>
      </c>
      <c r="V732" s="1362">
        <f t="shared" si="205"/>
        <v>0</v>
      </c>
      <c r="W732" s="1362">
        <f t="shared" si="206"/>
        <v>0</v>
      </c>
      <c r="X732" s="1362">
        <f t="shared" si="206"/>
        <v>0</v>
      </c>
      <c r="Y732" s="282"/>
      <c r="Z732" s="282"/>
      <c r="AA732" s="282"/>
    </row>
    <row r="733" spans="1:27" s="431" customFormat="1" outlineLevel="2">
      <c r="A733" s="276">
        <f t="shared" si="200"/>
        <v>278</v>
      </c>
      <c r="B733" s="428" t="str">
        <f>$B$124</f>
        <v>Office Technician</v>
      </c>
      <c r="C733" s="561"/>
      <c r="D733" s="428"/>
      <c r="G733" s="1286">
        <f t="shared" si="207"/>
        <v>0</v>
      </c>
      <c r="H733" s="1286">
        <f t="shared" si="207"/>
        <v>0</v>
      </c>
      <c r="I733" s="1286">
        <f t="shared" si="207"/>
        <v>0</v>
      </c>
      <c r="J733" s="1286">
        <f t="shared" si="207"/>
        <v>0</v>
      </c>
      <c r="K733" s="1286">
        <f t="shared" si="207"/>
        <v>0</v>
      </c>
      <c r="L733" s="1286">
        <f t="shared" si="207"/>
        <v>0</v>
      </c>
      <c r="M733" s="1286">
        <f t="shared" si="207"/>
        <v>0</v>
      </c>
      <c r="Q733" s="282"/>
      <c r="R733" s="282"/>
      <c r="S733" s="1362">
        <f t="shared" si="202"/>
        <v>0</v>
      </c>
      <c r="T733" s="1362">
        <f t="shared" si="203"/>
        <v>0</v>
      </c>
      <c r="U733" s="1362">
        <f t="shared" si="204"/>
        <v>0</v>
      </c>
      <c r="V733" s="1362">
        <f t="shared" si="205"/>
        <v>0</v>
      </c>
      <c r="W733" s="1362">
        <f t="shared" si="206"/>
        <v>0</v>
      </c>
      <c r="X733" s="1362">
        <f t="shared" si="206"/>
        <v>0</v>
      </c>
      <c r="Y733" s="282"/>
      <c r="Z733" s="282"/>
      <c r="AA733" s="282"/>
    </row>
    <row r="734" spans="1:27" s="431" customFormat="1" outlineLevel="2">
      <c r="A734" s="276">
        <f t="shared" si="200"/>
        <v>279</v>
      </c>
      <c r="B734" s="428" t="str">
        <f>$B$125</f>
        <v>Office Technician</v>
      </c>
      <c r="C734" s="561"/>
      <c r="D734" s="428"/>
      <c r="G734" s="1286">
        <f t="shared" si="207"/>
        <v>0</v>
      </c>
      <c r="H734" s="1286">
        <f t="shared" si="207"/>
        <v>0</v>
      </c>
      <c r="I734" s="1286">
        <f t="shared" si="207"/>
        <v>0</v>
      </c>
      <c r="J734" s="1286">
        <f t="shared" si="207"/>
        <v>0</v>
      </c>
      <c r="K734" s="1286">
        <f t="shared" si="207"/>
        <v>0</v>
      </c>
      <c r="L734" s="1286">
        <f t="shared" si="207"/>
        <v>0</v>
      </c>
      <c r="M734" s="1286">
        <f t="shared" si="207"/>
        <v>0</v>
      </c>
      <c r="Q734" s="282"/>
      <c r="R734" s="282"/>
      <c r="S734" s="1362">
        <f t="shared" si="202"/>
        <v>0</v>
      </c>
      <c r="T734" s="1362">
        <f t="shared" si="203"/>
        <v>0</v>
      </c>
      <c r="U734" s="1362">
        <f t="shared" si="204"/>
        <v>0</v>
      </c>
      <c r="V734" s="1362">
        <f t="shared" si="205"/>
        <v>0</v>
      </c>
      <c r="W734" s="1362">
        <f t="shared" si="206"/>
        <v>0</v>
      </c>
      <c r="X734" s="1362">
        <f t="shared" si="206"/>
        <v>0</v>
      </c>
      <c r="Y734" s="282"/>
      <c r="Z734" s="282"/>
      <c r="AA734" s="282"/>
    </row>
    <row r="735" spans="1:27" s="431" customFormat="1" outlineLevel="2">
      <c r="A735" s="276">
        <f>ROW(A281)</f>
        <v>281</v>
      </c>
      <c r="B735" s="377"/>
      <c r="C735" s="561"/>
      <c r="D735" s="428"/>
      <c r="G735" s="1286"/>
      <c r="H735" s="1286"/>
      <c r="I735" s="1286"/>
      <c r="J735" s="1286"/>
      <c r="K735" s="1286"/>
      <c r="L735" s="1286"/>
      <c r="M735" s="1286"/>
      <c r="Q735" s="282"/>
      <c r="R735" s="282"/>
      <c r="S735" s="1362">
        <f t="shared" ref="S735:S737" si="208">IFERROR(H735/H283,0)</f>
        <v>0</v>
      </c>
      <c r="T735" s="1362">
        <f t="shared" ref="T735:T737" si="209">IFERROR(I735/I283,0)</f>
        <v>0</v>
      </c>
      <c r="U735" s="1362">
        <f t="shared" ref="U735:U737" si="210">IFERROR(J735/J283,0)</f>
        <v>0</v>
      </c>
      <c r="V735" s="1362">
        <f t="shared" ref="V735:V737" si="211">IFERROR(K735/K283,0)</f>
        <v>0</v>
      </c>
      <c r="W735" s="1362">
        <f t="shared" ref="W735:X737" si="212">IFERROR(L735/L283,0)</f>
        <v>0</v>
      </c>
      <c r="X735" s="1362">
        <f t="shared" si="212"/>
        <v>0</v>
      </c>
      <c r="Y735" s="282"/>
      <c r="Z735" s="282"/>
      <c r="AA735" s="282"/>
    </row>
    <row r="736" spans="1:27" s="431" customFormat="1" outlineLevel="2">
      <c r="A736" s="276">
        <f>ROW(A282)</f>
        <v>282</v>
      </c>
      <c r="B736" s="700" t="str">
        <f>$B$128</f>
        <v>Total Administrators and Office Staff</v>
      </c>
      <c r="C736" s="732"/>
      <c r="D736" s="700"/>
      <c r="E736" s="749"/>
      <c r="F736" s="749"/>
      <c r="G736" s="1287">
        <f t="shared" ref="G736:M736" si="213">SUM(G725:G734)</f>
        <v>0</v>
      </c>
      <c r="H736" s="1287">
        <f t="shared" si="213"/>
        <v>26325</v>
      </c>
      <c r="I736" s="1287">
        <f t="shared" si="213"/>
        <v>48204</v>
      </c>
      <c r="J736" s="1287">
        <f t="shared" si="213"/>
        <v>49650.119999999995</v>
      </c>
      <c r="K736" s="1287">
        <f t="shared" si="213"/>
        <v>73513.208924999999</v>
      </c>
      <c r="L736" s="1287">
        <f t="shared" si="213"/>
        <v>102055.51134674999</v>
      </c>
      <c r="M736" s="1287">
        <f t="shared" si="213"/>
        <v>128853.31335844498</v>
      </c>
      <c r="Q736" s="282"/>
      <c r="R736" s="282"/>
      <c r="S736" s="1362">
        <f>IFERROR(H736/H285,0)</f>
        <v>0.16051829268292683</v>
      </c>
      <c r="T736" s="1362">
        <f t="shared" ref="T736:X736" si="214">IFERROR(I736/I285,0)</f>
        <v>0.2</v>
      </c>
      <c r="U736" s="1362">
        <f t="shared" si="214"/>
        <v>0.17462686567164176</v>
      </c>
      <c r="V736" s="1362">
        <f t="shared" si="214"/>
        <v>0.19903846153846153</v>
      </c>
      <c r="W736" s="1362">
        <f t="shared" si="214"/>
        <v>0.21692583732057416</v>
      </c>
      <c r="X736" s="1362">
        <f t="shared" si="214"/>
        <v>0.22776639344262292</v>
      </c>
      <c r="Y736" s="282"/>
      <c r="Z736" s="282"/>
      <c r="AA736" s="282"/>
    </row>
    <row r="737" spans="1:27" s="431" customFormat="1" outlineLevel="2">
      <c r="A737" s="276"/>
      <c r="B737" s="377"/>
      <c r="C737" s="561"/>
      <c r="D737" s="428"/>
      <c r="G737" s="141"/>
      <c r="H737" s="1286"/>
      <c r="I737" s="1286"/>
      <c r="J737" s="1286">
        <f>+J736-J279</f>
        <v>24825.059999999998</v>
      </c>
      <c r="K737" s="1286"/>
      <c r="L737" s="1286"/>
      <c r="M737" s="1286"/>
      <c r="Q737" s="282"/>
      <c r="R737" s="282"/>
      <c r="S737" s="1362">
        <f t="shared" si="208"/>
        <v>0</v>
      </c>
      <c r="T737" s="1362">
        <f t="shared" si="209"/>
        <v>0</v>
      </c>
      <c r="U737" s="1362">
        <f t="shared" si="210"/>
        <v>8.7313432835820881E-2</v>
      </c>
      <c r="V737" s="1362">
        <f t="shared" si="211"/>
        <v>0</v>
      </c>
      <c r="W737" s="1362">
        <f t="shared" si="212"/>
        <v>0</v>
      </c>
      <c r="X737" s="1362">
        <f t="shared" si="212"/>
        <v>0</v>
      </c>
      <c r="Y737" s="282"/>
      <c r="Z737" s="282"/>
      <c r="AA737" s="282"/>
    </row>
    <row r="738" spans="1:27" s="431" customFormat="1" outlineLevel="2">
      <c r="A738" s="276">
        <f>ROW(A287)</f>
        <v>287</v>
      </c>
      <c r="B738" s="1353" t="str">
        <f>$B$130</f>
        <v>Special Education (SPED) Teachers</v>
      </c>
      <c r="C738" s="1354"/>
      <c r="D738" s="1355"/>
      <c r="E738" s="1356"/>
      <c r="F738" s="1356"/>
      <c r="G738" s="1357"/>
      <c r="H738" s="1358"/>
      <c r="I738" s="1358"/>
      <c r="J738" s="1358"/>
      <c r="K738" s="1358"/>
      <c r="L738" s="1358"/>
      <c r="M738" s="1358"/>
      <c r="Q738" s="282"/>
      <c r="R738" s="282"/>
      <c r="S738" s="1362">
        <f t="shared" ref="S738" si="215">IFERROR(H738/H286,0)</f>
        <v>0</v>
      </c>
      <c r="T738" s="1362">
        <f t="shared" ref="T738" si="216">IFERROR(I738/I286,0)</f>
        <v>0</v>
      </c>
      <c r="U738" s="1362">
        <f t="shared" ref="U738" si="217">IFERROR(J738/J286,0)</f>
        <v>0</v>
      </c>
      <c r="V738" s="1362">
        <f t="shared" ref="V738" si="218">IFERROR(K738/K286,0)</f>
        <v>0</v>
      </c>
      <c r="W738" s="1362">
        <f t="shared" ref="W738:X738" si="219">IFERROR(L738/L286,0)</f>
        <v>0</v>
      </c>
      <c r="X738" s="1362">
        <f t="shared" si="219"/>
        <v>0</v>
      </c>
      <c r="Y738" s="1361"/>
      <c r="Z738" s="282"/>
      <c r="AA738" s="282"/>
    </row>
    <row r="739" spans="1:27" s="431" customFormat="1" outlineLevel="2">
      <c r="A739" s="276">
        <f>ROW(A288)</f>
        <v>288</v>
      </c>
      <c r="B739" s="757" t="str">
        <f>$B288</f>
        <v>Special Education Teacher</v>
      </c>
      <c r="C739" s="561"/>
      <c r="D739" s="428"/>
      <c r="G739" s="1286">
        <f t="shared" ref="G739:M747" si="220">G288*$C$90</f>
        <v>0</v>
      </c>
      <c r="H739" s="1286">
        <f t="shared" si="220"/>
        <v>13162.5</v>
      </c>
      <c r="I739" s="1286">
        <f t="shared" si="220"/>
        <v>13557.375</v>
      </c>
      <c r="J739" s="1286">
        <f t="shared" si="220"/>
        <v>13964.096249999999</v>
      </c>
      <c r="K739" s="1286">
        <f t="shared" si="220"/>
        <v>14383.019137499999</v>
      </c>
      <c r="L739" s="1286">
        <f t="shared" si="220"/>
        <v>14814.509711624996</v>
      </c>
      <c r="M739" s="1286">
        <f t="shared" si="220"/>
        <v>15258.945002973747</v>
      </c>
      <c r="Q739" s="282"/>
      <c r="R739" s="282"/>
      <c r="S739" s="1362">
        <f t="shared" ref="S739" si="221">IFERROR(H739/H288,0)</f>
        <v>0.29249999999999998</v>
      </c>
      <c r="T739" s="1362">
        <f t="shared" ref="T739" si="222">IFERROR(I739/I288,0)</f>
        <v>0.29249999999999998</v>
      </c>
      <c r="U739" s="1362">
        <f t="shared" ref="U739" si="223">IFERROR(J739/J288,0)</f>
        <v>0.29249999999999998</v>
      </c>
      <c r="V739" s="1362">
        <f t="shared" ref="V739" si="224">IFERROR(K739/K288,0)</f>
        <v>0.29249999999999998</v>
      </c>
      <c r="W739" s="1362">
        <f t="shared" ref="W739:X739" si="225">IFERROR(L739/L288,0)</f>
        <v>0.29249999999999998</v>
      </c>
      <c r="X739" s="1362">
        <f t="shared" si="225"/>
        <v>0.29249999999999998</v>
      </c>
      <c r="Y739" s="1361"/>
      <c r="Z739" s="282"/>
      <c r="AA739" s="282"/>
    </row>
    <row r="740" spans="1:27" s="431" customFormat="1" outlineLevel="2">
      <c r="A740" s="276">
        <f t="shared" ref="A740:A753" si="226">ROW(A289)</f>
        <v>289</v>
      </c>
      <c r="B740" s="757" t="str">
        <f t="shared" ref="B740:B770" si="227">$B289</f>
        <v>Special Education Teacher</v>
      </c>
      <c r="C740" s="561"/>
      <c r="D740" s="428"/>
      <c r="G740" s="1286">
        <f t="shared" si="220"/>
        <v>0</v>
      </c>
      <c r="H740" s="1286">
        <f t="shared" si="220"/>
        <v>0</v>
      </c>
      <c r="I740" s="1286">
        <f t="shared" si="220"/>
        <v>13557.375</v>
      </c>
      <c r="J740" s="1286">
        <f t="shared" si="220"/>
        <v>13964.096249999999</v>
      </c>
      <c r="K740" s="1286">
        <f t="shared" si="220"/>
        <v>14383.019137499999</v>
      </c>
      <c r="L740" s="1286">
        <f t="shared" si="220"/>
        <v>14814.509711624996</v>
      </c>
      <c r="M740" s="1286">
        <f t="shared" si="220"/>
        <v>15258.945002973747</v>
      </c>
      <c r="Q740" s="282"/>
      <c r="R740" s="282"/>
      <c r="S740" s="1362">
        <f t="shared" ref="S740:S743" si="228">IFERROR(H740/H289,0)</f>
        <v>0</v>
      </c>
      <c r="T740" s="1362">
        <f t="shared" ref="T740:T743" si="229">IFERROR(I740/I289,0)</f>
        <v>0.29249999999999998</v>
      </c>
      <c r="U740" s="1362">
        <f t="shared" ref="U740:U743" si="230">IFERROR(J740/J289,0)</f>
        <v>0.29249999999999998</v>
      </c>
      <c r="V740" s="1362">
        <f t="shared" ref="V740:V743" si="231">IFERROR(K740/K289,0)</f>
        <v>0.29249999999999998</v>
      </c>
      <c r="W740" s="1362">
        <f t="shared" ref="W740:X743" si="232">IFERROR(L740/L289,0)</f>
        <v>0.29249999999999998</v>
      </c>
      <c r="X740" s="1362">
        <f t="shared" si="232"/>
        <v>0.29249999999999998</v>
      </c>
      <c r="Y740" s="1361"/>
      <c r="Z740" s="282"/>
      <c r="AA740" s="282"/>
    </row>
    <row r="741" spans="1:27" s="431" customFormat="1" outlineLevel="2">
      <c r="A741" s="276">
        <f t="shared" si="226"/>
        <v>290</v>
      </c>
      <c r="B741" s="757" t="str">
        <f t="shared" si="227"/>
        <v>Special Education Teacher</v>
      </c>
      <c r="C741" s="561"/>
      <c r="D741" s="428"/>
      <c r="G741" s="1286">
        <f t="shared" si="220"/>
        <v>0</v>
      </c>
      <c r="H741" s="1286">
        <f t="shared" si="220"/>
        <v>0</v>
      </c>
      <c r="I741" s="1286">
        <f t="shared" si="220"/>
        <v>0</v>
      </c>
      <c r="J741" s="1286">
        <f t="shared" si="220"/>
        <v>0</v>
      </c>
      <c r="K741" s="1286">
        <f t="shared" si="220"/>
        <v>14383.019137499999</v>
      </c>
      <c r="L741" s="1286">
        <f t="shared" si="220"/>
        <v>14814.509711624996</v>
      </c>
      <c r="M741" s="1286">
        <f t="shared" si="220"/>
        <v>15258.945002973747</v>
      </c>
      <c r="Q741" s="282"/>
      <c r="R741" s="282"/>
      <c r="S741" s="1362">
        <f t="shared" si="228"/>
        <v>0</v>
      </c>
      <c r="T741" s="1362">
        <f t="shared" si="229"/>
        <v>0</v>
      </c>
      <c r="U741" s="1362">
        <f t="shared" si="230"/>
        <v>0</v>
      </c>
      <c r="V741" s="1362">
        <f t="shared" si="231"/>
        <v>0.29249999999999998</v>
      </c>
      <c r="W741" s="1362">
        <f t="shared" si="232"/>
        <v>0.29249999999999998</v>
      </c>
      <c r="X741" s="1362">
        <f t="shared" si="232"/>
        <v>0.29249999999999998</v>
      </c>
      <c r="Y741" s="1361"/>
      <c r="Z741" s="282"/>
      <c r="AA741" s="282"/>
    </row>
    <row r="742" spans="1:27" s="431" customFormat="1" outlineLevel="2">
      <c r="A742" s="276">
        <f t="shared" si="226"/>
        <v>291</v>
      </c>
      <c r="B742" s="757" t="str">
        <f t="shared" si="227"/>
        <v>Special Education Teacher</v>
      </c>
      <c r="C742" s="561"/>
      <c r="D742" s="428"/>
      <c r="G742" s="1286">
        <f t="shared" si="220"/>
        <v>0</v>
      </c>
      <c r="H742" s="1286">
        <f t="shared" si="220"/>
        <v>0</v>
      </c>
      <c r="I742" s="1286">
        <f t="shared" si="220"/>
        <v>0</v>
      </c>
      <c r="J742" s="1286">
        <f t="shared" si="220"/>
        <v>0</v>
      </c>
      <c r="K742" s="1286">
        <f t="shared" si="220"/>
        <v>0</v>
      </c>
      <c r="L742" s="1286">
        <f t="shared" si="220"/>
        <v>0</v>
      </c>
      <c r="M742" s="1286">
        <f t="shared" si="220"/>
        <v>15258.945002973747</v>
      </c>
      <c r="Q742" s="282"/>
      <c r="R742" s="282"/>
      <c r="S742" s="1362">
        <f t="shared" si="228"/>
        <v>0</v>
      </c>
      <c r="T742" s="1362">
        <f t="shared" si="229"/>
        <v>0</v>
      </c>
      <c r="U742" s="1362">
        <f t="shared" si="230"/>
        <v>0</v>
      </c>
      <c r="V742" s="1362">
        <f t="shared" si="231"/>
        <v>0</v>
      </c>
      <c r="W742" s="1362">
        <f t="shared" si="232"/>
        <v>0</v>
      </c>
      <c r="X742" s="1362">
        <f t="shared" si="232"/>
        <v>0.29249999999999998</v>
      </c>
      <c r="Y742" s="1361"/>
      <c r="Z742" s="282"/>
      <c r="AA742" s="282"/>
    </row>
    <row r="743" spans="1:27" s="431" customFormat="1" outlineLevel="2">
      <c r="A743" s="276">
        <f t="shared" si="226"/>
        <v>292</v>
      </c>
      <c r="B743" s="757">
        <f t="shared" si="227"/>
        <v>0</v>
      </c>
      <c r="C743" s="561"/>
      <c r="D743" s="428"/>
      <c r="G743" s="1286">
        <f t="shared" si="220"/>
        <v>0</v>
      </c>
      <c r="H743" s="1286">
        <f t="shared" si="220"/>
        <v>0</v>
      </c>
      <c r="I743" s="1286">
        <f t="shared" si="220"/>
        <v>0</v>
      </c>
      <c r="J743" s="1286">
        <f t="shared" si="220"/>
        <v>0</v>
      </c>
      <c r="K743" s="1286">
        <f t="shared" si="220"/>
        <v>0</v>
      </c>
      <c r="L743" s="1286">
        <f t="shared" si="220"/>
        <v>0</v>
      </c>
      <c r="M743" s="1286">
        <f t="shared" si="220"/>
        <v>0</v>
      </c>
      <c r="Q743" s="282"/>
      <c r="R743" s="282"/>
      <c r="S743" s="1362">
        <f t="shared" si="228"/>
        <v>0</v>
      </c>
      <c r="T743" s="1362">
        <f t="shared" si="229"/>
        <v>0</v>
      </c>
      <c r="U743" s="1362">
        <f t="shared" si="230"/>
        <v>0</v>
      </c>
      <c r="V743" s="1362">
        <f t="shared" si="231"/>
        <v>0</v>
      </c>
      <c r="W743" s="1362">
        <f t="shared" si="232"/>
        <v>0</v>
      </c>
      <c r="X743" s="1362">
        <f t="shared" si="232"/>
        <v>0</v>
      </c>
      <c r="Y743" s="1361"/>
      <c r="Z743" s="282"/>
      <c r="AA743" s="282"/>
    </row>
    <row r="744" spans="1:27" s="431" customFormat="1" outlineLevel="2">
      <c r="A744" s="276">
        <f t="shared" si="226"/>
        <v>293</v>
      </c>
      <c r="B744" s="757">
        <f t="shared" si="227"/>
        <v>0</v>
      </c>
      <c r="C744" s="561"/>
      <c r="D744" s="428"/>
      <c r="G744" s="1286">
        <f t="shared" si="220"/>
        <v>0</v>
      </c>
      <c r="H744" s="1286">
        <f t="shared" si="220"/>
        <v>0</v>
      </c>
      <c r="I744" s="1286">
        <f t="shared" si="220"/>
        <v>0</v>
      </c>
      <c r="J744" s="1286">
        <f t="shared" si="220"/>
        <v>0</v>
      </c>
      <c r="K744" s="1286">
        <f t="shared" si="220"/>
        <v>0</v>
      </c>
      <c r="L744" s="1286">
        <f t="shared" si="220"/>
        <v>0</v>
      </c>
      <c r="M744" s="1286">
        <f t="shared" si="220"/>
        <v>0</v>
      </c>
      <c r="Q744" s="282"/>
      <c r="R744" s="282"/>
      <c r="S744" s="1362">
        <f t="shared" ref="S744:S767" si="233">IFERROR(H744/H293,0)</f>
        <v>0</v>
      </c>
      <c r="T744" s="1362">
        <f t="shared" ref="T744:T767" si="234">IFERROR(I744/I293,0)</f>
        <v>0</v>
      </c>
      <c r="U744" s="1362">
        <f t="shared" ref="U744:U767" si="235">IFERROR(J744/J293,0)</f>
        <v>0</v>
      </c>
      <c r="V744" s="1362">
        <f t="shared" ref="V744:V767" si="236">IFERROR(K744/K293,0)</f>
        <v>0</v>
      </c>
      <c r="W744" s="1362">
        <f t="shared" ref="W744:X767" si="237">IFERROR(L744/L293,0)</f>
        <v>0</v>
      </c>
      <c r="X744" s="1362">
        <f t="shared" si="237"/>
        <v>0</v>
      </c>
      <c r="Y744" s="1361"/>
      <c r="Z744" s="282"/>
      <c r="AA744" s="282"/>
    </row>
    <row r="745" spans="1:27" s="431" customFormat="1" outlineLevel="2">
      <c r="A745" s="276">
        <f t="shared" si="226"/>
        <v>294</v>
      </c>
      <c r="B745" s="757">
        <f t="shared" si="227"/>
        <v>0</v>
      </c>
      <c r="C745" s="561"/>
      <c r="D745" s="428"/>
      <c r="G745" s="1286">
        <f t="shared" si="220"/>
        <v>0</v>
      </c>
      <c r="H745" s="1286">
        <f t="shared" si="220"/>
        <v>0</v>
      </c>
      <c r="I745" s="1286">
        <f t="shared" si="220"/>
        <v>0</v>
      </c>
      <c r="J745" s="1286">
        <f t="shared" si="220"/>
        <v>0</v>
      </c>
      <c r="K745" s="1286">
        <f t="shared" si="220"/>
        <v>0</v>
      </c>
      <c r="L745" s="1286">
        <f t="shared" si="220"/>
        <v>0</v>
      </c>
      <c r="M745" s="1286">
        <f t="shared" si="220"/>
        <v>0</v>
      </c>
      <c r="Q745" s="282"/>
      <c r="R745" s="282"/>
      <c r="S745" s="1362">
        <f t="shared" si="233"/>
        <v>0</v>
      </c>
      <c r="T745" s="1362">
        <f t="shared" si="234"/>
        <v>0</v>
      </c>
      <c r="U745" s="1362">
        <f t="shared" si="235"/>
        <v>0</v>
      </c>
      <c r="V745" s="1362">
        <f t="shared" si="236"/>
        <v>0</v>
      </c>
      <c r="W745" s="1362">
        <f t="shared" si="237"/>
        <v>0</v>
      </c>
      <c r="X745" s="1362">
        <f t="shared" si="237"/>
        <v>0</v>
      </c>
      <c r="Y745" s="1361"/>
      <c r="Z745" s="282"/>
      <c r="AA745" s="282"/>
    </row>
    <row r="746" spans="1:27" s="431" customFormat="1" outlineLevel="2">
      <c r="A746" s="276">
        <f t="shared" si="226"/>
        <v>295</v>
      </c>
      <c r="B746" s="757">
        <f t="shared" si="227"/>
        <v>0</v>
      </c>
      <c r="C746" s="561"/>
      <c r="D746" s="428"/>
      <c r="G746" s="1286">
        <f t="shared" si="220"/>
        <v>0</v>
      </c>
      <c r="H746" s="1286">
        <f t="shared" si="220"/>
        <v>0</v>
      </c>
      <c r="I746" s="1286">
        <f t="shared" si="220"/>
        <v>0</v>
      </c>
      <c r="J746" s="1286">
        <f t="shared" si="220"/>
        <v>0</v>
      </c>
      <c r="K746" s="1286">
        <f t="shared" si="220"/>
        <v>0</v>
      </c>
      <c r="L746" s="1286">
        <f t="shared" si="220"/>
        <v>0</v>
      </c>
      <c r="M746" s="1286">
        <f t="shared" si="220"/>
        <v>0</v>
      </c>
      <c r="Q746" s="282"/>
      <c r="R746" s="282"/>
      <c r="S746" s="1362">
        <f t="shared" si="233"/>
        <v>0</v>
      </c>
      <c r="T746" s="1362">
        <f t="shared" si="234"/>
        <v>0</v>
      </c>
      <c r="U746" s="1362">
        <f t="shared" si="235"/>
        <v>0</v>
      </c>
      <c r="V746" s="1362">
        <f t="shared" si="236"/>
        <v>0</v>
      </c>
      <c r="W746" s="1362">
        <f t="shared" si="237"/>
        <v>0</v>
      </c>
      <c r="X746" s="1362">
        <f t="shared" si="237"/>
        <v>0</v>
      </c>
      <c r="Y746" s="1361"/>
      <c r="Z746" s="282"/>
      <c r="AA746" s="282"/>
    </row>
    <row r="747" spans="1:27" s="431" customFormat="1" outlineLevel="2">
      <c r="A747" s="276">
        <f t="shared" si="226"/>
        <v>296</v>
      </c>
      <c r="B747" s="757">
        <f t="shared" si="227"/>
        <v>0</v>
      </c>
      <c r="C747" s="561"/>
      <c r="D747" s="428"/>
      <c r="G747" s="1286">
        <f t="shared" si="220"/>
        <v>0</v>
      </c>
      <c r="H747" s="1286">
        <f t="shared" si="220"/>
        <v>0</v>
      </c>
      <c r="I747" s="1286">
        <f t="shared" si="220"/>
        <v>0</v>
      </c>
      <c r="J747" s="1286">
        <f t="shared" si="220"/>
        <v>0</v>
      </c>
      <c r="K747" s="1286">
        <f t="shared" si="220"/>
        <v>0</v>
      </c>
      <c r="L747" s="1286">
        <f t="shared" si="220"/>
        <v>0</v>
      </c>
      <c r="M747" s="1286">
        <f t="shared" si="220"/>
        <v>0</v>
      </c>
      <c r="Q747" s="282"/>
      <c r="R747" s="282"/>
      <c r="S747" s="1362">
        <f t="shared" si="233"/>
        <v>0</v>
      </c>
      <c r="T747" s="1362">
        <f t="shared" si="234"/>
        <v>0</v>
      </c>
      <c r="U747" s="1362">
        <f t="shared" si="235"/>
        <v>0</v>
      </c>
      <c r="V747" s="1362">
        <f t="shared" si="236"/>
        <v>0</v>
      </c>
      <c r="W747" s="1362">
        <f t="shared" si="237"/>
        <v>0</v>
      </c>
      <c r="X747" s="1362">
        <f t="shared" si="237"/>
        <v>0</v>
      </c>
      <c r="Y747" s="1361"/>
      <c r="Z747" s="282"/>
      <c r="AA747" s="282"/>
    </row>
    <row r="748" spans="1:27" s="431" customFormat="1" outlineLevel="2">
      <c r="A748" s="276">
        <f t="shared" si="226"/>
        <v>297</v>
      </c>
      <c r="B748" s="751" t="str">
        <f t="shared" si="227"/>
        <v xml:space="preserve">Total Special EducationTeachers </v>
      </c>
      <c r="C748" s="732"/>
      <c r="D748" s="700"/>
      <c r="E748" s="747"/>
      <c r="F748" s="747"/>
      <c r="G748" s="1287">
        <f t="shared" ref="G748:H748" si="238">SUM(G739:G747)</f>
        <v>0</v>
      </c>
      <c r="H748" s="1287">
        <f t="shared" si="238"/>
        <v>13162.5</v>
      </c>
      <c r="I748" s="1287">
        <f>SUM(I739:I747)</f>
        <v>27114.75</v>
      </c>
      <c r="J748" s="1287">
        <f t="shared" ref="J748:M748" si="239">SUM(J739:J747)</f>
        <v>27928.192499999997</v>
      </c>
      <c r="K748" s="1287">
        <f t="shared" si="239"/>
        <v>43149.057412499998</v>
      </c>
      <c r="L748" s="1287">
        <f t="shared" si="239"/>
        <v>44443.529134874989</v>
      </c>
      <c r="M748" s="1287">
        <f t="shared" si="239"/>
        <v>61035.780011894989</v>
      </c>
      <c r="Q748" s="282"/>
      <c r="R748" s="282"/>
      <c r="S748" s="1362">
        <f t="shared" si="233"/>
        <v>0.29249999999999998</v>
      </c>
      <c r="T748" s="1362">
        <f t="shared" si="234"/>
        <v>0.29249999999999998</v>
      </c>
      <c r="U748" s="1362">
        <f t="shared" si="235"/>
        <v>0.29249999999999998</v>
      </c>
      <c r="V748" s="1362">
        <f t="shared" si="236"/>
        <v>0.29249999999999993</v>
      </c>
      <c r="W748" s="1362">
        <f t="shared" si="237"/>
        <v>0.29249999999999998</v>
      </c>
      <c r="X748" s="1362">
        <f t="shared" si="237"/>
        <v>0.29249999999999998</v>
      </c>
      <c r="Y748" s="1361"/>
      <c r="Z748" s="282"/>
      <c r="AA748" s="282"/>
    </row>
    <row r="749" spans="1:27" s="431" customFormat="1" outlineLevel="2">
      <c r="A749" s="276">
        <f t="shared" si="226"/>
        <v>298</v>
      </c>
      <c r="B749" s="757">
        <f t="shared" si="227"/>
        <v>0</v>
      </c>
      <c r="C749" s="561"/>
      <c r="D749" s="428"/>
      <c r="G749" s="141"/>
      <c r="H749" s="141"/>
      <c r="I749" s="141"/>
      <c r="J749" s="141"/>
      <c r="K749" s="141"/>
      <c r="L749" s="141"/>
      <c r="M749" s="141"/>
      <c r="Q749" s="282"/>
      <c r="R749" s="282"/>
      <c r="S749" s="1362">
        <f t="shared" si="233"/>
        <v>0</v>
      </c>
      <c r="T749" s="1362">
        <f t="shared" si="234"/>
        <v>0</v>
      </c>
      <c r="U749" s="1362">
        <f t="shared" si="235"/>
        <v>0</v>
      </c>
      <c r="V749" s="1362">
        <f t="shared" si="236"/>
        <v>0</v>
      </c>
      <c r="W749" s="1362">
        <f t="shared" si="237"/>
        <v>0</v>
      </c>
      <c r="X749" s="1362">
        <f t="shared" si="237"/>
        <v>0</v>
      </c>
      <c r="Y749" s="1361"/>
      <c r="Z749" s="282"/>
      <c r="AA749" s="282"/>
    </row>
    <row r="750" spans="1:27" s="431" customFormat="1" outlineLevel="2">
      <c r="A750" s="276">
        <f t="shared" si="226"/>
        <v>299</v>
      </c>
      <c r="B750" s="758" t="str">
        <f t="shared" si="227"/>
        <v>English Language Learner (ELL) Teachers</v>
      </c>
      <c r="C750" s="759"/>
      <c r="D750" s="756"/>
      <c r="E750" s="760"/>
      <c r="F750" s="760"/>
      <c r="G750" s="1345"/>
      <c r="H750" s="1345"/>
      <c r="I750" s="1345"/>
      <c r="J750" s="1345"/>
      <c r="K750" s="1345"/>
      <c r="L750" s="1345"/>
      <c r="M750" s="1345"/>
      <c r="Q750" s="282"/>
      <c r="R750" s="282"/>
      <c r="S750" s="1362">
        <f t="shared" si="233"/>
        <v>0</v>
      </c>
      <c r="T750" s="1362">
        <f t="shared" si="234"/>
        <v>0</v>
      </c>
      <c r="U750" s="1362">
        <f t="shared" si="235"/>
        <v>0</v>
      </c>
      <c r="V750" s="1362">
        <f t="shared" si="236"/>
        <v>0</v>
      </c>
      <c r="W750" s="1362">
        <f t="shared" si="237"/>
        <v>0</v>
      </c>
      <c r="X750" s="1362">
        <f t="shared" si="237"/>
        <v>0</v>
      </c>
      <c r="Y750" s="1361"/>
      <c r="Z750" s="282"/>
      <c r="AA750" s="282"/>
    </row>
    <row r="751" spans="1:27" s="431" customFormat="1" outlineLevel="2">
      <c r="A751" s="276">
        <f t="shared" si="226"/>
        <v>300</v>
      </c>
      <c r="B751" s="757" t="str">
        <f t="shared" si="227"/>
        <v xml:space="preserve">EL Coordinator </v>
      </c>
      <c r="C751" s="561"/>
      <c r="D751" s="428"/>
      <c r="G751" s="1286">
        <f t="shared" ref="G751:M753" si="240">G300*$C$90</f>
        <v>0</v>
      </c>
      <c r="H751" s="1286">
        <f t="shared" si="240"/>
        <v>13162.5</v>
      </c>
      <c r="I751" s="1286">
        <f t="shared" si="240"/>
        <v>13557.375</v>
      </c>
      <c r="J751" s="1286">
        <f t="shared" si="240"/>
        <v>13964.096249999999</v>
      </c>
      <c r="K751" s="1286">
        <f t="shared" si="240"/>
        <v>14383.019137499999</v>
      </c>
      <c r="L751" s="1286">
        <f t="shared" si="240"/>
        <v>14814.509711624996</v>
      </c>
      <c r="M751" s="1286">
        <f t="shared" si="240"/>
        <v>15258.945002973747</v>
      </c>
      <c r="Q751" s="282"/>
      <c r="R751" s="282"/>
      <c r="S751" s="1362">
        <f t="shared" si="233"/>
        <v>0.29249999999999998</v>
      </c>
      <c r="T751" s="1362">
        <f t="shared" si="234"/>
        <v>0.29249999999999998</v>
      </c>
      <c r="U751" s="1362">
        <f t="shared" si="235"/>
        <v>0.29249999999999998</v>
      </c>
      <c r="V751" s="1362">
        <f t="shared" si="236"/>
        <v>0.29249999999999998</v>
      </c>
      <c r="W751" s="1362">
        <f t="shared" si="237"/>
        <v>0.29249999999999998</v>
      </c>
      <c r="X751" s="1362">
        <f t="shared" si="237"/>
        <v>0.29249999999999998</v>
      </c>
      <c r="Y751" s="1361"/>
      <c r="Z751" s="282"/>
      <c r="AA751" s="282"/>
    </row>
    <row r="752" spans="1:27" s="431" customFormat="1" outlineLevel="2">
      <c r="A752" s="276">
        <f t="shared" si="226"/>
        <v>301</v>
      </c>
      <c r="B752" s="757" t="str">
        <f t="shared" si="227"/>
        <v>ELL Teacher</v>
      </c>
      <c r="C752" s="561"/>
      <c r="D752" s="428"/>
      <c r="G752" s="1286">
        <f t="shared" si="240"/>
        <v>0</v>
      </c>
      <c r="H752" s="1286">
        <f t="shared" si="240"/>
        <v>0</v>
      </c>
      <c r="I752" s="1286">
        <f t="shared" si="240"/>
        <v>0</v>
      </c>
      <c r="J752" s="1286">
        <f t="shared" si="240"/>
        <v>13964.096249999999</v>
      </c>
      <c r="K752" s="1286">
        <f t="shared" si="240"/>
        <v>14383.019137499999</v>
      </c>
      <c r="L752" s="1286">
        <f t="shared" si="240"/>
        <v>14814.509711624996</v>
      </c>
      <c r="M752" s="1286">
        <f t="shared" si="240"/>
        <v>15258.945002973747</v>
      </c>
      <c r="Q752" s="282"/>
      <c r="R752" s="282"/>
      <c r="S752" s="1362">
        <f t="shared" si="233"/>
        <v>0</v>
      </c>
      <c r="T752" s="1362">
        <f t="shared" si="234"/>
        <v>0</v>
      </c>
      <c r="U752" s="1362">
        <f t="shared" si="235"/>
        <v>0.29249999999999998</v>
      </c>
      <c r="V752" s="1362">
        <f t="shared" si="236"/>
        <v>0.29249999999999998</v>
      </c>
      <c r="W752" s="1362">
        <f t="shared" si="237"/>
        <v>0.29249999999999998</v>
      </c>
      <c r="X752" s="1362">
        <f t="shared" si="237"/>
        <v>0.29249999999999998</v>
      </c>
      <c r="Y752" s="1361"/>
      <c r="Z752" s="282"/>
      <c r="AA752" s="282"/>
    </row>
    <row r="753" spans="1:27" s="431" customFormat="1" outlineLevel="2">
      <c r="A753" s="276">
        <f t="shared" si="226"/>
        <v>302</v>
      </c>
      <c r="B753" s="757" t="str">
        <f t="shared" si="227"/>
        <v>ELL Teacher</v>
      </c>
      <c r="C753" s="561"/>
      <c r="D753" s="428"/>
      <c r="G753" s="1286">
        <f t="shared" si="240"/>
        <v>0</v>
      </c>
      <c r="H753" s="1286">
        <f t="shared" ref="H753:M753" si="241">H302*$C$90</f>
        <v>0</v>
      </c>
      <c r="I753" s="1286">
        <f t="shared" si="241"/>
        <v>0</v>
      </c>
      <c r="J753" s="1286">
        <f t="shared" si="241"/>
        <v>0</v>
      </c>
      <c r="K753" s="1286">
        <f t="shared" si="241"/>
        <v>0</v>
      </c>
      <c r="L753" s="1286">
        <f t="shared" si="241"/>
        <v>14814.509711624996</v>
      </c>
      <c r="M753" s="1286">
        <f t="shared" si="241"/>
        <v>15258.945002973747</v>
      </c>
      <c r="Q753" s="282"/>
      <c r="R753" s="282"/>
      <c r="S753" s="1362">
        <f t="shared" si="233"/>
        <v>0</v>
      </c>
      <c r="T753" s="1362">
        <f t="shared" si="234"/>
        <v>0</v>
      </c>
      <c r="U753" s="1362">
        <f t="shared" si="235"/>
        <v>0</v>
      </c>
      <c r="V753" s="1362">
        <f t="shared" si="236"/>
        <v>0</v>
      </c>
      <c r="W753" s="1362">
        <f t="shared" si="237"/>
        <v>0.29249999999999998</v>
      </c>
      <c r="X753" s="1362">
        <f t="shared" si="237"/>
        <v>0.29249999999999998</v>
      </c>
      <c r="Y753" s="1361"/>
      <c r="Z753" s="282"/>
      <c r="AA753" s="282"/>
    </row>
    <row r="754" spans="1:27" s="431" customFormat="1" outlineLevel="2">
      <c r="A754" s="276">
        <f>ROW(A311)</f>
        <v>311</v>
      </c>
      <c r="B754" s="757">
        <f t="shared" si="227"/>
        <v>0</v>
      </c>
      <c r="C754" s="561"/>
      <c r="D754" s="428"/>
      <c r="G754" s="1286">
        <f t="shared" ref="G754:M754" si="242">G303*$C$90</f>
        <v>0</v>
      </c>
      <c r="H754" s="1286">
        <f t="shared" si="242"/>
        <v>0</v>
      </c>
      <c r="I754" s="1286">
        <f t="shared" si="242"/>
        <v>0</v>
      </c>
      <c r="J754" s="1286">
        <f t="shared" si="242"/>
        <v>0</v>
      </c>
      <c r="K754" s="1286">
        <f t="shared" si="242"/>
        <v>0</v>
      </c>
      <c r="L754" s="1286">
        <f t="shared" si="242"/>
        <v>0</v>
      </c>
      <c r="M754" s="1286">
        <f t="shared" si="242"/>
        <v>0</v>
      </c>
      <c r="Q754" s="282"/>
      <c r="R754" s="282"/>
      <c r="S754" s="1362">
        <f t="shared" si="233"/>
        <v>0</v>
      </c>
      <c r="T754" s="1362">
        <f t="shared" si="234"/>
        <v>0</v>
      </c>
      <c r="U754" s="1362">
        <f t="shared" si="235"/>
        <v>0</v>
      </c>
      <c r="V754" s="1362">
        <f t="shared" si="236"/>
        <v>0</v>
      </c>
      <c r="W754" s="1362">
        <f t="shared" si="237"/>
        <v>0</v>
      </c>
      <c r="X754" s="1362">
        <f t="shared" si="237"/>
        <v>0</v>
      </c>
      <c r="Y754" s="1361"/>
      <c r="Z754" s="282"/>
      <c r="AA754" s="282"/>
    </row>
    <row r="755" spans="1:27" s="431" customFormat="1" outlineLevel="2">
      <c r="A755" s="276">
        <f>ROW(A312)</f>
        <v>312</v>
      </c>
      <c r="B755" s="757">
        <f t="shared" si="227"/>
        <v>0</v>
      </c>
      <c r="C755" s="561"/>
      <c r="D755" s="428"/>
      <c r="G755" s="1286">
        <f t="shared" ref="G755:M755" si="243">G304*$C$90</f>
        <v>0</v>
      </c>
      <c r="H755" s="1286">
        <f t="shared" si="243"/>
        <v>0</v>
      </c>
      <c r="I755" s="1286">
        <f t="shared" si="243"/>
        <v>0</v>
      </c>
      <c r="J755" s="1286">
        <f t="shared" si="243"/>
        <v>0</v>
      </c>
      <c r="K755" s="1286">
        <f t="shared" si="243"/>
        <v>0</v>
      </c>
      <c r="L755" s="1286">
        <f t="shared" si="243"/>
        <v>0</v>
      </c>
      <c r="M755" s="1286">
        <f t="shared" si="243"/>
        <v>0</v>
      </c>
      <c r="Q755" s="282"/>
      <c r="R755" s="282"/>
      <c r="S755" s="1362">
        <f t="shared" si="233"/>
        <v>0</v>
      </c>
      <c r="T755" s="1362">
        <f t="shared" si="234"/>
        <v>0</v>
      </c>
      <c r="U755" s="1362">
        <f t="shared" si="235"/>
        <v>0</v>
      </c>
      <c r="V755" s="1362">
        <f t="shared" si="236"/>
        <v>0</v>
      </c>
      <c r="W755" s="1362">
        <f t="shared" si="237"/>
        <v>0</v>
      </c>
      <c r="X755" s="1362">
        <f t="shared" si="237"/>
        <v>0</v>
      </c>
      <c r="Y755" s="1361"/>
      <c r="Z755" s="282"/>
      <c r="AA755" s="282"/>
    </row>
    <row r="756" spans="1:27" s="431" customFormat="1" outlineLevel="2">
      <c r="A756" s="276">
        <f>ROW(A293)</f>
        <v>293</v>
      </c>
      <c r="B756" s="757">
        <f t="shared" si="227"/>
        <v>0</v>
      </c>
      <c r="C756" s="561"/>
      <c r="D756" s="428"/>
      <c r="G756" s="1286">
        <f t="shared" ref="G756:M756" si="244">G305*$C$90</f>
        <v>0</v>
      </c>
      <c r="H756" s="1286">
        <f t="shared" si="244"/>
        <v>0</v>
      </c>
      <c r="I756" s="1286">
        <f t="shared" si="244"/>
        <v>0</v>
      </c>
      <c r="J756" s="1286">
        <f t="shared" si="244"/>
        <v>0</v>
      </c>
      <c r="K756" s="1286">
        <f t="shared" si="244"/>
        <v>0</v>
      </c>
      <c r="L756" s="1286">
        <f t="shared" si="244"/>
        <v>0</v>
      </c>
      <c r="M756" s="1286">
        <f t="shared" si="244"/>
        <v>0</v>
      </c>
      <c r="Q756" s="282"/>
      <c r="R756" s="282"/>
      <c r="S756" s="1362">
        <f t="shared" si="233"/>
        <v>0</v>
      </c>
      <c r="T756" s="1362">
        <f t="shared" si="234"/>
        <v>0</v>
      </c>
      <c r="U756" s="1362">
        <f t="shared" si="235"/>
        <v>0</v>
      </c>
      <c r="V756" s="1362">
        <f t="shared" si="236"/>
        <v>0</v>
      </c>
      <c r="W756" s="1362">
        <f t="shared" si="237"/>
        <v>0</v>
      </c>
      <c r="X756" s="1362">
        <f t="shared" si="237"/>
        <v>0</v>
      </c>
      <c r="Y756" s="1361"/>
      <c r="Z756" s="282"/>
      <c r="AA756" s="282"/>
    </row>
    <row r="757" spans="1:27" s="431" customFormat="1" outlineLevel="2">
      <c r="A757" s="276">
        <f>ROW(A294)</f>
        <v>294</v>
      </c>
      <c r="B757" s="757">
        <f t="shared" si="227"/>
        <v>0</v>
      </c>
      <c r="C757" s="561"/>
      <c r="D757" s="428"/>
      <c r="G757" s="1286">
        <f t="shared" ref="G757:M757" si="245">G306*$C$90</f>
        <v>0</v>
      </c>
      <c r="H757" s="1286">
        <f t="shared" si="245"/>
        <v>0</v>
      </c>
      <c r="I757" s="1286">
        <f t="shared" si="245"/>
        <v>0</v>
      </c>
      <c r="J757" s="1286">
        <f t="shared" si="245"/>
        <v>0</v>
      </c>
      <c r="K757" s="1286">
        <f t="shared" si="245"/>
        <v>0</v>
      </c>
      <c r="L757" s="1286">
        <f t="shared" si="245"/>
        <v>0</v>
      </c>
      <c r="M757" s="1286">
        <f t="shared" si="245"/>
        <v>0</v>
      </c>
      <c r="Q757" s="282"/>
      <c r="R757" s="282"/>
      <c r="S757" s="1362">
        <f t="shared" si="233"/>
        <v>0</v>
      </c>
      <c r="T757" s="1362">
        <f t="shared" si="234"/>
        <v>0</v>
      </c>
      <c r="U757" s="1362">
        <f t="shared" si="235"/>
        <v>0</v>
      </c>
      <c r="V757" s="1362">
        <f t="shared" si="236"/>
        <v>0</v>
      </c>
      <c r="W757" s="1362">
        <f t="shared" si="237"/>
        <v>0</v>
      </c>
      <c r="X757" s="1362">
        <f t="shared" si="237"/>
        <v>0</v>
      </c>
      <c r="Y757" s="1361"/>
      <c r="Z757" s="282"/>
      <c r="AA757" s="282"/>
    </row>
    <row r="758" spans="1:27" s="431" customFormat="1" outlineLevel="2">
      <c r="A758" s="276">
        <f>ROW(A295)</f>
        <v>295</v>
      </c>
      <c r="B758" s="757">
        <f t="shared" si="227"/>
        <v>0</v>
      </c>
      <c r="C758" s="561"/>
      <c r="D758" s="428"/>
      <c r="G758" s="1286">
        <f t="shared" ref="G758:M758" si="246">G307*$C$90</f>
        <v>0</v>
      </c>
      <c r="H758" s="1286">
        <f t="shared" si="246"/>
        <v>0</v>
      </c>
      <c r="I758" s="1286">
        <f t="shared" si="246"/>
        <v>0</v>
      </c>
      <c r="J758" s="1286">
        <f t="shared" si="246"/>
        <v>0</v>
      </c>
      <c r="K758" s="1286">
        <f t="shared" si="246"/>
        <v>0</v>
      </c>
      <c r="L758" s="1286">
        <f t="shared" si="246"/>
        <v>0</v>
      </c>
      <c r="M758" s="1286">
        <f t="shared" si="246"/>
        <v>0</v>
      </c>
      <c r="Q758" s="282"/>
      <c r="R758" s="282"/>
      <c r="S758" s="1362">
        <f t="shared" si="233"/>
        <v>0</v>
      </c>
      <c r="T758" s="1362">
        <f t="shared" si="234"/>
        <v>0</v>
      </c>
      <c r="U758" s="1362">
        <f t="shared" si="235"/>
        <v>0</v>
      </c>
      <c r="V758" s="1362">
        <f t="shared" si="236"/>
        <v>0</v>
      </c>
      <c r="W758" s="1362">
        <f t="shared" si="237"/>
        <v>0</v>
      </c>
      <c r="X758" s="1362">
        <f t="shared" si="237"/>
        <v>0</v>
      </c>
      <c r="Y758" s="1361"/>
      <c r="Z758" s="282"/>
      <c r="AA758" s="282"/>
    </row>
    <row r="759" spans="1:27" s="431" customFormat="1" outlineLevel="2">
      <c r="A759" s="276">
        <f>ROW(A296)</f>
        <v>296</v>
      </c>
      <c r="B759" s="1364">
        <f t="shared" si="227"/>
        <v>0</v>
      </c>
      <c r="C759" s="759"/>
      <c r="D759" s="756"/>
      <c r="E759" s="760"/>
      <c r="F759" s="760"/>
      <c r="G759" s="1291">
        <f t="shared" ref="G759:M759" si="247">G308*$C$90</f>
        <v>0</v>
      </c>
      <c r="H759" s="1291">
        <f t="shared" si="247"/>
        <v>0</v>
      </c>
      <c r="I759" s="1291">
        <f t="shared" si="247"/>
        <v>0</v>
      </c>
      <c r="J759" s="1291">
        <f t="shared" si="247"/>
        <v>0</v>
      </c>
      <c r="K759" s="1291">
        <f t="shared" si="247"/>
        <v>0</v>
      </c>
      <c r="L759" s="1291">
        <f t="shared" si="247"/>
        <v>0</v>
      </c>
      <c r="M759" s="1291">
        <f t="shared" si="247"/>
        <v>0</v>
      </c>
      <c r="Q759" s="282"/>
      <c r="R759" s="282"/>
      <c r="S759" s="1362">
        <f t="shared" si="233"/>
        <v>0</v>
      </c>
      <c r="T759" s="1362">
        <f t="shared" si="234"/>
        <v>0</v>
      </c>
      <c r="U759" s="1362">
        <f t="shared" si="235"/>
        <v>0</v>
      </c>
      <c r="V759" s="1362">
        <f t="shared" si="236"/>
        <v>0</v>
      </c>
      <c r="W759" s="1362">
        <f t="shared" si="237"/>
        <v>0</v>
      </c>
      <c r="X759" s="1362">
        <f t="shared" si="237"/>
        <v>0</v>
      </c>
      <c r="Y759" s="1361"/>
      <c r="Z759" s="282"/>
      <c r="AA759" s="282"/>
    </row>
    <row r="760" spans="1:27" s="431" customFormat="1" outlineLevel="2">
      <c r="A760" s="276"/>
      <c r="B760" s="750"/>
      <c r="C760" s="561"/>
      <c r="D760" s="428"/>
      <c r="G760" s="1286"/>
      <c r="H760" s="1286">
        <f>SUM(H751:H759)</f>
        <v>13162.5</v>
      </c>
      <c r="I760" s="1286">
        <f t="shared" ref="I760:M760" si="248">SUM(I751:I759)</f>
        <v>13557.375</v>
      </c>
      <c r="J760" s="1286">
        <f t="shared" si="248"/>
        <v>27928.192499999997</v>
      </c>
      <c r="K760" s="1286">
        <f t="shared" si="248"/>
        <v>28766.038274999999</v>
      </c>
      <c r="L760" s="1286">
        <f t="shared" si="248"/>
        <v>44443.529134874989</v>
      </c>
      <c r="M760" s="1286">
        <f t="shared" si="248"/>
        <v>45776.83500892124</v>
      </c>
      <c r="Q760" s="282"/>
      <c r="R760" s="282"/>
      <c r="S760" s="1362">
        <f t="shared" si="233"/>
        <v>0.29249999999999998</v>
      </c>
      <c r="T760" s="1362">
        <f t="shared" si="234"/>
        <v>0.29249999999999998</v>
      </c>
      <c r="U760" s="1362">
        <f t="shared" si="235"/>
        <v>0.29249999999999998</v>
      </c>
      <c r="V760" s="1362">
        <f t="shared" si="236"/>
        <v>0.29249999999999998</v>
      </c>
      <c r="W760" s="1362">
        <f t="shared" si="237"/>
        <v>0.29249999999999998</v>
      </c>
      <c r="X760" s="1362">
        <f t="shared" si="237"/>
        <v>0.29249999999999993</v>
      </c>
      <c r="Y760" s="1361"/>
      <c r="Z760" s="282"/>
      <c r="AA760" s="282"/>
    </row>
    <row r="761" spans="1:27" s="431" customFormat="1" outlineLevel="2">
      <c r="A761" s="276">
        <f t="shared" ref="A761:A767" si="249">ROW(A298)</f>
        <v>298</v>
      </c>
      <c r="B761" s="757">
        <f t="shared" si="227"/>
        <v>0</v>
      </c>
      <c r="C761" s="561"/>
      <c r="D761" s="428"/>
      <c r="G761" s="1286"/>
      <c r="H761" s="1286"/>
      <c r="I761" s="1286"/>
      <c r="J761" s="1286"/>
      <c r="K761" s="1286"/>
      <c r="L761" s="1286"/>
      <c r="M761" s="1286"/>
      <c r="Q761" s="282"/>
      <c r="R761" s="282"/>
      <c r="S761" s="1362">
        <f t="shared" si="233"/>
        <v>0</v>
      </c>
      <c r="T761" s="1362">
        <f t="shared" si="234"/>
        <v>0</v>
      </c>
      <c r="U761" s="1362">
        <f t="shared" si="235"/>
        <v>0</v>
      </c>
      <c r="V761" s="1362">
        <f t="shared" si="236"/>
        <v>0</v>
      </c>
      <c r="W761" s="1362">
        <f t="shared" si="237"/>
        <v>0</v>
      </c>
      <c r="X761" s="1362">
        <f t="shared" si="237"/>
        <v>0</v>
      </c>
      <c r="Y761" s="1361"/>
      <c r="Z761" s="282"/>
      <c r="AA761" s="282"/>
    </row>
    <row r="762" spans="1:27" s="431" customFormat="1" outlineLevel="2">
      <c r="A762" s="276">
        <f t="shared" si="249"/>
        <v>299</v>
      </c>
      <c r="B762" s="758" t="str">
        <f t="shared" si="227"/>
        <v>Guidance Counselor &amp; Other</v>
      </c>
      <c r="C762" s="759"/>
      <c r="D762" s="756"/>
      <c r="E762" s="760"/>
      <c r="F762" s="760"/>
      <c r="G762" s="1291"/>
      <c r="H762" s="1291"/>
      <c r="I762" s="1291"/>
      <c r="J762" s="1291"/>
      <c r="K762" s="1291"/>
      <c r="L762" s="1291"/>
      <c r="M762" s="1291"/>
      <c r="Q762" s="282"/>
      <c r="R762" s="282"/>
      <c r="S762" s="1362">
        <f t="shared" si="233"/>
        <v>0</v>
      </c>
      <c r="T762" s="1362">
        <f t="shared" si="234"/>
        <v>0</v>
      </c>
      <c r="U762" s="1362">
        <f t="shared" si="235"/>
        <v>0</v>
      </c>
      <c r="V762" s="1362">
        <f t="shared" si="236"/>
        <v>0</v>
      </c>
      <c r="W762" s="1362">
        <f t="shared" si="237"/>
        <v>0</v>
      </c>
      <c r="X762" s="1362">
        <f t="shared" si="237"/>
        <v>0</v>
      </c>
      <c r="Y762" s="1361"/>
      <c r="Z762" s="282"/>
      <c r="AA762" s="282"/>
    </row>
    <row r="763" spans="1:27" s="431" customFormat="1" outlineLevel="2">
      <c r="A763" s="276">
        <f t="shared" si="249"/>
        <v>300</v>
      </c>
      <c r="B763" s="757" t="str">
        <f t="shared" si="227"/>
        <v>Counselor</v>
      </c>
      <c r="C763" s="561"/>
      <c r="D763" s="428"/>
      <c r="G763" s="1286">
        <f t="shared" ref="G763:M763" si="250">G312*$C$90</f>
        <v>0</v>
      </c>
      <c r="H763" s="1286">
        <f t="shared" si="250"/>
        <v>0</v>
      </c>
      <c r="I763" s="1286">
        <f t="shared" si="250"/>
        <v>15063.749999999998</v>
      </c>
      <c r="J763" s="1286">
        <f t="shared" si="250"/>
        <v>15515.662499999999</v>
      </c>
      <c r="K763" s="1286">
        <f t="shared" si="250"/>
        <v>15981.132374999999</v>
      </c>
      <c r="L763" s="1286">
        <f t="shared" si="250"/>
        <v>16460.566346249998</v>
      </c>
      <c r="M763" s="1286">
        <f t="shared" si="250"/>
        <v>16954.383336637497</v>
      </c>
      <c r="Q763" s="282"/>
      <c r="R763" s="282"/>
      <c r="S763" s="1362">
        <f t="shared" si="233"/>
        <v>0</v>
      </c>
      <c r="T763" s="1362">
        <f t="shared" si="234"/>
        <v>0.29249999999999998</v>
      </c>
      <c r="U763" s="1362">
        <f t="shared" si="235"/>
        <v>0.29249999999999998</v>
      </c>
      <c r="V763" s="1362">
        <f t="shared" si="236"/>
        <v>0.29249999999999998</v>
      </c>
      <c r="W763" s="1362">
        <f t="shared" si="237"/>
        <v>0.29249999999999998</v>
      </c>
      <c r="X763" s="1362">
        <f t="shared" si="237"/>
        <v>0.29249999999999998</v>
      </c>
      <c r="Y763" s="1361"/>
      <c r="Z763" s="282"/>
      <c r="AA763" s="282"/>
    </row>
    <row r="764" spans="1:27" s="431" customFormat="1" outlineLevel="2">
      <c r="A764" s="276">
        <f t="shared" si="249"/>
        <v>301</v>
      </c>
      <c r="B764" s="757" t="str">
        <f t="shared" si="227"/>
        <v>Counselor</v>
      </c>
      <c r="C764" s="561"/>
      <c r="D764" s="428"/>
      <c r="G764" s="1286">
        <f t="shared" ref="G764:M764" si="251">G313*$C$90</f>
        <v>0</v>
      </c>
      <c r="H764" s="1286">
        <f t="shared" si="251"/>
        <v>0</v>
      </c>
      <c r="I764" s="1286">
        <f t="shared" si="251"/>
        <v>0</v>
      </c>
      <c r="J764" s="1286">
        <f t="shared" si="251"/>
        <v>15515.662499999999</v>
      </c>
      <c r="K764" s="1286">
        <f t="shared" si="251"/>
        <v>15981.132374999999</v>
      </c>
      <c r="L764" s="1286">
        <f t="shared" si="251"/>
        <v>16460.566346249998</v>
      </c>
      <c r="M764" s="1286">
        <f t="shared" si="251"/>
        <v>16954.383336637497</v>
      </c>
      <c r="Q764" s="282"/>
      <c r="R764" s="282"/>
      <c r="S764" s="1362">
        <f t="shared" si="233"/>
        <v>0</v>
      </c>
      <c r="T764" s="1362">
        <f t="shared" si="234"/>
        <v>0</v>
      </c>
      <c r="U764" s="1362">
        <f t="shared" si="235"/>
        <v>0.29249999999999998</v>
      </c>
      <c r="V764" s="1362">
        <f t="shared" si="236"/>
        <v>0.29249999999999998</v>
      </c>
      <c r="W764" s="1362">
        <f t="shared" si="237"/>
        <v>0.29249999999999998</v>
      </c>
      <c r="X764" s="1362">
        <f t="shared" si="237"/>
        <v>0.29249999999999998</v>
      </c>
      <c r="Y764" s="1361"/>
      <c r="Z764" s="282"/>
      <c r="AA764" s="282"/>
    </row>
    <row r="765" spans="1:27" s="431" customFormat="1" outlineLevel="2">
      <c r="A765" s="276">
        <f t="shared" si="249"/>
        <v>302</v>
      </c>
      <c r="B765" s="757" t="str">
        <f t="shared" si="227"/>
        <v xml:space="preserve">Janitor / Maintenance </v>
      </c>
      <c r="C765" s="561"/>
      <c r="D765" s="428"/>
      <c r="G765" s="1286">
        <f t="shared" ref="G765:M765" si="252">G314*$C$90</f>
        <v>0</v>
      </c>
      <c r="H765" s="1286">
        <f t="shared" si="252"/>
        <v>8775</v>
      </c>
      <c r="I765" s="1286">
        <f t="shared" si="252"/>
        <v>9038.25</v>
      </c>
      <c r="J765" s="1286">
        <f t="shared" si="252"/>
        <v>9309.3974999999991</v>
      </c>
      <c r="K765" s="1286">
        <f t="shared" si="252"/>
        <v>9588.6794249999984</v>
      </c>
      <c r="L765" s="1286">
        <f t="shared" si="252"/>
        <v>9876.3398077499987</v>
      </c>
      <c r="M765" s="1286">
        <f t="shared" si="252"/>
        <v>10172.630001982498</v>
      </c>
      <c r="Q765" s="282"/>
      <c r="R765" s="282"/>
      <c r="S765" s="1362">
        <f t="shared" si="233"/>
        <v>0.29249999999999998</v>
      </c>
      <c r="T765" s="1362">
        <f t="shared" si="234"/>
        <v>0.29249999999999998</v>
      </c>
      <c r="U765" s="1362">
        <f t="shared" si="235"/>
        <v>0.29249999999999998</v>
      </c>
      <c r="V765" s="1362">
        <f t="shared" si="236"/>
        <v>0.29249999999999998</v>
      </c>
      <c r="W765" s="1362">
        <f t="shared" si="237"/>
        <v>0.29249999999999998</v>
      </c>
      <c r="X765" s="1362">
        <f t="shared" si="237"/>
        <v>0.29249999999999998</v>
      </c>
      <c r="Y765" s="1361"/>
      <c r="Z765" s="282"/>
      <c r="AA765" s="282"/>
    </row>
    <row r="766" spans="1:27" s="431" customFormat="1" outlineLevel="2">
      <c r="A766" s="276">
        <f t="shared" si="249"/>
        <v>303</v>
      </c>
      <c r="B766" s="757" t="str">
        <f t="shared" si="227"/>
        <v xml:space="preserve">Janitor / Maintenance </v>
      </c>
      <c r="C766" s="561"/>
      <c r="D766" s="428"/>
      <c r="G766" s="1286">
        <f t="shared" ref="G766:M766" si="253">G315*$C$90</f>
        <v>0</v>
      </c>
      <c r="H766" s="1286">
        <f t="shared" si="253"/>
        <v>0</v>
      </c>
      <c r="I766" s="1286">
        <f t="shared" si="253"/>
        <v>0</v>
      </c>
      <c r="J766" s="1286">
        <f t="shared" si="253"/>
        <v>9309.3974999999991</v>
      </c>
      <c r="K766" s="1286">
        <f t="shared" si="253"/>
        <v>9588.6794249999984</v>
      </c>
      <c r="L766" s="1286">
        <f t="shared" si="253"/>
        <v>9876.3398077499987</v>
      </c>
      <c r="M766" s="1286">
        <f t="shared" si="253"/>
        <v>10172.630001982498</v>
      </c>
      <c r="Q766" s="282"/>
      <c r="R766" s="282"/>
      <c r="S766" s="1362">
        <f t="shared" si="233"/>
        <v>0</v>
      </c>
      <c r="T766" s="1362">
        <f t="shared" si="234"/>
        <v>0</v>
      </c>
      <c r="U766" s="1362">
        <f t="shared" si="235"/>
        <v>0.29249999999999998</v>
      </c>
      <c r="V766" s="1362">
        <f t="shared" si="236"/>
        <v>0.29249999999999998</v>
      </c>
      <c r="W766" s="1362">
        <f t="shared" si="237"/>
        <v>0.29249999999999998</v>
      </c>
      <c r="X766" s="1362">
        <f t="shared" si="237"/>
        <v>0.29249999999999998</v>
      </c>
      <c r="Y766" s="1361"/>
      <c r="Z766" s="282"/>
      <c r="AA766" s="282"/>
    </row>
    <row r="767" spans="1:27" s="431" customFormat="1" outlineLevel="2">
      <c r="A767" s="276">
        <f t="shared" si="249"/>
        <v>304</v>
      </c>
      <c r="B767" s="757">
        <f t="shared" si="227"/>
        <v>0</v>
      </c>
      <c r="C767" s="561"/>
      <c r="D767" s="428"/>
      <c r="G767" s="1286">
        <f t="shared" ref="G767:M767" si="254">G316*$C$90</f>
        <v>0</v>
      </c>
      <c r="H767" s="1286">
        <f t="shared" si="254"/>
        <v>0</v>
      </c>
      <c r="I767" s="1286">
        <f t="shared" si="254"/>
        <v>0</v>
      </c>
      <c r="J767" s="1286">
        <f t="shared" si="254"/>
        <v>0</v>
      </c>
      <c r="K767" s="1286">
        <f t="shared" si="254"/>
        <v>0</v>
      </c>
      <c r="L767" s="1286">
        <f t="shared" si="254"/>
        <v>0</v>
      </c>
      <c r="M767" s="1286">
        <f t="shared" si="254"/>
        <v>0</v>
      </c>
      <c r="Q767" s="282"/>
      <c r="R767" s="282"/>
      <c r="S767" s="1362">
        <f t="shared" si="233"/>
        <v>0</v>
      </c>
      <c r="T767" s="1362">
        <f t="shared" si="234"/>
        <v>0</v>
      </c>
      <c r="U767" s="1362">
        <f t="shared" si="235"/>
        <v>0</v>
      </c>
      <c r="V767" s="1362">
        <f t="shared" si="236"/>
        <v>0</v>
      </c>
      <c r="W767" s="1362">
        <f t="shared" si="237"/>
        <v>0</v>
      </c>
      <c r="X767" s="1362">
        <f t="shared" si="237"/>
        <v>0</v>
      </c>
      <c r="Y767" s="1361"/>
      <c r="Z767" s="282"/>
      <c r="AA767" s="282"/>
    </row>
    <row r="768" spans="1:27" s="431" customFormat="1" outlineLevel="2">
      <c r="A768" s="276">
        <f t="shared" ref="A768:A770" si="255">ROW(A305)</f>
        <v>305</v>
      </c>
      <c r="B768" s="757" t="str">
        <f t="shared" si="227"/>
        <v>Plan Manager</v>
      </c>
      <c r="C768" s="561"/>
      <c r="D768" s="428"/>
      <c r="G768" s="1286">
        <f t="shared" ref="G768:M768" si="256">G317*$C$90</f>
        <v>0</v>
      </c>
      <c r="H768" s="1286">
        <f t="shared" si="256"/>
        <v>0</v>
      </c>
      <c r="I768" s="1286">
        <f t="shared" si="256"/>
        <v>0</v>
      </c>
      <c r="J768" s="1286">
        <f t="shared" si="256"/>
        <v>0</v>
      </c>
      <c r="K768" s="1286">
        <f t="shared" si="256"/>
        <v>0</v>
      </c>
      <c r="L768" s="1286">
        <f t="shared" si="256"/>
        <v>0</v>
      </c>
      <c r="M768" s="1286">
        <f t="shared" si="256"/>
        <v>16954.383336637497</v>
      </c>
      <c r="Q768" s="282"/>
      <c r="R768" s="282"/>
      <c r="S768" s="1362">
        <f t="shared" ref="S768:S770" si="257">IFERROR(H768/H317,0)</f>
        <v>0</v>
      </c>
      <c r="T768" s="1362">
        <f t="shared" ref="T768:T770" si="258">IFERROR(I768/I317,0)</f>
        <v>0</v>
      </c>
      <c r="U768" s="1362">
        <f t="shared" ref="U768:U770" si="259">IFERROR(J768/J317,0)</f>
        <v>0</v>
      </c>
      <c r="V768" s="1362">
        <f t="shared" ref="V768:V770" si="260">IFERROR(K768/K317,0)</f>
        <v>0</v>
      </c>
      <c r="W768" s="1362">
        <f t="shared" ref="W768:X770" si="261">IFERROR(L768/L317,0)</f>
        <v>0</v>
      </c>
      <c r="X768" s="1362">
        <f t="shared" si="261"/>
        <v>0.29249999999999998</v>
      </c>
      <c r="Y768" s="1361"/>
      <c r="Z768" s="282"/>
      <c r="AA768" s="282"/>
    </row>
    <row r="769" spans="1:27" s="431" customFormat="1" outlineLevel="2">
      <c r="A769" s="276">
        <f t="shared" si="255"/>
        <v>306</v>
      </c>
      <c r="B769" s="757" t="str">
        <f t="shared" si="227"/>
        <v>IT Support Technician</v>
      </c>
      <c r="C769" s="561"/>
      <c r="D769" s="428"/>
      <c r="G769" s="1286">
        <f t="shared" ref="G769:M769" si="262">G318*$C$90</f>
        <v>0</v>
      </c>
      <c r="H769" s="1286">
        <f t="shared" si="262"/>
        <v>8775</v>
      </c>
      <c r="I769" s="1286">
        <f t="shared" si="262"/>
        <v>9038.25</v>
      </c>
      <c r="J769" s="1286">
        <f t="shared" si="262"/>
        <v>9309.3974999999991</v>
      </c>
      <c r="K769" s="1286">
        <f t="shared" si="262"/>
        <v>9588.6794249999984</v>
      </c>
      <c r="L769" s="1286">
        <f t="shared" si="262"/>
        <v>9876.3398077499987</v>
      </c>
      <c r="M769" s="1286">
        <f t="shared" si="262"/>
        <v>10172.630001982498</v>
      </c>
      <c r="Q769" s="282"/>
      <c r="R769" s="282"/>
      <c r="S769" s="1362">
        <f t="shared" si="257"/>
        <v>0.29249999999999998</v>
      </c>
      <c r="T769" s="1362">
        <f t="shared" si="258"/>
        <v>0.29249999999999998</v>
      </c>
      <c r="U769" s="1362">
        <f t="shared" si="259"/>
        <v>0.29249999999999998</v>
      </c>
      <c r="V769" s="1362">
        <f t="shared" si="260"/>
        <v>0.29249999999999998</v>
      </c>
      <c r="W769" s="1362">
        <f t="shared" si="261"/>
        <v>0.29249999999999998</v>
      </c>
      <c r="X769" s="1362">
        <f t="shared" si="261"/>
        <v>0.29249999999999998</v>
      </c>
      <c r="Y769" s="1361"/>
      <c r="Z769" s="282"/>
      <c r="AA769" s="282"/>
    </row>
    <row r="770" spans="1:27" s="431" customFormat="1" outlineLevel="2">
      <c r="A770" s="276">
        <f t="shared" si="255"/>
        <v>307</v>
      </c>
      <c r="B770" s="757" t="str">
        <f t="shared" si="227"/>
        <v>IT Support Technician</v>
      </c>
      <c r="C770" s="561"/>
      <c r="D770" s="428"/>
      <c r="G770" s="1286">
        <f t="shared" ref="G770:M771" si="263">G319*$C$90</f>
        <v>0</v>
      </c>
      <c r="H770" s="1286">
        <f t="shared" si="263"/>
        <v>0</v>
      </c>
      <c r="I770" s="1286">
        <f t="shared" si="263"/>
        <v>0</v>
      </c>
      <c r="J770" s="1286">
        <f t="shared" si="263"/>
        <v>9309.3974999999991</v>
      </c>
      <c r="K770" s="1286">
        <f t="shared" si="263"/>
        <v>9588.6794249999984</v>
      </c>
      <c r="L770" s="1286">
        <f t="shared" si="263"/>
        <v>9876.3398077499987</v>
      </c>
      <c r="M770" s="1286">
        <f t="shared" si="263"/>
        <v>10172.630001982498</v>
      </c>
      <c r="Q770" s="282"/>
      <c r="R770" s="282"/>
      <c r="S770" s="1362">
        <f t="shared" si="257"/>
        <v>0</v>
      </c>
      <c r="T770" s="1362">
        <f t="shared" si="258"/>
        <v>0</v>
      </c>
      <c r="U770" s="1362">
        <f t="shared" si="259"/>
        <v>0.29249999999999998</v>
      </c>
      <c r="V770" s="1362">
        <f t="shared" si="260"/>
        <v>0.29249999999999998</v>
      </c>
      <c r="W770" s="1362">
        <f t="shared" si="261"/>
        <v>0.29249999999999998</v>
      </c>
      <c r="X770" s="1362">
        <f t="shared" si="261"/>
        <v>0.29249999999999998</v>
      </c>
      <c r="Y770" s="1361"/>
      <c r="Z770" s="282"/>
      <c r="AA770" s="282"/>
    </row>
    <row r="771" spans="1:27" s="431" customFormat="1" outlineLevel="2">
      <c r="A771" s="276">
        <f>ROW(A305)</f>
        <v>305</v>
      </c>
      <c r="B771" s="377"/>
      <c r="C771" s="561"/>
      <c r="D771" s="428"/>
      <c r="G771" s="1286">
        <f t="shared" si="263"/>
        <v>0</v>
      </c>
      <c r="H771" s="1286">
        <f t="shared" si="263"/>
        <v>0</v>
      </c>
      <c r="I771" s="1286">
        <f t="shared" si="263"/>
        <v>10544.625</v>
      </c>
      <c r="J771" s="1286">
        <f t="shared" si="263"/>
        <v>10860.963749999999</v>
      </c>
      <c r="K771" s="1286">
        <f t="shared" si="263"/>
        <v>11186.7926625</v>
      </c>
      <c r="L771" s="1286">
        <f t="shared" si="263"/>
        <v>11522.396442374999</v>
      </c>
      <c r="M771" s="1286">
        <f t="shared" si="263"/>
        <v>11868.068335646247</v>
      </c>
      <c r="Q771" s="282"/>
      <c r="R771" s="282"/>
      <c r="S771" s="1362">
        <f t="shared" ref="S771" si="264">IFERROR(H771/H320,0)</f>
        <v>0</v>
      </c>
      <c r="T771" s="1362">
        <f t="shared" ref="T771" si="265">IFERROR(I771/I320,0)</f>
        <v>0.29249999999999998</v>
      </c>
      <c r="U771" s="1362">
        <f t="shared" ref="U771" si="266">IFERROR(J771/J320,0)</f>
        <v>0.29249999999999998</v>
      </c>
      <c r="V771" s="1362">
        <f t="shared" ref="V771" si="267">IFERROR(K771/K320,0)</f>
        <v>0.29249999999999998</v>
      </c>
      <c r="W771" s="1362">
        <f t="shared" ref="W771:X771" si="268">IFERROR(L771/L320,0)</f>
        <v>0.29249999999999998</v>
      </c>
      <c r="X771" s="1362">
        <f t="shared" si="268"/>
        <v>0.29249999999999998</v>
      </c>
      <c r="Y771" s="1361"/>
      <c r="Z771" s="282"/>
      <c r="AA771" s="282"/>
    </row>
    <row r="772" spans="1:27" s="431" customFormat="1" outlineLevel="2">
      <c r="A772" s="276">
        <f>ROW(A306)</f>
        <v>306</v>
      </c>
      <c r="B772" s="700" t="str">
        <f>$B$166</f>
        <v xml:space="preserve">Total Special Education/ELL Teachers/Guidance Counselors </v>
      </c>
      <c r="C772" s="732"/>
      <c r="D772" s="700"/>
      <c r="E772" s="749"/>
      <c r="F772" s="749"/>
      <c r="G772" s="1287">
        <f>SUM(G739:G767)</f>
        <v>0</v>
      </c>
      <c r="H772" s="1287">
        <f>SUM(H763:H771)+H760</f>
        <v>30712.5</v>
      </c>
      <c r="I772" s="1287">
        <f t="shared" ref="I772:M772" si="269">SUM(I763:I771)+I760</f>
        <v>57242.25</v>
      </c>
      <c r="J772" s="1287">
        <f t="shared" si="269"/>
        <v>107058.07124999998</v>
      </c>
      <c r="K772" s="1287">
        <f t="shared" si="269"/>
        <v>110269.81338749998</v>
      </c>
      <c r="L772" s="1287">
        <f t="shared" si="269"/>
        <v>128392.41750074999</v>
      </c>
      <c r="M772" s="1287">
        <f t="shared" si="269"/>
        <v>149198.57336240998</v>
      </c>
      <c r="Q772" s="282"/>
      <c r="R772" s="282"/>
      <c r="S772" s="1362">
        <f>IFERROR(H772/(H321+H309),0)</f>
        <v>0.29249999999999998</v>
      </c>
      <c r="T772" s="1362">
        <f t="shared" ref="T772:X772" si="270">IFERROR(I772/(I321+I309),0)</f>
        <v>0.29249999999999998</v>
      </c>
      <c r="U772" s="1362">
        <f t="shared" si="270"/>
        <v>0.29249999999999993</v>
      </c>
      <c r="V772" s="1362">
        <f t="shared" si="270"/>
        <v>0.29249999999999993</v>
      </c>
      <c r="W772" s="1362">
        <f t="shared" si="270"/>
        <v>0.29250000000000004</v>
      </c>
      <c r="X772" s="1362">
        <f t="shared" si="270"/>
        <v>0.29249999999999998</v>
      </c>
      <c r="Y772" s="1361"/>
      <c r="Z772" s="282"/>
      <c r="AA772" s="282"/>
    </row>
    <row r="773" spans="1:27" s="431" customFormat="1" outlineLevel="2">
      <c r="A773" s="276">
        <f>ROW(A307)</f>
        <v>307</v>
      </c>
      <c r="B773" s="428"/>
      <c r="C773" s="561"/>
      <c r="D773" s="428"/>
      <c r="G773" s="1286"/>
      <c r="H773" s="1286"/>
      <c r="I773" s="1286"/>
      <c r="J773" s="1286"/>
      <c r="K773" s="1286"/>
      <c r="L773" s="1286"/>
      <c r="M773" s="1286"/>
      <c r="Q773" s="282"/>
      <c r="R773" s="282"/>
      <c r="S773" s="1362">
        <f t="shared" ref="S773:S778" si="271">IFERROR(H773/H322,0)</f>
        <v>0</v>
      </c>
      <c r="T773" s="1362">
        <f t="shared" ref="T773:T778" si="272">IFERROR(I773/I322,0)</f>
        <v>0</v>
      </c>
      <c r="U773" s="1362">
        <f t="shared" ref="U773:U778" si="273">IFERROR(J773/J322,0)</f>
        <v>0</v>
      </c>
      <c r="V773" s="1362">
        <f t="shared" ref="V773:V778" si="274">IFERROR(K773/K322,0)</f>
        <v>0</v>
      </c>
      <c r="W773" s="1362">
        <f t="shared" ref="W773:X778" si="275">IFERROR(L773/L322,0)</f>
        <v>0</v>
      </c>
      <c r="X773" s="1362">
        <f t="shared" si="275"/>
        <v>0</v>
      </c>
      <c r="Y773" s="1361"/>
      <c r="Z773" s="282"/>
      <c r="AA773" s="282"/>
    </row>
    <row r="774" spans="1:27" s="431" customFormat="1" outlineLevel="2">
      <c r="A774" s="276">
        <f>ROW(A308)</f>
        <v>308</v>
      </c>
      <c r="B774" s="428"/>
      <c r="C774" s="561"/>
      <c r="D774" s="428"/>
      <c r="G774" s="1286"/>
      <c r="H774" s="1286"/>
      <c r="I774" s="1286"/>
      <c r="J774" s="1286"/>
      <c r="K774" s="1286"/>
      <c r="L774" s="1286"/>
      <c r="M774" s="1286"/>
      <c r="Q774" s="282"/>
      <c r="R774" s="282"/>
      <c r="S774" s="1362">
        <f t="shared" si="271"/>
        <v>0</v>
      </c>
      <c r="T774" s="1362">
        <f t="shared" si="272"/>
        <v>0</v>
      </c>
      <c r="U774" s="1362">
        <f t="shared" si="273"/>
        <v>0</v>
      </c>
      <c r="V774" s="1362">
        <f t="shared" si="274"/>
        <v>0</v>
      </c>
      <c r="W774" s="1362">
        <f t="shared" si="275"/>
        <v>0</v>
      </c>
      <c r="X774" s="1362">
        <f t="shared" si="275"/>
        <v>0</v>
      </c>
      <c r="Y774" s="1361"/>
      <c r="Z774" s="282"/>
      <c r="AA774" s="282"/>
    </row>
    <row r="775" spans="1:27" s="428" customFormat="1" outlineLevel="2">
      <c r="A775" s="276">
        <f t="shared" ref="A775:A806" si="276">ROW(A323)</f>
        <v>323</v>
      </c>
      <c r="B775" s="757">
        <f>$B323</f>
        <v>0</v>
      </c>
      <c r="C775" s="560"/>
      <c r="D775" s="429"/>
      <c r="G775" s="1286">
        <f t="shared" ref="G775:M777" si="277">G323*$C$90</f>
        <v>0</v>
      </c>
      <c r="H775" s="1286">
        <f t="shared" si="277"/>
        <v>0</v>
      </c>
      <c r="I775" s="1286">
        <f t="shared" si="277"/>
        <v>0</v>
      </c>
      <c r="J775" s="1286">
        <f t="shared" si="277"/>
        <v>0</v>
      </c>
      <c r="K775" s="1286">
        <f t="shared" si="277"/>
        <v>0</v>
      </c>
      <c r="L775" s="1286">
        <f t="shared" si="277"/>
        <v>0</v>
      </c>
      <c r="M775" s="1286">
        <f t="shared" si="277"/>
        <v>0</v>
      </c>
      <c r="N775" s="168"/>
      <c r="R775" s="282"/>
      <c r="S775" s="1362">
        <f t="shared" si="271"/>
        <v>0</v>
      </c>
      <c r="T775" s="1362">
        <f t="shared" si="272"/>
        <v>0</v>
      </c>
      <c r="U775" s="1362">
        <f t="shared" si="273"/>
        <v>0</v>
      </c>
      <c r="V775" s="1362">
        <f t="shared" si="274"/>
        <v>0</v>
      </c>
      <c r="W775" s="1362">
        <f t="shared" si="275"/>
        <v>0</v>
      </c>
      <c r="X775" s="1362">
        <f t="shared" si="275"/>
        <v>0</v>
      </c>
      <c r="Y775" s="1361"/>
      <c r="Z775" s="282"/>
      <c r="AA775" s="282"/>
    </row>
    <row r="776" spans="1:27" s="428" customFormat="1" outlineLevel="2">
      <c r="A776" s="276">
        <f t="shared" si="276"/>
        <v>324</v>
      </c>
      <c r="B776" s="757">
        <f>$B324</f>
        <v>0</v>
      </c>
      <c r="C776" s="560"/>
      <c r="D776" s="429"/>
      <c r="G776" s="1286">
        <f t="shared" si="277"/>
        <v>0</v>
      </c>
      <c r="H776" s="1286">
        <f t="shared" si="277"/>
        <v>0</v>
      </c>
      <c r="I776" s="1286">
        <f t="shared" si="277"/>
        <v>0</v>
      </c>
      <c r="J776" s="1286">
        <f t="shared" si="277"/>
        <v>0</v>
      </c>
      <c r="K776" s="1286">
        <f t="shared" si="277"/>
        <v>0</v>
      </c>
      <c r="L776" s="1286">
        <f t="shared" si="277"/>
        <v>0</v>
      </c>
      <c r="M776" s="1286">
        <f t="shared" si="277"/>
        <v>0</v>
      </c>
      <c r="N776" s="168"/>
      <c r="R776" s="282"/>
      <c r="S776" s="1362">
        <f t="shared" si="271"/>
        <v>0</v>
      </c>
      <c r="T776" s="1362">
        <f t="shared" si="272"/>
        <v>0</v>
      </c>
      <c r="U776" s="1362">
        <f t="shared" si="273"/>
        <v>0</v>
      </c>
      <c r="V776" s="1362">
        <f t="shared" si="274"/>
        <v>0</v>
      </c>
      <c r="W776" s="1362">
        <f t="shared" si="275"/>
        <v>0</v>
      </c>
      <c r="X776" s="1362">
        <f t="shared" si="275"/>
        <v>0</v>
      </c>
      <c r="Y776" s="1361"/>
      <c r="Z776" s="282"/>
      <c r="AA776" s="282"/>
    </row>
    <row r="777" spans="1:27" s="428" customFormat="1" outlineLevel="2">
      <c r="A777" s="276">
        <f t="shared" si="276"/>
        <v>325</v>
      </c>
      <c r="B777" s="757">
        <f>$B325</f>
        <v>0</v>
      </c>
      <c r="C777" s="560"/>
      <c r="D777" s="429"/>
      <c r="G777" s="1286">
        <f t="shared" si="277"/>
        <v>0</v>
      </c>
      <c r="H777" s="1286">
        <f t="shared" si="277"/>
        <v>0</v>
      </c>
      <c r="I777" s="1286">
        <f t="shared" si="277"/>
        <v>0</v>
      </c>
      <c r="J777" s="1286">
        <f t="shared" si="277"/>
        <v>0</v>
      </c>
      <c r="K777" s="1286">
        <f t="shared" si="277"/>
        <v>0</v>
      </c>
      <c r="L777" s="1286">
        <f t="shared" si="277"/>
        <v>0</v>
      </c>
      <c r="M777" s="1286">
        <f t="shared" si="277"/>
        <v>0</v>
      </c>
      <c r="N777" s="168"/>
      <c r="R777" s="282"/>
      <c r="S777" s="1362">
        <f t="shared" si="271"/>
        <v>0</v>
      </c>
      <c r="T777" s="1362">
        <f t="shared" si="272"/>
        <v>0</v>
      </c>
      <c r="U777" s="1362">
        <f t="shared" si="273"/>
        <v>0</v>
      </c>
      <c r="V777" s="1362">
        <f t="shared" si="274"/>
        <v>0</v>
      </c>
      <c r="W777" s="1362">
        <f t="shared" si="275"/>
        <v>0</v>
      </c>
      <c r="X777" s="1362">
        <f t="shared" si="275"/>
        <v>0</v>
      </c>
      <c r="Y777" s="1361"/>
      <c r="Z777" s="282"/>
      <c r="AA777" s="282"/>
    </row>
    <row r="778" spans="1:27" s="428" customFormat="1" outlineLevel="2">
      <c r="A778" s="276">
        <f t="shared" si="276"/>
        <v>326</v>
      </c>
      <c r="B778" s="757"/>
      <c r="C778" s="560"/>
      <c r="D778" s="429"/>
      <c r="G778" s="1286"/>
      <c r="H778" s="1286"/>
      <c r="I778" s="1286"/>
      <c r="J778" s="1286"/>
      <c r="K778" s="1286"/>
      <c r="L778" s="1286"/>
      <c r="M778" s="1286"/>
      <c r="N778" s="168"/>
      <c r="R778" s="282"/>
      <c r="S778" s="1362">
        <f t="shared" si="271"/>
        <v>0</v>
      </c>
      <c r="T778" s="1362">
        <f t="shared" si="272"/>
        <v>0</v>
      </c>
      <c r="U778" s="1362">
        <f t="shared" si="273"/>
        <v>0</v>
      </c>
      <c r="V778" s="1362">
        <f t="shared" si="274"/>
        <v>0</v>
      </c>
      <c r="W778" s="1362">
        <f t="shared" si="275"/>
        <v>0</v>
      </c>
      <c r="X778" s="1362">
        <f t="shared" si="275"/>
        <v>0</v>
      </c>
      <c r="Y778" s="1361"/>
      <c r="Z778" s="282"/>
      <c r="AA778" s="282"/>
    </row>
    <row r="779" spans="1:27" s="428" customFormat="1" outlineLevel="2">
      <c r="A779" s="276">
        <f t="shared" si="276"/>
        <v>327</v>
      </c>
      <c r="B779" s="757" t="str">
        <f>$B327</f>
        <v>Kindergarten Teacher</v>
      </c>
      <c r="C779" s="560"/>
      <c r="D779" s="429"/>
      <c r="G779" s="1286">
        <f t="shared" ref="G779:M783" si="278">G327*$C$90</f>
        <v>0</v>
      </c>
      <c r="H779" s="1286">
        <f t="shared" si="278"/>
        <v>13893.75</v>
      </c>
      <c r="I779" s="1286">
        <f t="shared" si="278"/>
        <v>14310.5625</v>
      </c>
      <c r="J779" s="1286">
        <f t="shared" si="278"/>
        <v>14739.879374999999</v>
      </c>
      <c r="K779" s="1286">
        <f t="shared" si="278"/>
        <v>15182.07575625</v>
      </c>
      <c r="L779" s="1286">
        <f t="shared" si="278"/>
        <v>15637.538028937499</v>
      </c>
      <c r="M779" s="1286">
        <f t="shared" si="278"/>
        <v>16106.664169805623</v>
      </c>
      <c r="N779" s="168"/>
      <c r="R779" s="282"/>
      <c r="S779" s="1362">
        <f>IFERROR(H779/H327,0)</f>
        <v>0.29249999999999998</v>
      </c>
      <c r="T779" s="1362">
        <f t="shared" ref="T779:X779" si="279">IFERROR(I779/I327,0)</f>
        <v>0.29249999999999998</v>
      </c>
      <c r="U779" s="1362">
        <f t="shared" si="279"/>
        <v>0.29249999999999998</v>
      </c>
      <c r="V779" s="1362">
        <f t="shared" si="279"/>
        <v>0.29249999999999998</v>
      </c>
      <c r="W779" s="1362">
        <f t="shared" si="279"/>
        <v>0.29249999999999998</v>
      </c>
      <c r="X779" s="1362">
        <f t="shared" si="279"/>
        <v>0.29249999999999998</v>
      </c>
      <c r="Y779" s="1361"/>
      <c r="Z779" s="282"/>
      <c r="AA779" s="282"/>
    </row>
    <row r="780" spans="1:27" s="428" customFormat="1" outlineLevel="2">
      <c r="A780" s="276">
        <f t="shared" si="276"/>
        <v>328</v>
      </c>
      <c r="B780" s="757" t="str">
        <f>$B328</f>
        <v>Kindergarten Teacher</v>
      </c>
      <c r="C780" s="560"/>
      <c r="D780" s="429"/>
      <c r="G780" s="1286">
        <f t="shared" si="278"/>
        <v>0</v>
      </c>
      <c r="H780" s="1286">
        <f t="shared" si="278"/>
        <v>13893.75</v>
      </c>
      <c r="I780" s="1286">
        <f t="shared" si="278"/>
        <v>14310.5625</v>
      </c>
      <c r="J780" s="1286">
        <f t="shared" si="278"/>
        <v>14739.879374999999</v>
      </c>
      <c r="K780" s="1286">
        <f t="shared" si="278"/>
        <v>15182.07575625</v>
      </c>
      <c r="L780" s="1286">
        <f t="shared" si="278"/>
        <v>15637.538028937499</v>
      </c>
      <c r="M780" s="1286">
        <f t="shared" si="278"/>
        <v>16106.664169805623</v>
      </c>
      <c r="N780" s="168"/>
      <c r="R780" s="282"/>
      <c r="S780" s="1362">
        <f t="shared" ref="S780:S782" si="280">IFERROR(H780/H328,0)</f>
        <v>0.29249999999999998</v>
      </c>
      <c r="T780" s="1362">
        <f t="shared" ref="T780:T782" si="281">IFERROR(I780/I328,0)</f>
        <v>0.29249999999999998</v>
      </c>
      <c r="U780" s="1362">
        <f t="shared" ref="U780:U782" si="282">IFERROR(J780/J328,0)</f>
        <v>0.29249999999999998</v>
      </c>
      <c r="V780" s="1362">
        <f t="shared" ref="V780:V782" si="283">IFERROR(K780/K328,0)</f>
        <v>0.29249999999999998</v>
      </c>
      <c r="W780" s="1362">
        <f t="shared" ref="W780:X782" si="284">IFERROR(L780/L328,0)</f>
        <v>0.29249999999999998</v>
      </c>
      <c r="X780" s="1362">
        <f t="shared" si="284"/>
        <v>0.29249999999999998</v>
      </c>
      <c r="Y780" s="1361"/>
      <c r="Z780" s="282"/>
      <c r="AA780" s="282"/>
    </row>
    <row r="781" spans="1:27" s="428" customFormat="1" outlineLevel="2">
      <c r="A781" s="276">
        <f t="shared" si="276"/>
        <v>329</v>
      </c>
      <c r="B781" s="757" t="str">
        <f>$B329</f>
        <v>Kindergarten Teacher</v>
      </c>
      <c r="C781" s="560"/>
      <c r="D781" s="429"/>
      <c r="G781" s="1286">
        <f t="shared" si="278"/>
        <v>0</v>
      </c>
      <c r="H781" s="1286">
        <f t="shared" si="278"/>
        <v>13893.75</v>
      </c>
      <c r="I781" s="1286">
        <f t="shared" si="278"/>
        <v>14310.5625</v>
      </c>
      <c r="J781" s="1286">
        <f t="shared" si="278"/>
        <v>14739.879374999999</v>
      </c>
      <c r="K781" s="1286">
        <f t="shared" si="278"/>
        <v>15182.07575625</v>
      </c>
      <c r="L781" s="1286">
        <f t="shared" si="278"/>
        <v>15637.538028937499</v>
      </c>
      <c r="M781" s="1286">
        <f t="shared" si="278"/>
        <v>16106.664169805623</v>
      </c>
      <c r="N781" s="168"/>
      <c r="R781" s="282"/>
      <c r="S781" s="1362">
        <f t="shared" si="280"/>
        <v>0.29249999999999998</v>
      </c>
      <c r="T781" s="1362">
        <f t="shared" si="281"/>
        <v>0.29249999999999998</v>
      </c>
      <c r="U781" s="1362">
        <f t="shared" si="282"/>
        <v>0.29249999999999998</v>
      </c>
      <c r="V781" s="1362">
        <f t="shared" si="283"/>
        <v>0.29249999999999998</v>
      </c>
      <c r="W781" s="1362">
        <f t="shared" si="284"/>
        <v>0.29249999999999998</v>
      </c>
      <c r="X781" s="1362">
        <f t="shared" si="284"/>
        <v>0.29249999999999998</v>
      </c>
      <c r="Y781" s="1361"/>
      <c r="Z781" s="282"/>
      <c r="AA781" s="282"/>
    </row>
    <row r="782" spans="1:27" s="428" customFormat="1" outlineLevel="2">
      <c r="A782" s="276">
        <f t="shared" si="276"/>
        <v>330</v>
      </c>
      <c r="B782" s="757">
        <f>$B330</f>
        <v>0</v>
      </c>
      <c r="C782" s="560"/>
      <c r="D782" s="429"/>
      <c r="G782" s="1286">
        <f t="shared" si="278"/>
        <v>0</v>
      </c>
      <c r="H782" s="1286">
        <f t="shared" si="278"/>
        <v>0</v>
      </c>
      <c r="I782" s="1286">
        <f t="shared" si="278"/>
        <v>0</v>
      </c>
      <c r="J782" s="1286">
        <f t="shared" si="278"/>
        <v>0</v>
      </c>
      <c r="K782" s="1286">
        <f t="shared" si="278"/>
        <v>0</v>
      </c>
      <c r="L782" s="1286">
        <f t="shared" si="278"/>
        <v>0</v>
      </c>
      <c r="M782" s="1286">
        <f t="shared" si="278"/>
        <v>0</v>
      </c>
      <c r="N782" s="168"/>
      <c r="R782" s="282"/>
      <c r="S782" s="1362">
        <f t="shared" si="280"/>
        <v>0</v>
      </c>
      <c r="T782" s="1362">
        <f t="shared" si="281"/>
        <v>0</v>
      </c>
      <c r="U782" s="1362">
        <f t="shared" si="282"/>
        <v>0</v>
      </c>
      <c r="V782" s="1362">
        <f t="shared" si="283"/>
        <v>0</v>
      </c>
      <c r="W782" s="1362">
        <f t="shared" si="284"/>
        <v>0</v>
      </c>
      <c r="X782" s="1362">
        <f t="shared" si="284"/>
        <v>0</v>
      </c>
      <c r="Y782" s="1361"/>
      <c r="Z782" s="282"/>
      <c r="AA782" s="282"/>
    </row>
    <row r="783" spans="1:27" s="431" customFormat="1" outlineLevel="2">
      <c r="A783" s="276">
        <f t="shared" si="276"/>
        <v>331</v>
      </c>
      <c r="B783" s="757">
        <f>$B331</f>
        <v>0</v>
      </c>
      <c r="C783" s="560"/>
      <c r="D783" s="429"/>
      <c r="G783" s="1286">
        <f t="shared" si="278"/>
        <v>0</v>
      </c>
      <c r="H783" s="1286">
        <f t="shared" si="278"/>
        <v>0</v>
      </c>
      <c r="I783" s="1286">
        <f t="shared" si="278"/>
        <v>0</v>
      </c>
      <c r="J783" s="1286">
        <f t="shared" si="278"/>
        <v>0</v>
      </c>
      <c r="K783" s="1286">
        <f t="shared" si="278"/>
        <v>0</v>
      </c>
      <c r="L783" s="1286">
        <f t="shared" si="278"/>
        <v>0</v>
      </c>
      <c r="M783" s="1286">
        <f t="shared" si="278"/>
        <v>0</v>
      </c>
      <c r="N783" s="141"/>
      <c r="R783" s="282"/>
      <c r="S783" s="1362">
        <f t="shared" ref="S783:S846" si="285">IFERROR(H783/H331,0)</f>
        <v>0</v>
      </c>
      <c r="T783" s="1362">
        <f t="shared" ref="T783:T846" si="286">IFERROR(I783/I331,0)</f>
        <v>0</v>
      </c>
      <c r="U783" s="1362">
        <f t="shared" ref="U783:U846" si="287">IFERROR(J783/J331,0)</f>
        <v>0</v>
      </c>
      <c r="V783" s="1362">
        <f t="shared" ref="V783:V846" si="288">IFERROR(K783/K331,0)</f>
        <v>0</v>
      </c>
      <c r="W783" s="1362">
        <f t="shared" ref="W783:X846" si="289">IFERROR(L783/L331,0)</f>
        <v>0</v>
      </c>
      <c r="X783" s="1362">
        <f t="shared" si="289"/>
        <v>0</v>
      </c>
      <c r="Y783" s="1361"/>
      <c r="Z783" s="282"/>
      <c r="AA783" s="282"/>
    </row>
    <row r="784" spans="1:27" s="431" customFormat="1" outlineLevel="2">
      <c r="A784" s="276">
        <f t="shared" si="276"/>
        <v>332</v>
      </c>
      <c r="B784" s="757"/>
      <c r="C784" s="561"/>
      <c r="D784" s="428"/>
      <c r="G784" s="1286"/>
      <c r="H784" s="1286"/>
      <c r="I784" s="1286"/>
      <c r="J784" s="1286"/>
      <c r="K784" s="1286"/>
      <c r="L784" s="1286"/>
      <c r="M784" s="1286"/>
      <c r="N784" s="141"/>
      <c r="R784" s="282"/>
      <c r="S784" s="1362">
        <f t="shared" si="285"/>
        <v>0</v>
      </c>
      <c r="T784" s="1362">
        <f t="shared" si="286"/>
        <v>0</v>
      </c>
      <c r="U784" s="1362">
        <f t="shared" si="287"/>
        <v>0</v>
      </c>
      <c r="V784" s="1362">
        <f t="shared" si="288"/>
        <v>0</v>
      </c>
      <c r="W784" s="1362">
        <f t="shared" si="289"/>
        <v>0</v>
      </c>
      <c r="X784" s="1362">
        <f t="shared" si="289"/>
        <v>0</v>
      </c>
      <c r="Y784" s="1361"/>
      <c r="Z784" s="282"/>
      <c r="AA784" s="282"/>
    </row>
    <row r="785" spans="1:27" s="428" customFormat="1" outlineLevel="2">
      <c r="A785" s="276">
        <f t="shared" si="276"/>
        <v>333</v>
      </c>
      <c r="B785" s="757" t="str">
        <f>$B333</f>
        <v>1st Grade Teacher</v>
      </c>
      <c r="C785" s="560"/>
      <c r="D785" s="429"/>
      <c r="G785" s="1286">
        <f t="shared" ref="G785:M789" si="290">G333*$C$90</f>
        <v>0</v>
      </c>
      <c r="H785" s="1286">
        <f t="shared" si="290"/>
        <v>13893.75</v>
      </c>
      <c r="I785" s="1286">
        <f t="shared" si="290"/>
        <v>14310.5625</v>
      </c>
      <c r="J785" s="1286">
        <f t="shared" si="290"/>
        <v>14739.879374999999</v>
      </c>
      <c r="K785" s="1286">
        <f t="shared" si="290"/>
        <v>15182.07575625</v>
      </c>
      <c r="L785" s="1286">
        <f t="shared" si="290"/>
        <v>15637.538028937499</v>
      </c>
      <c r="M785" s="1286">
        <f t="shared" si="290"/>
        <v>16106.664169805623</v>
      </c>
      <c r="N785" s="168"/>
      <c r="R785" s="282"/>
      <c r="S785" s="1362">
        <f t="shared" si="285"/>
        <v>0.29249999999999998</v>
      </c>
      <c r="T785" s="1362">
        <f t="shared" si="286"/>
        <v>0.29249999999999998</v>
      </c>
      <c r="U785" s="1362">
        <f t="shared" si="287"/>
        <v>0.29249999999999998</v>
      </c>
      <c r="V785" s="1362">
        <f t="shared" si="288"/>
        <v>0.29249999999999998</v>
      </c>
      <c r="W785" s="1362">
        <f t="shared" si="289"/>
        <v>0.29249999999999998</v>
      </c>
      <c r="X785" s="1362">
        <f t="shared" si="289"/>
        <v>0.29249999999999998</v>
      </c>
      <c r="Y785" s="1361"/>
      <c r="Z785" s="282"/>
      <c r="AA785" s="282"/>
    </row>
    <row r="786" spans="1:27" s="428" customFormat="1" outlineLevel="2">
      <c r="A786" s="276">
        <f t="shared" si="276"/>
        <v>334</v>
      </c>
      <c r="B786" s="757" t="str">
        <f>$B334</f>
        <v>1st Grade Teacher</v>
      </c>
      <c r="C786" s="560"/>
      <c r="D786" s="429"/>
      <c r="G786" s="1286">
        <f t="shared" si="290"/>
        <v>0</v>
      </c>
      <c r="H786" s="1286">
        <f t="shared" si="290"/>
        <v>13893.75</v>
      </c>
      <c r="I786" s="1286">
        <f t="shared" si="290"/>
        <v>14310.5625</v>
      </c>
      <c r="J786" s="1286">
        <f t="shared" si="290"/>
        <v>14739.879374999999</v>
      </c>
      <c r="K786" s="1286">
        <f t="shared" si="290"/>
        <v>15182.07575625</v>
      </c>
      <c r="L786" s="1286">
        <f t="shared" si="290"/>
        <v>15637.538028937499</v>
      </c>
      <c r="M786" s="1286">
        <f t="shared" si="290"/>
        <v>16106.664169805623</v>
      </c>
      <c r="N786" s="168"/>
      <c r="R786" s="282"/>
      <c r="S786" s="1362">
        <f t="shared" si="285"/>
        <v>0.29249999999999998</v>
      </c>
      <c r="T786" s="1362">
        <f t="shared" si="286"/>
        <v>0.29249999999999998</v>
      </c>
      <c r="U786" s="1362">
        <f t="shared" si="287"/>
        <v>0.29249999999999998</v>
      </c>
      <c r="V786" s="1362">
        <f t="shared" si="288"/>
        <v>0.29249999999999998</v>
      </c>
      <c r="W786" s="1362">
        <f t="shared" si="289"/>
        <v>0.29249999999999998</v>
      </c>
      <c r="X786" s="1362">
        <f t="shared" si="289"/>
        <v>0.29249999999999998</v>
      </c>
      <c r="Y786" s="1361"/>
      <c r="Z786" s="282"/>
      <c r="AA786" s="282"/>
    </row>
    <row r="787" spans="1:27" s="428" customFormat="1" outlineLevel="2">
      <c r="A787" s="276">
        <f t="shared" si="276"/>
        <v>335</v>
      </c>
      <c r="B787" s="757" t="str">
        <f>$B335</f>
        <v>1st Grade Teacher</v>
      </c>
      <c r="C787" s="560"/>
      <c r="D787" s="429"/>
      <c r="G787" s="1286">
        <f t="shared" si="290"/>
        <v>0</v>
      </c>
      <c r="H787" s="1286">
        <f t="shared" si="290"/>
        <v>0</v>
      </c>
      <c r="I787" s="1286">
        <f t="shared" si="290"/>
        <v>14310.5625</v>
      </c>
      <c r="J787" s="1286">
        <f t="shared" si="290"/>
        <v>14739.879374999999</v>
      </c>
      <c r="K787" s="1286">
        <f t="shared" si="290"/>
        <v>15182.07575625</v>
      </c>
      <c r="L787" s="1286">
        <f t="shared" si="290"/>
        <v>15637.538028937499</v>
      </c>
      <c r="M787" s="1286">
        <f t="shared" si="290"/>
        <v>16106.664169805623</v>
      </c>
      <c r="N787" s="168"/>
      <c r="R787" s="282"/>
      <c r="S787" s="1362">
        <f t="shared" si="285"/>
        <v>0</v>
      </c>
      <c r="T787" s="1362">
        <f t="shared" si="286"/>
        <v>0.29249999999999998</v>
      </c>
      <c r="U787" s="1362">
        <f t="shared" si="287"/>
        <v>0.29249999999999998</v>
      </c>
      <c r="V787" s="1362">
        <f t="shared" si="288"/>
        <v>0.29249999999999998</v>
      </c>
      <c r="W787" s="1362">
        <f t="shared" si="289"/>
        <v>0.29249999999999998</v>
      </c>
      <c r="X787" s="1362">
        <f t="shared" si="289"/>
        <v>0.29249999999999998</v>
      </c>
      <c r="Y787" s="1361"/>
      <c r="Z787" s="282"/>
      <c r="AA787" s="282"/>
    </row>
    <row r="788" spans="1:27" s="428" customFormat="1" outlineLevel="2">
      <c r="A788" s="276">
        <f t="shared" si="276"/>
        <v>336</v>
      </c>
      <c r="B788" s="757">
        <f>$B336</f>
        <v>0</v>
      </c>
      <c r="C788" s="560"/>
      <c r="D788" s="429"/>
      <c r="G788" s="1286">
        <f t="shared" si="290"/>
        <v>0</v>
      </c>
      <c r="H788" s="1286">
        <f t="shared" si="290"/>
        <v>0</v>
      </c>
      <c r="I788" s="1286">
        <f t="shared" si="290"/>
        <v>0</v>
      </c>
      <c r="J788" s="1286">
        <f t="shared" si="290"/>
        <v>0</v>
      </c>
      <c r="K788" s="1286">
        <f t="shared" si="290"/>
        <v>0</v>
      </c>
      <c r="L788" s="1286">
        <f t="shared" si="290"/>
        <v>0</v>
      </c>
      <c r="M788" s="1286">
        <f t="shared" si="290"/>
        <v>0</v>
      </c>
      <c r="N788" s="168"/>
      <c r="R788" s="282"/>
      <c r="S788" s="1362">
        <f t="shared" si="285"/>
        <v>0</v>
      </c>
      <c r="T788" s="1362">
        <f t="shared" si="286"/>
        <v>0</v>
      </c>
      <c r="U788" s="1362">
        <f t="shared" si="287"/>
        <v>0</v>
      </c>
      <c r="V788" s="1362">
        <f t="shared" si="288"/>
        <v>0</v>
      </c>
      <c r="W788" s="1362">
        <f t="shared" si="289"/>
        <v>0</v>
      </c>
      <c r="X788" s="1362">
        <f t="shared" si="289"/>
        <v>0</v>
      </c>
      <c r="Y788" s="1361"/>
      <c r="Z788" s="282"/>
      <c r="AA788" s="282"/>
    </row>
    <row r="789" spans="1:27" s="428" customFormat="1" outlineLevel="2">
      <c r="A789" s="276">
        <f t="shared" si="276"/>
        <v>337</v>
      </c>
      <c r="B789" s="757">
        <f>$B337</f>
        <v>0</v>
      </c>
      <c r="C789" s="560"/>
      <c r="D789" s="429"/>
      <c r="G789" s="1286">
        <f t="shared" si="290"/>
        <v>0</v>
      </c>
      <c r="H789" s="1286">
        <f t="shared" si="290"/>
        <v>0</v>
      </c>
      <c r="I789" s="1286">
        <f t="shared" si="290"/>
        <v>0</v>
      </c>
      <c r="J789" s="1286">
        <f t="shared" si="290"/>
        <v>0</v>
      </c>
      <c r="K789" s="1286">
        <f t="shared" si="290"/>
        <v>0</v>
      </c>
      <c r="L789" s="1286">
        <f t="shared" si="290"/>
        <v>0</v>
      </c>
      <c r="M789" s="1286">
        <f t="shared" si="290"/>
        <v>0</v>
      </c>
      <c r="N789" s="168"/>
      <c r="R789" s="282"/>
      <c r="S789" s="1362">
        <f t="shared" si="285"/>
        <v>0</v>
      </c>
      <c r="T789" s="1362">
        <f t="shared" si="286"/>
        <v>0</v>
      </c>
      <c r="U789" s="1362">
        <f t="shared" si="287"/>
        <v>0</v>
      </c>
      <c r="V789" s="1362">
        <f t="shared" si="288"/>
        <v>0</v>
      </c>
      <c r="W789" s="1362">
        <f t="shared" si="289"/>
        <v>0</v>
      </c>
      <c r="X789" s="1362">
        <f t="shared" si="289"/>
        <v>0</v>
      </c>
      <c r="Y789" s="1361"/>
      <c r="Z789" s="282"/>
      <c r="AA789" s="282"/>
    </row>
    <row r="790" spans="1:27" s="428" customFormat="1" outlineLevel="2">
      <c r="A790" s="276">
        <f t="shared" si="276"/>
        <v>338</v>
      </c>
      <c r="B790" s="757"/>
      <c r="C790" s="560"/>
      <c r="D790" s="429"/>
      <c r="G790" s="1286"/>
      <c r="H790" s="1286"/>
      <c r="I790" s="1286"/>
      <c r="J790" s="1286"/>
      <c r="K790" s="1286"/>
      <c r="L790" s="1286"/>
      <c r="M790" s="1286"/>
      <c r="N790" s="168"/>
      <c r="R790" s="282"/>
      <c r="S790" s="1362">
        <f t="shared" si="285"/>
        <v>0</v>
      </c>
      <c r="T790" s="1362">
        <f t="shared" si="286"/>
        <v>0</v>
      </c>
      <c r="U790" s="1362">
        <f t="shared" si="287"/>
        <v>0</v>
      </c>
      <c r="V790" s="1362">
        <f t="shared" si="288"/>
        <v>0</v>
      </c>
      <c r="W790" s="1362">
        <f t="shared" si="289"/>
        <v>0</v>
      </c>
      <c r="X790" s="1362">
        <f t="shared" si="289"/>
        <v>0</v>
      </c>
      <c r="Y790" s="1361"/>
      <c r="Z790" s="282"/>
      <c r="AA790" s="282"/>
    </row>
    <row r="791" spans="1:27" s="428" customFormat="1" outlineLevel="2">
      <c r="A791" s="276">
        <f t="shared" si="276"/>
        <v>339</v>
      </c>
      <c r="B791" s="757" t="str">
        <f>$B339</f>
        <v>2nd Grade Teacher</v>
      </c>
      <c r="C791" s="560"/>
      <c r="D791" s="429"/>
      <c r="G791" s="1286">
        <f t="shared" ref="G791:M795" si="291">G339*$C$90</f>
        <v>0</v>
      </c>
      <c r="H791" s="1286">
        <f t="shared" si="291"/>
        <v>13893.75</v>
      </c>
      <c r="I791" s="1286">
        <f t="shared" si="291"/>
        <v>14310.5625</v>
      </c>
      <c r="J791" s="1286">
        <f t="shared" si="291"/>
        <v>14739.879374999999</v>
      </c>
      <c r="K791" s="1286">
        <f t="shared" si="291"/>
        <v>15182.07575625</v>
      </c>
      <c r="L791" s="1286">
        <f t="shared" si="291"/>
        <v>15637.538028937499</v>
      </c>
      <c r="M791" s="1286">
        <f t="shared" si="291"/>
        <v>16106.664169805623</v>
      </c>
      <c r="N791" s="168"/>
      <c r="R791" s="282"/>
      <c r="S791" s="1362">
        <f t="shared" si="285"/>
        <v>0.29249999999999998</v>
      </c>
      <c r="T791" s="1362">
        <f t="shared" si="286"/>
        <v>0.29249999999999998</v>
      </c>
      <c r="U791" s="1362">
        <f t="shared" si="287"/>
        <v>0.29249999999999998</v>
      </c>
      <c r="V791" s="1362">
        <f t="shared" si="288"/>
        <v>0.29249999999999998</v>
      </c>
      <c r="W791" s="1362">
        <f t="shared" si="289"/>
        <v>0.29249999999999998</v>
      </c>
      <c r="X791" s="1362">
        <f t="shared" si="289"/>
        <v>0.29249999999999998</v>
      </c>
      <c r="Y791" s="1361"/>
      <c r="Z791" s="282"/>
      <c r="AA791" s="282"/>
    </row>
    <row r="792" spans="1:27" s="428" customFormat="1" outlineLevel="2">
      <c r="A792" s="276">
        <f t="shared" si="276"/>
        <v>340</v>
      </c>
      <c r="B792" s="757" t="str">
        <f>$B340</f>
        <v>2nd Grade Teacher</v>
      </c>
      <c r="C792" s="560"/>
      <c r="D792" s="429"/>
      <c r="G792" s="1286">
        <f t="shared" si="291"/>
        <v>0</v>
      </c>
      <c r="H792" s="1286">
        <f t="shared" si="291"/>
        <v>0</v>
      </c>
      <c r="I792" s="1286">
        <f t="shared" si="291"/>
        <v>14310.5625</v>
      </c>
      <c r="J792" s="1286">
        <f t="shared" si="291"/>
        <v>14739.879374999999</v>
      </c>
      <c r="K792" s="1286">
        <f t="shared" si="291"/>
        <v>15182.07575625</v>
      </c>
      <c r="L792" s="1286">
        <f t="shared" si="291"/>
        <v>15637.538028937499</v>
      </c>
      <c r="M792" s="1286">
        <f t="shared" si="291"/>
        <v>16106.664169805623</v>
      </c>
      <c r="N792" s="168"/>
      <c r="R792" s="282"/>
      <c r="S792" s="1362">
        <f t="shared" si="285"/>
        <v>0</v>
      </c>
      <c r="T792" s="1362">
        <f t="shared" si="286"/>
        <v>0.29249999999999998</v>
      </c>
      <c r="U792" s="1362">
        <f t="shared" si="287"/>
        <v>0.29249999999999998</v>
      </c>
      <c r="V792" s="1362">
        <f t="shared" si="288"/>
        <v>0.29249999999999998</v>
      </c>
      <c r="W792" s="1362">
        <f t="shared" si="289"/>
        <v>0.29249999999999998</v>
      </c>
      <c r="X792" s="1362">
        <f t="shared" si="289"/>
        <v>0.29249999999999998</v>
      </c>
      <c r="Y792" s="1361"/>
      <c r="Z792" s="282"/>
      <c r="AA792" s="282"/>
    </row>
    <row r="793" spans="1:27" s="428" customFormat="1" outlineLevel="2">
      <c r="A793" s="276">
        <f t="shared" si="276"/>
        <v>341</v>
      </c>
      <c r="B793" s="757" t="str">
        <f>$B341</f>
        <v>2nd Grade Teacher</v>
      </c>
      <c r="C793" s="560"/>
      <c r="D793" s="429"/>
      <c r="G793" s="1286">
        <f t="shared" si="291"/>
        <v>0</v>
      </c>
      <c r="H793" s="1286">
        <f t="shared" si="291"/>
        <v>0</v>
      </c>
      <c r="I793" s="1286">
        <f t="shared" si="291"/>
        <v>0</v>
      </c>
      <c r="J793" s="1286">
        <f t="shared" si="291"/>
        <v>14739.879374999999</v>
      </c>
      <c r="K793" s="1286">
        <f t="shared" si="291"/>
        <v>15182.07575625</v>
      </c>
      <c r="L793" s="1286">
        <f t="shared" si="291"/>
        <v>15637.538028937499</v>
      </c>
      <c r="M793" s="1286">
        <f t="shared" si="291"/>
        <v>16106.664169805623</v>
      </c>
      <c r="N793" s="168"/>
      <c r="R793" s="282"/>
      <c r="S793" s="1362">
        <f t="shared" si="285"/>
        <v>0</v>
      </c>
      <c r="T793" s="1362">
        <f t="shared" si="286"/>
        <v>0</v>
      </c>
      <c r="U793" s="1362">
        <f t="shared" si="287"/>
        <v>0.29249999999999998</v>
      </c>
      <c r="V793" s="1362">
        <f t="shared" si="288"/>
        <v>0.29249999999999998</v>
      </c>
      <c r="W793" s="1362">
        <f t="shared" si="289"/>
        <v>0.29249999999999998</v>
      </c>
      <c r="X793" s="1362">
        <f t="shared" si="289"/>
        <v>0.29249999999999998</v>
      </c>
      <c r="Y793" s="1361"/>
      <c r="Z793" s="282"/>
      <c r="AA793" s="282"/>
    </row>
    <row r="794" spans="1:27" s="428" customFormat="1" outlineLevel="2">
      <c r="A794" s="276">
        <f t="shared" si="276"/>
        <v>342</v>
      </c>
      <c r="B794" s="757">
        <f>$B342</f>
        <v>0</v>
      </c>
      <c r="C794" s="560"/>
      <c r="D794" s="429"/>
      <c r="G794" s="1286">
        <f t="shared" si="291"/>
        <v>0</v>
      </c>
      <c r="H794" s="1286">
        <f t="shared" si="291"/>
        <v>0</v>
      </c>
      <c r="I794" s="1286">
        <f t="shared" si="291"/>
        <v>0</v>
      </c>
      <c r="J794" s="1286">
        <f t="shared" si="291"/>
        <v>0</v>
      </c>
      <c r="K794" s="1286">
        <f t="shared" si="291"/>
        <v>0</v>
      </c>
      <c r="L794" s="1286">
        <f t="shared" si="291"/>
        <v>0</v>
      </c>
      <c r="M794" s="1286">
        <f t="shared" si="291"/>
        <v>0</v>
      </c>
      <c r="N794" s="168"/>
      <c r="R794" s="282"/>
      <c r="S794" s="1362">
        <f t="shared" si="285"/>
        <v>0</v>
      </c>
      <c r="T794" s="1362">
        <f t="shared" si="286"/>
        <v>0</v>
      </c>
      <c r="U794" s="1362">
        <f t="shared" si="287"/>
        <v>0</v>
      </c>
      <c r="V794" s="1362">
        <f t="shared" si="288"/>
        <v>0</v>
      </c>
      <c r="W794" s="1362">
        <f t="shared" si="289"/>
        <v>0</v>
      </c>
      <c r="X794" s="1362">
        <f t="shared" si="289"/>
        <v>0</v>
      </c>
      <c r="Y794" s="1361"/>
      <c r="Z794" s="282"/>
      <c r="AA794" s="282"/>
    </row>
    <row r="795" spans="1:27" s="431" customFormat="1" outlineLevel="2">
      <c r="A795" s="276">
        <f t="shared" si="276"/>
        <v>343</v>
      </c>
      <c r="B795" s="757">
        <f>$B343</f>
        <v>0</v>
      </c>
      <c r="C795" s="560"/>
      <c r="D795" s="429"/>
      <c r="G795" s="1286">
        <f t="shared" si="291"/>
        <v>0</v>
      </c>
      <c r="H795" s="1286">
        <f t="shared" si="291"/>
        <v>0</v>
      </c>
      <c r="I795" s="1286">
        <f t="shared" si="291"/>
        <v>0</v>
      </c>
      <c r="J795" s="1286">
        <f t="shared" si="291"/>
        <v>0</v>
      </c>
      <c r="K795" s="1286">
        <f t="shared" si="291"/>
        <v>0</v>
      </c>
      <c r="L795" s="1286">
        <f t="shared" si="291"/>
        <v>0</v>
      </c>
      <c r="M795" s="1286">
        <f t="shared" si="291"/>
        <v>0</v>
      </c>
      <c r="N795" s="141"/>
      <c r="R795" s="282"/>
      <c r="S795" s="1362">
        <f t="shared" si="285"/>
        <v>0</v>
      </c>
      <c r="T795" s="1362">
        <f t="shared" si="286"/>
        <v>0</v>
      </c>
      <c r="U795" s="1362">
        <f t="shared" si="287"/>
        <v>0</v>
      </c>
      <c r="V795" s="1362">
        <f t="shared" si="288"/>
        <v>0</v>
      </c>
      <c r="W795" s="1362">
        <f t="shared" si="289"/>
        <v>0</v>
      </c>
      <c r="X795" s="1362">
        <f t="shared" si="289"/>
        <v>0</v>
      </c>
      <c r="Y795" s="1361"/>
      <c r="Z795" s="282"/>
      <c r="AA795" s="282"/>
    </row>
    <row r="796" spans="1:27" s="431" customFormat="1" outlineLevel="2">
      <c r="A796" s="276">
        <f t="shared" si="276"/>
        <v>344</v>
      </c>
      <c r="B796" s="757"/>
      <c r="C796" s="561"/>
      <c r="D796" s="428"/>
      <c r="G796" s="1286"/>
      <c r="H796" s="1286"/>
      <c r="I796" s="1286"/>
      <c r="J796" s="1286"/>
      <c r="K796" s="1286"/>
      <c r="L796" s="1286"/>
      <c r="M796" s="1286"/>
      <c r="N796" s="141"/>
      <c r="R796" s="282"/>
      <c r="S796" s="1362">
        <f t="shared" si="285"/>
        <v>0</v>
      </c>
      <c r="T796" s="1362">
        <f t="shared" si="286"/>
        <v>0</v>
      </c>
      <c r="U796" s="1362">
        <f t="shared" si="287"/>
        <v>0</v>
      </c>
      <c r="V796" s="1362">
        <f t="shared" si="288"/>
        <v>0</v>
      </c>
      <c r="W796" s="1362">
        <f t="shared" si="289"/>
        <v>0</v>
      </c>
      <c r="X796" s="1362">
        <f t="shared" si="289"/>
        <v>0</v>
      </c>
      <c r="Y796" s="1361"/>
      <c r="Z796" s="282"/>
      <c r="AA796" s="282"/>
    </row>
    <row r="797" spans="1:27" s="428" customFormat="1" outlineLevel="2">
      <c r="A797" s="276">
        <f t="shared" si="276"/>
        <v>345</v>
      </c>
      <c r="B797" s="757" t="str">
        <f>$B345</f>
        <v>3rd Grade Teacher</v>
      </c>
      <c r="C797" s="560"/>
      <c r="D797" s="429"/>
      <c r="G797" s="1286">
        <f t="shared" ref="G797:M801" si="292">G345*$C$90</f>
        <v>0</v>
      </c>
      <c r="H797" s="1286">
        <f t="shared" si="292"/>
        <v>13893.75</v>
      </c>
      <c r="I797" s="1286">
        <f t="shared" si="292"/>
        <v>14310.5625</v>
      </c>
      <c r="J797" s="1286">
        <f t="shared" si="292"/>
        <v>14739.879374999999</v>
      </c>
      <c r="K797" s="1286">
        <f t="shared" si="292"/>
        <v>15182.07575625</v>
      </c>
      <c r="L797" s="1286">
        <f t="shared" si="292"/>
        <v>15637.538028937499</v>
      </c>
      <c r="M797" s="1286">
        <f t="shared" si="292"/>
        <v>16106.664169805623</v>
      </c>
      <c r="N797" s="168"/>
      <c r="R797" s="282"/>
      <c r="S797" s="1362">
        <f t="shared" si="285"/>
        <v>0.29249999999999998</v>
      </c>
      <c r="T797" s="1362">
        <f t="shared" si="286"/>
        <v>0.29249999999999998</v>
      </c>
      <c r="U797" s="1362">
        <f t="shared" si="287"/>
        <v>0.29249999999999998</v>
      </c>
      <c r="V797" s="1362">
        <f t="shared" si="288"/>
        <v>0.29249999999999998</v>
      </c>
      <c r="W797" s="1362">
        <f t="shared" si="289"/>
        <v>0.29249999999999998</v>
      </c>
      <c r="X797" s="1362">
        <f t="shared" si="289"/>
        <v>0.29249999999999998</v>
      </c>
      <c r="Y797" s="1361"/>
      <c r="Z797" s="282"/>
      <c r="AA797" s="282"/>
    </row>
    <row r="798" spans="1:27" s="428" customFormat="1" outlineLevel="2">
      <c r="A798" s="276">
        <f t="shared" si="276"/>
        <v>346</v>
      </c>
      <c r="B798" s="757" t="str">
        <f>$B346</f>
        <v>3rd Grade Teacher</v>
      </c>
      <c r="C798" s="560"/>
      <c r="D798" s="429"/>
      <c r="G798" s="1286">
        <f t="shared" si="292"/>
        <v>0</v>
      </c>
      <c r="H798" s="1286">
        <f t="shared" si="292"/>
        <v>0</v>
      </c>
      <c r="I798" s="1286">
        <f t="shared" si="292"/>
        <v>0</v>
      </c>
      <c r="J798" s="1286">
        <f t="shared" si="292"/>
        <v>14739.879374999999</v>
      </c>
      <c r="K798" s="1286">
        <f t="shared" si="292"/>
        <v>15182.07575625</v>
      </c>
      <c r="L798" s="1286">
        <f t="shared" si="292"/>
        <v>15637.538028937499</v>
      </c>
      <c r="M798" s="1286">
        <f t="shared" si="292"/>
        <v>16106.664169805623</v>
      </c>
      <c r="N798" s="168"/>
      <c r="R798" s="282"/>
      <c r="S798" s="1362">
        <f t="shared" si="285"/>
        <v>0</v>
      </c>
      <c r="T798" s="1362">
        <f t="shared" si="286"/>
        <v>0</v>
      </c>
      <c r="U798" s="1362">
        <f t="shared" si="287"/>
        <v>0.29249999999999998</v>
      </c>
      <c r="V798" s="1362">
        <f t="shared" si="288"/>
        <v>0.29249999999999998</v>
      </c>
      <c r="W798" s="1362">
        <f t="shared" si="289"/>
        <v>0.29249999999999998</v>
      </c>
      <c r="X798" s="1362">
        <f t="shared" si="289"/>
        <v>0.29249999999999998</v>
      </c>
      <c r="Y798" s="1361"/>
      <c r="Z798" s="282"/>
      <c r="AA798" s="282"/>
    </row>
    <row r="799" spans="1:27" s="428" customFormat="1" outlineLevel="2">
      <c r="A799" s="276">
        <f t="shared" si="276"/>
        <v>347</v>
      </c>
      <c r="B799" s="757" t="str">
        <f>$B347</f>
        <v>3rd Grade Teacher</v>
      </c>
      <c r="C799" s="560"/>
      <c r="D799" s="429"/>
      <c r="G799" s="1286">
        <f t="shared" si="292"/>
        <v>0</v>
      </c>
      <c r="H799" s="1286">
        <f t="shared" si="292"/>
        <v>0</v>
      </c>
      <c r="I799" s="1286">
        <f t="shared" si="292"/>
        <v>0</v>
      </c>
      <c r="J799" s="1286">
        <f t="shared" si="292"/>
        <v>0</v>
      </c>
      <c r="K799" s="1286">
        <f t="shared" si="292"/>
        <v>15182.07575625</v>
      </c>
      <c r="L799" s="1286">
        <f t="shared" si="292"/>
        <v>15637.538028937499</v>
      </c>
      <c r="M799" s="1286">
        <f t="shared" si="292"/>
        <v>16106.664169805623</v>
      </c>
      <c r="N799" s="168"/>
      <c r="R799" s="282"/>
      <c r="S799" s="1362">
        <f t="shared" si="285"/>
        <v>0</v>
      </c>
      <c r="T799" s="1362">
        <f t="shared" si="286"/>
        <v>0</v>
      </c>
      <c r="U799" s="1362">
        <f t="shared" si="287"/>
        <v>0</v>
      </c>
      <c r="V799" s="1362">
        <f t="shared" si="288"/>
        <v>0.29249999999999998</v>
      </c>
      <c r="W799" s="1362">
        <f t="shared" si="289"/>
        <v>0.29249999999999998</v>
      </c>
      <c r="X799" s="1362">
        <f t="shared" si="289"/>
        <v>0.29249999999999998</v>
      </c>
      <c r="Y799" s="1361"/>
      <c r="Z799" s="282"/>
      <c r="AA799" s="282"/>
    </row>
    <row r="800" spans="1:27" s="428" customFormat="1" outlineLevel="2">
      <c r="A800" s="276">
        <f t="shared" si="276"/>
        <v>348</v>
      </c>
      <c r="B800" s="757">
        <f>$B348</f>
        <v>0</v>
      </c>
      <c r="C800" s="560"/>
      <c r="D800" s="429"/>
      <c r="G800" s="1286">
        <f t="shared" si="292"/>
        <v>0</v>
      </c>
      <c r="H800" s="1286">
        <f t="shared" si="292"/>
        <v>0</v>
      </c>
      <c r="I800" s="1286">
        <f t="shared" si="292"/>
        <v>0</v>
      </c>
      <c r="J800" s="1286">
        <f t="shared" si="292"/>
        <v>0</v>
      </c>
      <c r="K800" s="1286">
        <f t="shared" si="292"/>
        <v>0</v>
      </c>
      <c r="L800" s="1286">
        <f t="shared" si="292"/>
        <v>0</v>
      </c>
      <c r="M800" s="1286">
        <f t="shared" si="292"/>
        <v>0</v>
      </c>
      <c r="N800" s="168"/>
      <c r="R800" s="282"/>
      <c r="S800" s="1362">
        <f t="shared" si="285"/>
        <v>0</v>
      </c>
      <c r="T800" s="1362">
        <f t="shared" si="286"/>
        <v>0</v>
      </c>
      <c r="U800" s="1362">
        <f t="shared" si="287"/>
        <v>0</v>
      </c>
      <c r="V800" s="1362">
        <f t="shared" si="288"/>
        <v>0</v>
      </c>
      <c r="W800" s="1362">
        <f t="shared" si="289"/>
        <v>0</v>
      </c>
      <c r="X800" s="1362">
        <f t="shared" si="289"/>
        <v>0</v>
      </c>
      <c r="Y800" s="1361"/>
      <c r="Z800" s="282"/>
      <c r="AA800" s="282"/>
    </row>
    <row r="801" spans="1:27" s="428" customFormat="1" outlineLevel="2">
      <c r="A801" s="276">
        <f t="shared" si="276"/>
        <v>349</v>
      </c>
      <c r="B801" s="757">
        <f>$B349</f>
        <v>0</v>
      </c>
      <c r="C801" s="560"/>
      <c r="D801" s="429"/>
      <c r="G801" s="1286">
        <f t="shared" si="292"/>
        <v>0</v>
      </c>
      <c r="H801" s="1286">
        <f t="shared" si="292"/>
        <v>0</v>
      </c>
      <c r="I801" s="1286">
        <f t="shared" si="292"/>
        <v>0</v>
      </c>
      <c r="J801" s="1286">
        <f t="shared" si="292"/>
        <v>0</v>
      </c>
      <c r="K801" s="1286">
        <f t="shared" si="292"/>
        <v>0</v>
      </c>
      <c r="L801" s="1286">
        <f t="shared" si="292"/>
        <v>0</v>
      </c>
      <c r="M801" s="1286">
        <f t="shared" si="292"/>
        <v>0</v>
      </c>
      <c r="N801" s="168"/>
      <c r="R801" s="282"/>
      <c r="S801" s="1362">
        <f t="shared" si="285"/>
        <v>0</v>
      </c>
      <c r="T801" s="1362">
        <f t="shared" si="286"/>
        <v>0</v>
      </c>
      <c r="U801" s="1362">
        <f t="shared" si="287"/>
        <v>0</v>
      </c>
      <c r="V801" s="1362">
        <f t="shared" si="288"/>
        <v>0</v>
      </c>
      <c r="W801" s="1362">
        <f t="shared" si="289"/>
        <v>0</v>
      </c>
      <c r="X801" s="1362">
        <f t="shared" si="289"/>
        <v>0</v>
      </c>
      <c r="Y801" s="1361"/>
      <c r="Z801" s="282"/>
      <c r="AA801" s="282"/>
    </row>
    <row r="802" spans="1:27" s="428" customFormat="1" outlineLevel="2">
      <c r="A802" s="276">
        <f t="shared" si="276"/>
        <v>350</v>
      </c>
      <c r="B802" s="757"/>
      <c r="C802" s="560"/>
      <c r="D802" s="429"/>
      <c r="G802" s="1286"/>
      <c r="H802" s="1286"/>
      <c r="I802" s="1286"/>
      <c r="J802" s="1286"/>
      <c r="K802" s="1286"/>
      <c r="L802" s="1286"/>
      <c r="M802" s="1286"/>
      <c r="N802" s="168"/>
      <c r="R802" s="282"/>
      <c r="S802" s="1362">
        <f t="shared" si="285"/>
        <v>0</v>
      </c>
      <c r="T802" s="1362">
        <f t="shared" si="286"/>
        <v>0</v>
      </c>
      <c r="U802" s="1362">
        <f t="shared" si="287"/>
        <v>0</v>
      </c>
      <c r="V802" s="1362">
        <f t="shared" si="288"/>
        <v>0</v>
      </c>
      <c r="W802" s="1362">
        <f t="shared" si="289"/>
        <v>0</v>
      </c>
      <c r="X802" s="1362">
        <f t="shared" si="289"/>
        <v>0</v>
      </c>
      <c r="Y802" s="1361"/>
      <c r="Z802" s="282"/>
      <c r="AA802" s="282"/>
    </row>
    <row r="803" spans="1:27" s="428" customFormat="1" outlineLevel="2">
      <c r="A803" s="276">
        <f t="shared" si="276"/>
        <v>351</v>
      </c>
      <c r="B803" s="757" t="str">
        <f>$B351</f>
        <v>4th Grade Teacher</v>
      </c>
      <c r="C803" s="560"/>
      <c r="D803" s="429"/>
      <c r="G803" s="1286">
        <f t="shared" ref="G803:M807" si="293">G351*$C$90</f>
        <v>0</v>
      </c>
      <c r="H803" s="1286">
        <f t="shared" si="293"/>
        <v>13893.75</v>
      </c>
      <c r="I803" s="1286">
        <f t="shared" si="293"/>
        <v>14310.5625</v>
      </c>
      <c r="J803" s="1286">
        <f t="shared" si="293"/>
        <v>14739.879374999999</v>
      </c>
      <c r="K803" s="1286">
        <f t="shared" si="293"/>
        <v>15182.07575625</v>
      </c>
      <c r="L803" s="1286">
        <f t="shared" si="293"/>
        <v>15637.538028937499</v>
      </c>
      <c r="M803" s="1286">
        <f t="shared" si="293"/>
        <v>16106.664169805623</v>
      </c>
      <c r="N803" s="168"/>
      <c r="R803" s="282"/>
      <c r="S803" s="1362">
        <f t="shared" si="285"/>
        <v>0.29249999999999998</v>
      </c>
      <c r="T803" s="1362">
        <f t="shared" si="286"/>
        <v>0.29249999999999998</v>
      </c>
      <c r="U803" s="1362">
        <f t="shared" si="287"/>
        <v>0.29249999999999998</v>
      </c>
      <c r="V803" s="1362">
        <f t="shared" si="288"/>
        <v>0.29249999999999998</v>
      </c>
      <c r="W803" s="1362">
        <f t="shared" si="289"/>
        <v>0.29249999999999998</v>
      </c>
      <c r="X803" s="1362">
        <f t="shared" si="289"/>
        <v>0.29249999999999998</v>
      </c>
      <c r="Y803" s="1361"/>
      <c r="Z803" s="282"/>
      <c r="AA803" s="282"/>
    </row>
    <row r="804" spans="1:27" s="428" customFormat="1" outlineLevel="2">
      <c r="A804" s="276">
        <f t="shared" si="276"/>
        <v>352</v>
      </c>
      <c r="B804" s="757" t="str">
        <f>$B352</f>
        <v>4th Grade Teacher</v>
      </c>
      <c r="C804" s="560"/>
      <c r="D804" s="429"/>
      <c r="G804" s="1286">
        <f t="shared" si="293"/>
        <v>0</v>
      </c>
      <c r="H804" s="1286">
        <f t="shared" si="293"/>
        <v>0</v>
      </c>
      <c r="I804" s="1286">
        <f t="shared" si="293"/>
        <v>0</v>
      </c>
      <c r="J804" s="1286">
        <f t="shared" si="293"/>
        <v>0</v>
      </c>
      <c r="K804" s="1286">
        <f t="shared" si="293"/>
        <v>15182.07575625</v>
      </c>
      <c r="L804" s="1286">
        <f t="shared" si="293"/>
        <v>15637.538028937499</v>
      </c>
      <c r="M804" s="1286">
        <f t="shared" si="293"/>
        <v>16106.664169805623</v>
      </c>
      <c r="N804" s="168"/>
      <c r="R804" s="282"/>
      <c r="S804" s="1362">
        <f t="shared" si="285"/>
        <v>0</v>
      </c>
      <c r="T804" s="1362">
        <f t="shared" si="286"/>
        <v>0</v>
      </c>
      <c r="U804" s="1362">
        <f t="shared" si="287"/>
        <v>0</v>
      </c>
      <c r="V804" s="1362">
        <f t="shared" si="288"/>
        <v>0.29249999999999998</v>
      </c>
      <c r="W804" s="1362">
        <f t="shared" si="289"/>
        <v>0.29249999999999998</v>
      </c>
      <c r="X804" s="1362">
        <f t="shared" si="289"/>
        <v>0.29249999999999998</v>
      </c>
      <c r="Y804" s="1361"/>
      <c r="Z804" s="282"/>
      <c r="AA804" s="282"/>
    </row>
    <row r="805" spans="1:27" s="428" customFormat="1" outlineLevel="2">
      <c r="A805" s="276">
        <f t="shared" si="276"/>
        <v>353</v>
      </c>
      <c r="B805" s="757" t="str">
        <f>$B353</f>
        <v>4th Grade Teacher</v>
      </c>
      <c r="C805" s="560"/>
      <c r="D805" s="429"/>
      <c r="G805" s="1286">
        <f t="shared" si="293"/>
        <v>0</v>
      </c>
      <c r="H805" s="1286">
        <f t="shared" si="293"/>
        <v>0</v>
      </c>
      <c r="I805" s="1286">
        <f t="shared" si="293"/>
        <v>0</v>
      </c>
      <c r="J805" s="1286">
        <f t="shared" si="293"/>
        <v>0</v>
      </c>
      <c r="K805" s="1286">
        <f t="shared" si="293"/>
        <v>0</v>
      </c>
      <c r="L805" s="1286">
        <f t="shared" si="293"/>
        <v>15637.538028937499</v>
      </c>
      <c r="M805" s="1286">
        <f t="shared" si="293"/>
        <v>16106.664169805623</v>
      </c>
      <c r="N805" s="168"/>
      <c r="R805" s="282"/>
      <c r="S805" s="1362">
        <f t="shared" si="285"/>
        <v>0</v>
      </c>
      <c r="T805" s="1362">
        <f t="shared" si="286"/>
        <v>0</v>
      </c>
      <c r="U805" s="1362">
        <f t="shared" si="287"/>
        <v>0</v>
      </c>
      <c r="V805" s="1362">
        <f t="shared" si="288"/>
        <v>0</v>
      </c>
      <c r="W805" s="1362">
        <f t="shared" si="289"/>
        <v>0.29249999999999998</v>
      </c>
      <c r="X805" s="1362">
        <f t="shared" si="289"/>
        <v>0.29249999999999998</v>
      </c>
      <c r="Y805" s="1361"/>
      <c r="Z805" s="282"/>
      <c r="AA805" s="282"/>
    </row>
    <row r="806" spans="1:27" s="428" customFormat="1" outlineLevel="2">
      <c r="A806" s="276">
        <f t="shared" si="276"/>
        <v>354</v>
      </c>
      <c r="B806" s="757">
        <f>$B354</f>
        <v>0</v>
      </c>
      <c r="C806" s="560"/>
      <c r="D806" s="429"/>
      <c r="G806" s="1286">
        <f t="shared" si="293"/>
        <v>0</v>
      </c>
      <c r="H806" s="1286">
        <f t="shared" si="293"/>
        <v>0</v>
      </c>
      <c r="I806" s="1286">
        <f t="shared" si="293"/>
        <v>0</v>
      </c>
      <c r="J806" s="1286">
        <f t="shared" si="293"/>
        <v>0</v>
      </c>
      <c r="K806" s="1286">
        <f t="shared" si="293"/>
        <v>0</v>
      </c>
      <c r="L806" s="1286">
        <f t="shared" si="293"/>
        <v>0</v>
      </c>
      <c r="M806" s="1286">
        <f t="shared" si="293"/>
        <v>0</v>
      </c>
      <c r="N806" s="168"/>
      <c r="R806" s="282"/>
      <c r="S806" s="1362">
        <f t="shared" si="285"/>
        <v>0</v>
      </c>
      <c r="T806" s="1362">
        <f t="shared" si="286"/>
        <v>0</v>
      </c>
      <c r="U806" s="1362">
        <f t="shared" si="287"/>
        <v>0</v>
      </c>
      <c r="V806" s="1362">
        <f t="shared" si="288"/>
        <v>0</v>
      </c>
      <c r="W806" s="1362">
        <f t="shared" si="289"/>
        <v>0</v>
      </c>
      <c r="X806" s="1362">
        <f t="shared" si="289"/>
        <v>0</v>
      </c>
      <c r="Y806" s="1361"/>
      <c r="Z806" s="282"/>
      <c r="AA806" s="282"/>
    </row>
    <row r="807" spans="1:27" s="431" customFormat="1" outlineLevel="2">
      <c r="A807" s="276">
        <f t="shared" ref="A807:A838" si="294">ROW(A355)</f>
        <v>355</v>
      </c>
      <c r="B807" s="757">
        <f>$B355</f>
        <v>0</v>
      </c>
      <c r="C807" s="560"/>
      <c r="D807" s="429"/>
      <c r="G807" s="1286">
        <f t="shared" si="293"/>
        <v>0</v>
      </c>
      <c r="H807" s="1286">
        <f t="shared" si="293"/>
        <v>0</v>
      </c>
      <c r="I807" s="1286">
        <f t="shared" si="293"/>
        <v>0</v>
      </c>
      <c r="J807" s="1286">
        <f t="shared" si="293"/>
        <v>0</v>
      </c>
      <c r="K807" s="1286">
        <f t="shared" si="293"/>
        <v>0</v>
      </c>
      <c r="L807" s="1286">
        <f t="shared" si="293"/>
        <v>0</v>
      </c>
      <c r="M807" s="1286">
        <f t="shared" si="293"/>
        <v>0</v>
      </c>
      <c r="N807" s="141"/>
      <c r="R807" s="282"/>
      <c r="S807" s="1362">
        <f t="shared" si="285"/>
        <v>0</v>
      </c>
      <c r="T807" s="1362">
        <f t="shared" si="286"/>
        <v>0</v>
      </c>
      <c r="U807" s="1362">
        <f t="shared" si="287"/>
        <v>0</v>
      </c>
      <c r="V807" s="1362">
        <f t="shared" si="288"/>
        <v>0</v>
      </c>
      <c r="W807" s="1362">
        <f t="shared" si="289"/>
        <v>0</v>
      </c>
      <c r="X807" s="1362">
        <f t="shared" si="289"/>
        <v>0</v>
      </c>
      <c r="Y807" s="1361"/>
      <c r="Z807" s="282"/>
      <c r="AA807" s="282"/>
    </row>
    <row r="808" spans="1:27" s="431" customFormat="1" outlineLevel="2">
      <c r="A808" s="276">
        <f t="shared" si="294"/>
        <v>356</v>
      </c>
      <c r="B808" s="757"/>
      <c r="C808" s="561"/>
      <c r="D808" s="428"/>
      <c r="G808" s="1286"/>
      <c r="H808" s="1286"/>
      <c r="I808" s="1286"/>
      <c r="J808" s="1286"/>
      <c r="K808" s="1286"/>
      <c r="L808" s="1286"/>
      <c r="M808" s="1286"/>
      <c r="N808" s="141"/>
      <c r="R808" s="282"/>
      <c r="S808" s="1362">
        <f t="shared" si="285"/>
        <v>0</v>
      </c>
      <c r="T808" s="1362">
        <f t="shared" si="286"/>
        <v>0</v>
      </c>
      <c r="U808" s="1362">
        <f t="shared" si="287"/>
        <v>0</v>
      </c>
      <c r="V808" s="1362">
        <f t="shared" si="288"/>
        <v>0</v>
      </c>
      <c r="W808" s="1362">
        <f t="shared" si="289"/>
        <v>0</v>
      </c>
      <c r="X808" s="1362">
        <f t="shared" si="289"/>
        <v>0</v>
      </c>
      <c r="Y808" s="1361"/>
      <c r="Z808" s="282"/>
      <c r="AA808" s="282"/>
    </row>
    <row r="809" spans="1:27" s="428" customFormat="1" outlineLevel="2">
      <c r="A809" s="276">
        <f t="shared" si="294"/>
        <v>357</v>
      </c>
      <c r="B809" s="757" t="str">
        <f>$B357</f>
        <v>5th Grade Teacher</v>
      </c>
      <c r="C809" s="560"/>
      <c r="D809" s="429"/>
      <c r="G809" s="1286">
        <f t="shared" ref="G809:M813" si="295">G357*$C$90</f>
        <v>0</v>
      </c>
      <c r="H809" s="1286">
        <f t="shared" si="295"/>
        <v>13893.75</v>
      </c>
      <c r="I809" s="1286">
        <f t="shared" si="295"/>
        <v>14310.5625</v>
      </c>
      <c r="J809" s="1286">
        <f t="shared" si="295"/>
        <v>14739.879374999999</v>
      </c>
      <c r="K809" s="1286">
        <f t="shared" si="295"/>
        <v>15182.07575625</v>
      </c>
      <c r="L809" s="1286">
        <f t="shared" si="295"/>
        <v>15637.538028937499</v>
      </c>
      <c r="M809" s="1286">
        <f t="shared" si="295"/>
        <v>16106.664169805623</v>
      </c>
      <c r="N809" s="168"/>
      <c r="R809" s="282"/>
      <c r="S809" s="1362">
        <f t="shared" si="285"/>
        <v>0.29249999999999998</v>
      </c>
      <c r="T809" s="1362">
        <f t="shared" si="286"/>
        <v>0.29249999999999998</v>
      </c>
      <c r="U809" s="1362">
        <f t="shared" si="287"/>
        <v>0.29249999999999998</v>
      </c>
      <c r="V809" s="1362">
        <f t="shared" si="288"/>
        <v>0.29249999999999998</v>
      </c>
      <c r="W809" s="1362">
        <f t="shared" si="289"/>
        <v>0.29249999999999998</v>
      </c>
      <c r="X809" s="1362">
        <f t="shared" si="289"/>
        <v>0.29249999999999998</v>
      </c>
      <c r="Y809" s="1361"/>
      <c r="Z809" s="282"/>
      <c r="AA809" s="282"/>
    </row>
    <row r="810" spans="1:27" s="428" customFormat="1" outlineLevel="2">
      <c r="A810" s="276">
        <f t="shared" si="294"/>
        <v>358</v>
      </c>
      <c r="B810" s="757" t="str">
        <f>$B358</f>
        <v>5th Grade Teacher</v>
      </c>
      <c r="C810" s="560"/>
      <c r="D810" s="429"/>
      <c r="G810" s="1286">
        <f t="shared" si="295"/>
        <v>0</v>
      </c>
      <c r="H810" s="1286">
        <f t="shared" si="295"/>
        <v>0</v>
      </c>
      <c r="I810" s="1286">
        <f t="shared" si="295"/>
        <v>0</v>
      </c>
      <c r="J810" s="1286">
        <f t="shared" si="295"/>
        <v>0</v>
      </c>
      <c r="K810" s="1286">
        <f t="shared" si="295"/>
        <v>0</v>
      </c>
      <c r="L810" s="1286">
        <f t="shared" si="295"/>
        <v>15637.538028937499</v>
      </c>
      <c r="M810" s="1286">
        <f t="shared" si="295"/>
        <v>16106.664169805623</v>
      </c>
      <c r="N810" s="168"/>
      <c r="R810" s="282"/>
      <c r="S810" s="1362">
        <f t="shared" si="285"/>
        <v>0</v>
      </c>
      <c r="T810" s="1362">
        <f t="shared" si="286"/>
        <v>0</v>
      </c>
      <c r="U810" s="1362">
        <f t="shared" si="287"/>
        <v>0</v>
      </c>
      <c r="V810" s="1362">
        <f t="shared" si="288"/>
        <v>0</v>
      </c>
      <c r="W810" s="1362">
        <f t="shared" si="289"/>
        <v>0.29249999999999998</v>
      </c>
      <c r="X810" s="1362">
        <f t="shared" si="289"/>
        <v>0.29249999999999998</v>
      </c>
      <c r="Y810" s="1361"/>
      <c r="Z810" s="282"/>
      <c r="AA810" s="282"/>
    </row>
    <row r="811" spans="1:27" s="428" customFormat="1" outlineLevel="2">
      <c r="A811" s="276">
        <f t="shared" si="294"/>
        <v>359</v>
      </c>
      <c r="B811" s="757" t="str">
        <f>$B359</f>
        <v>5th Grade Teacher</v>
      </c>
      <c r="C811" s="560"/>
      <c r="D811" s="429"/>
      <c r="G811" s="1286">
        <f t="shared" si="295"/>
        <v>0</v>
      </c>
      <c r="H811" s="1286">
        <f t="shared" si="295"/>
        <v>0</v>
      </c>
      <c r="I811" s="1286">
        <f t="shared" si="295"/>
        <v>0</v>
      </c>
      <c r="J811" s="1286">
        <f t="shared" si="295"/>
        <v>0</v>
      </c>
      <c r="K811" s="1286">
        <f t="shared" si="295"/>
        <v>0</v>
      </c>
      <c r="L811" s="1286">
        <f t="shared" si="295"/>
        <v>0</v>
      </c>
      <c r="M811" s="1286">
        <f t="shared" si="295"/>
        <v>16106.664169805623</v>
      </c>
      <c r="N811" s="168"/>
      <c r="R811" s="282"/>
      <c r="S811" s="1362">
        <f t="shared" si="285"/>
        <v>0</v>
      </c>
      <c r="T811" s="1362">
        <f t="shared" si="286"/>
        <v>0</v>
      </c>
      <c r="U811" s="1362">
        <f t="shared" si="287"/>
        <v>0</v>
      </c>
      <c r="V811" s="1362">
        <f t="shared" si="288"/>
        <v>0</v>
      </c>
      <c r="W811" s="1362">
        <f t="shared" si="289"/>
        <v>0</v>
      </c>
      <c r="X811" s="1362">
        <f t="shared" si="289"/>
        <v>0.29249999999999998</v>
      </c>
      <c r="Y811" s="1361"/>
      <c r="Z811" s="282"/>
      <c r="AA811" s="282"/>
    </row>
    <row r="812" spans="1:27" s="428" customFormat="1" outlineLevel="2">
      <c r="A812" s="276">
        <f t="shared" si="294"/>
        <v>360</v>
      </c>
      <c r="B812" s="757">
        <f>$B360</f>
        <v>0</v>
      </c>
      <c r="C812" s="560"/>
      <c r="D812" s="429"/>
      <c r="G812" s="1286">
        <f t="shared" si="295"/>
        <v>0</v>
      </c>
      <c r="H812" s="1286">
        <f t="shared" si="295"/>
        <v>0</v>
      </c>
      <c r="I812" s="1286">
        <f t="shared" si="295"/>
        <v>0</v>
      </c>
      <c r="J812" s="1286">
        <f t="shared" si="295"/>
        <v>0</v>
      </c>
      <c r="K812" s="1286">
        <f t="shared" si="295"/>
        <v>0</v>
      </c>
      <c r="L812" s="1286">
        <f t="shared" si="295"/>
        <v>0</v>
      </c>
      <c r="M812" s="1286">
        <f t="shared" si="295"/>
        <v>0</v>
      </c>
      <c r="N812" s="168"/>
      <c r="R812" s="282"/>
      <c r="S812" s="1362">
        <f t="shared" si="285"/>
        <v>0</v>
      </c>
      <c r="T812" s="1362">
        <f t="shared" si="286"/>
        <v>0</v>
      </c>
      <c r="U812" s="1362">
        <f t="shared" si="287"/>
        <v>0</v>
      </c>
      <c r="V812" s="1362">
        <f t="shared" si="288"/>
        <v>0</v>
      </c>
      <c r="W812" s="1362">
        <f t="shared" si="289"/>
        <v>0</v>
      </c>
      <c r="X812" s="1362">
        <f t="shared" si="289"/>
        <v>0</v>
      </c>
      <c r="Y812" s="1361"/>
      <c r="Z812" s="282"/>
      <c r="AA812" s="282"/>
    </row>
    <row r="813" spans="1:27" s="428" customFormat="1" outlineLevel="2">
      <c r="A813" s="276">
        <f t="shared" si="294"/>
        <v>361</v>
      </c>
      <c r="B813" s="757">
        <f>$B361</f>
        <v>0</v>
      </c>
      <c r="C813" s="560"/>
      <c r="D813" s="429"/>
      <c r="G813" s="1286">
        <f t="shared" si="295"/>
        <v>0</v>
      </c>
      <c r="H813" s="1286">
        <f t="shared" si="295"/>
        <v>0</v>
      </c>
      <c r="I813" s="1286">
        <f t="shared" si="295"/>
        <v>0</v>
      </c>
      <c r="J813" s="1286">
        <f t="shared" si="295"/>
        <v>0</v>
      </c>
      <c r="K813" s="1286">
        <f t="shared" si="295"/>
        <v>0</v>
      </c>
      <c r="L813" s="1286">
        <f t="shared" si="295"/>
        <v>0</v>
      </c>
      <c r="M813" s="1286">
        <f t="shared" si="295"/>
        <v>0</v>
      </c>
      <c r="N813" s="168"/>
      <c r="R813" s="282"/>
      <c r="S813" s="1362">
        <f t="shared" si="285"/>
        <v>0</v>
      </c>
      <c r="T813" s="1362">
        <f t="shared" si="286"/>
        <v>0</v>
      </c>
      <c r="U813" s="1362">
        <f t="shared" si="287"/>
        <v>0</v>
      </c>
      <c r="V813" s="1362">
        <f t="shared" si="288"/>
        <v>0</v>
      </c>
      <c r="W813" s="1362">
        <f t="shared" si="289"/>
        <v>0</v>
      </c>
      <c r="X813" s="1362">
        <f t="shared" si="289"/>
        <v>0</v>
      </c>
      <c r="Y813" s="1361"/>
      <c r="Z813" s="282"/>
      <c r="AA813" s="282"/>
    </row>
    <row r="814" spans="1:27" s="428" customFormat="1" outlineLevel="2">
      <c r="A814" s="276">
        <f t="shared" si="294"/>
        <v>362</v>
      </c>
      <c r="B814" s="757"/>
      <c r="C814" s="560"/>
      <c r="D814" s="429"/>
      <c r="G814" s="1286"/>
      <c r="H814" s="1286"/>
      <c r="I814" s="1286"/>
      <c r="J814" s="1286"/>
      <c r="K814" s="1286"/>
      <c r="L814" s="1286"/>
      <c r="M814" s="1286"/>
      <c r="N814" s="168"/>
      <c r="R814" s="282"/>
      <c r="S814" s="1362">
        <f t="shared" si="285"/>
        <v>0</v>
      </c>
      <c r="T814" s="1362">
        <f t="shared" si="286"/>
        <v>0</v>
      </c>
      <c r="U814" s="1362">
        <f t="shared" si="287"/>
        <v>0</v>
      </c>
      <c r="V814" s="1362">
        <f t="shared" si="288"/>
        <v>0</v>
      </c>
      <c r="W814" s="1362">
        <f t="shared" si="289"/>
        <v>0</v>
      </c>
      <c r="X814" s="1362">
        <f t="shared" si="289"/>
        <v>0</v>
      </c>
      <c r="Y814" s="1361"/>
      <c r="Z814" s="282"/>
      <c r="AA814" s="282"/>
    </row>
    <row r="815" spans="1:27" s="428" customFormat="1" outlineLevel="2">
      <c r="A815" s="276">
        <f t="shared" si="294"/>
        <v>363</v>
      </c>
      <c r="B815" s="757" t="str">
        <f>$B363</f>
        <v>6th Grade Teacher</v>
      </c>
      <c r="C815" s="560"/>
      <c r="D815" s="429"/>
      <c r="G815" s="1286">
        <f t="shared" ref="G815:M819" si="296">G363*$C$90</f>
        <v>0</v>
      </c>
      <c r="H815" s="1286">
        <f t="shared" si="296"/>
        <v>13893.75</v>
      </c>
      <c r="I815" s="1286">
        <f t="shared" si="296"/>
        <v>14310.5625</v>
      </c>
      <c r="J815" s="1286">
        <f t="shared" si="296"/>
        <v>14739.879374999999</v>
      </c>
      <c r="K815" s="1286">
        <f t="shared" si="296"/>
        <v>15182.07575625</v>
      </c>
      <c r="L815" s="1286">
        <f t="shared" si="296"/>
        <v>15637.538028937499</v>
      </c>
      <c r="M815" s="1286">
        <f t="shared" si="296"/>
        <v>16106.664169805623</v>
      </c>
      <c r="N815" s="168"/>
      <c r="R815" s="282"/>
      <c r="S815" s="1362">
        <f t="shared" si="285"/>
        <v>0.29249999999999998</v>
      </c>
      <c r="T815" s="1362">
        <f t="shared" si="286"/>
        <v>0.29249999999999998</v>
      </c>
      <c r="U815" s="1362">
        <f t="shared" si="287"/>
        <v>0.29249999999999998</v>
      </c>
      <c r="V815" s="1362">
        <f t="shared" si="288"/>
        <v>0.29249999999999998</v>
      </c>
      <c r="W815" s="1362">
        <f t="shared" si="289"/>
        <v>0.29249999999999998</v>
      </c>
      <c r="X815" s="1362">
        <f t="shared" si="289"/>
        <v>0.29249999999999998</v>
      </c>
      <c r="Y815" s="1361"/>
      <c r="Z815" s="282"/>
      <c r="AA815" s="282"/>
    </row>
    <row r="816" spans="1:27" s="428" customFormat="1" outlineLevel="2">
      <c r="A816" s="276">
        <f t="shared" si="294"/>
        <v>364</v>
      </c>
      <c r="B816" s="757" t="str">
        <f>$B364</f>
        <v>6th Grade Teacher</v>
      </c>
      <c r="C816" s="560"/>
      <c r="D816" s="429"/>
      <c r="G816" s="1286">
        <f t="shared" si="296"/>
        <v>0</v>
      </c>
      <c r="H816" s="1286">
        <f t="shared" si="296"/>
        <v>13893.75</v>
      </c>
      <c r="I816" s="1286">
        <f t="shared" si="296"/>
        <v>14310.5625</v>
      </c>
      <c r="J816" s="1286">
        <f t="shared" si="296"/>
        <v>14739.879374999999</v>
      </c>
      <c r="K816" s="1286">
        <f t="shared" si="296"/>
        <v>15182.07575625</v>
      </c>
      <c r="L816" s="1286">
        <f t="shared" si="296"/>
        <v>15637.538028937499</v>
      </c>
      <c r="M816" s="1286">
        <f t="shared" si="296"/>
        <v>16106.664169805623</v>
      </c>
      <c r="N816" s="168"/>
      <c r="R816" s="282"/>
      <c r="S816" s="1362">
        <f t="shared" si="285"/>
        <v>0.29249999999999998</v>
      </c>
      <c r="T816" s="1362">
        <f t="shared" si="286"/>
        <v>0.29249999999999998</v>
      </c>
      <c r="U816" s="1362">
        <f t="shared" si="287"/>
        <v>0.29249999999999998</v>
      </c>
      <c r="V816" s="1362">
        <f t="shared" si="288"/>
        <v>0.29249999999999998</v>
      </c>
      <c r="W816" s="1362">
        <f t="shared" si="289"/>
        <v>0.29249999999999998</v>
      </c>
      <c r="X816" s="1362">
        <f t="shared" si="289"/>
        <v>0.29249999999999998</v>
      </c>
      <c r="Y816" s="1361"/>
      <c r="Z816" s="282"/>
      <c r="AA816" s="282"/>
    </row>
    <row r="817" spans="1:27" s="428" customFormat="1" outlineLevel="2">
      <c r="A817" s="276">
        <f t="shared" si="294"/>
        <v>365</v>
      </c>
      <c r="B817" s="757" t="str">
        <f>$B365</f>
        <v>6th Grade Teacher</v>
      </c>
      <c r="C817" s="560"/>
      <c r="D817" s="429"/>
      <c r="G817" s="1286">
        <f t="shared" si="296"/>
        <v>0</v>
      </c>
      <c r="H817" s="1286">
        <f t="shared" si="296"/>
        <v>0</v>
      </c>
      <c r="I817" s="1286">
        <f t="shared" si="296"/>
        <v>0</v>
      </c>
      <c r="J817" s="1286">
        <f t="shared" si="296"/>
        <v>0</v>
      </c>
      <c r="K817" s="1286">
        <f t="shared" si="296"/>
        <v>0</v>
      </c>
      <c r="L817" s="1286">
        <f t="shared" si="296"/>
        <v>0</v>
      </c>
      <c r="M817" s="1286">
        <f t="shared" si="296"/>
        <v>16106.664169805623</v>
      </c>
      <c r="N817" s="168"/>
      <c r="R817" s="282"/>
      <c r="S817" s="1362">
        <f t="shared" si="285"/>
        <v>0</v>
      </c>
      <c r="T817" s="1362">
        <f t="shared" si="286"/>
        <v>0</v>
      </c>
      <c r="U817" s="1362">
        <f t="shared" si="287"/>
        <v>0</v>
      </c>
      <c r="V817" s="1362">
        <f t="shared" si="288"/>
        <v>0</v>
      </c>
      <c r="W817" s="1362">
        <f t="shared" si="289"/>
        <v>0</v>
      </c>
      <c r="X817" s="1362">
        <f t="shared" si="289"/>
        <v>0.29249999999999998</v>
      </c>
      <c r="Y817" s="1361"/>
      <c r="Z817" s="282"/>
      <c r="AA817" s="282"/>
    </row>
    <row r="818" spans="1:27" s="428" customFormat="1" outlineLevel="2">
      <c r="A818" s="276">
        <f t="shared" si="294"/>
        <v>366</v>
      </c>
      <c r="B818" s="757">
        <f>$B366</f>
        <v>0</v>
      </c>
      <c r="C818" s="560"/>
      <c r="D818" s="429"/>
      <c r="G818" s="1286">
        <f t="shared" si="296"/>
        <v>0</v>
      </c>
      <c r="H818" s="1286">
        <f t="shared" si="296"/>
        <v>0</v>
      </c>
      <c r="I818" s="1286">
        <f t="shared" si="296"/>
        <v>0</v>
      </c>
      <c r="J818" s="1286">
        <f t="shared" si="296"/>
        <v>0</v>
      </c>
      <c r="K818" s="1286">
        <f t="shared" si="296"/>
        <v>0</v>
      </c>
      <c r="L818" s="1286">
        <f t="shared" si="296"/>
        <v>0</v>
      </c>
      <c r="M818" s="1286">
        <f t="shared" si="296"/>
        <v>0</v>
      </c>
      <c r="N818" s="168"/>
      <c r="R818" s="282"/>
      <c r="S818" s="1362">
        <f t="shared" si="285"/>
        <v>0</v>
      </c>
      <c r="T818" s="1362">
        <f t="shared" si="286"/>
        <v>0</v>
      </c>
      <c r="U818" s="1362">
        <f t="shared" si="287"/>
        <v>0</v>
      </c>
      <c r="V818" s="1362">
        <f t="shared" si="288"/>
        <v>0</v>
      </c>
      <c r="W818" s="1362">
        <f t="shared" si="289"/>
        <v>0</v>
      </c>
      <c r="X818" s="1362">
        <f t="shared" si="289"/>
        <v>0</v>
      </c>
      <c r="Y818" s="1361"/>
      <c r="Z818" s="282"/>
      <c r="AA818" s="282"/>
    </row>
    <row r="819" spans="1:27" s="431" customFormat="1" outlineLevel="2">
      <c r="A819" s="276">
        <f t="shared" si="294"/>
        <v>367</v>
      </c>
      <c r="B819" s="757">
        <f>$B367</f>
        <v>0</v>
      </c>
      <c r="C819" s="560"/>
      <c r="D819" s="429"/>
      <c r="G819" s="1286">
        <f t="shared" si="296"/>
        <v>0</v>
      </c>
      <c r="H819" s="1286">
        <f t="shared" si="296"/>
        <v>0</v>
      </c>
      <c r="I819" s="1286">
        <f t="shared" si="296"/>
        <v>0</v>
      </c>
      <c r="J819" s="1286">
        <f t="shared" si="296"/>
        <v>0</v>
      </c>
      <c r="K819" s="1286">
        <f t="shared" si="296"/>
        <v>0</v>
      </c>
      <c r="L819" s="1286">
        <f t="shared" si="296"/>
        <v>0</v>
      </c>
      <c r="M819" s="1286">
        <f t="shared" si="296"/>
        <v>0</v>
      </c>
      <c r="N819" s="141"/>
      <c r="R819" s="282"/>
      <c r="S819" s="1362">
        <f t="shared" si="285"/>
        <v>0</v>
      </c>
      <c r="T819" s="1362">
        <f t="shared" si="286"/>
        <v>0</v>
      </c>
      <c r="U819" s="1362">
        <f t="shared" si="287"/>
        <v>0</v>
      </c>
      <c r="V819" s="1362">
        <f t="shared" si="288"/>
        <v>0</v>
      </c>
      <c r="W819" s="1362">
        <f t="shared" si="289"/>
        <v>0</v>
      </c>
      <c r="X819" s="1362">
        <f t="shared" si="289"/>
        <v>0</v>
      </c>
      <c r="Y819" s="1361"/>
      <c r="Z819" s="282"/>
      <c r="AA819" s="282"/>
    </row>
    <row r="820" spans="1:27" s="431" customFormat="1" outlineLevel="2">
      <c r="A820" s="276">
        <f t="shared" si="294"/>
        <v>368</v>
      </c>
      <c r="B820" s="757"/>
      <c r="C820" s="561"/>
      <c r="D820" s="428"/>
      <c r="G820" s="1286"/>
      <c r="H820" s="1286"/>
      <c r="I820" s="1286"/>
      <c r="J820" s="1286"/>
      <c r="K820" s="1286"/>
      <c r="L820" s="1286"/>
      <c r="M820" s="1286"/>
      <c r="N820" s="141"/>
      <c r="R820" s="282"/>
      <c r="S820" s="1362">
        <f t="shared" si="285"/>
        <v>0</v>
      </c>
      <c r="T820" s="1362">
        <f t="shared" si="286"/>
        <v>0</v>
      </c>
      <c r="U820" s="1362">
        <f t="shared" si="287"/>
        <v>0</v>
      </c>
      <c r="V820" s="1362">
        <f t="shared" si="288"/>
        <v>0</v>
      </c>
      <c r="W820" s="1362">
        <f t="shared" si="289"/>
        <v>0</v>
      </c>
      <c r="X820" s="1362">
        <f t="shared" si="289"/>
        <v>0</v>
      </c>
      <c r="Y820" s="1361"/>
      <c r="Z820" s="282"/>
      <c r="AA820" s="282"/>
    </row>
    <row r="821" spans="1:27" s="428" customFormat="1" outlineLevel="2">
      <c r="A821" s="276">
        <f t="shared" si="294"/>
        <v>369</v>
      </c>
      <c r="B821" s="757" t="str">
        <f t="shared" ref="B821:B826" si="297">$B369</f>
        <v>7th Grade Teacher</v>
      </c>
      <c r="C821" s="560"/>
      <c r="D821" s="429"/>
      <c r="G821" s="1286">
        <f t="shared" ref="G821:M826" si="298">G369*$C$90</f>
        <v>0</v>
      </c>
      <c r="H821" s="1286">
        <f t="shared" si="298"/>
        <v>13893.75</v>
      </c>
      <c r="I821" s="1286">
        <f t="shared" si="298"/>
        <v>14310.5625</v>
      </c>
      <c r="J821" s="1286">
        <f t="shared" si="298"/>
        <v>14739.879374999999</v>
      </c>
      <c r="K821" s="1286">
        <f t="shared" si="298"/>
        <v>15182.07575625</v>
      </c>
      <c r="L821" s="1286">
        <f t="shared" si="298"/>
        <v>15637.538028937499</v>
      </c>
      <c r="M821" s="1286">
        <f t="shared" si="298"/>
        <v>16106.664169805623</v>
      </c>
      <c r="N821" s="168"/>
      <c r="R821" s="282"/>
      <c r="S821" s="1362">
        <f t="shared" si="285"/>
        <v>0.29249999999999998</v>
      </c>
      <c r="T821" s="1362">
        <f t="shared" si="286"/>
        <v>0.29249999999999998</v>
      </c>
      <c r="U821" s="1362">
        <f t="shared" si="287"/>
        <v>0.29249999999999998</v>
      </c>
      <c r="V821" s="1362">
        <f t="shared" si="288"/>
        <v>0.29249999999999998</v>
      </c>
      <c r="W821" s="1362">
        <f t="shared" si="289"/>
        <v>0.29249999999999998</v>
      </c>
      <c r="X821" s="1362">
        <f t="shared" si="289"/>
        <v>0.29249999999999998</v>
      </c>
      <c r="Y821" s="1361"/>
      <c r="Z821" s="282"/>
      <c r="AA821" s="282"/>
    </row>
    <row r="822" spans="1:27" s="428" customFormat="1" outlineLevel="2">
      <c r="A822" s="276">
        <f t="shared" si="294"/>
        <v>370</v>
      </c>
      <c r="B822" s="757" t="str">
        <f t="shared" si="297"/>
        <v>7th Grade Teacher</v>
      </c>
      <c r="C822" s="560"/>
      <c r="D822" s="429"/>
      <c r="G822" s="1286">
        <f t="shared" si="298"/>
        <v>0</v>
      </c>
      <c r="H822" s="1286">
        <f t="shared" si="298"/>
        <v>13893.75</v>
      </c>
      <c r="I822" s="1286">
        <f t="shared" si="298"/>
        <v>14310.5625</v>
      </c>
      <c r="J822" s="1286">
        <f t="shared" si="298"/>
        <v>14739.879374999999</v>
      </c>
      <c r="K822" s="1286">
        <f t="shared" si="298"/>
        <v>15182.07575625</v>
      </c>
      <c r="L822" s="1286">
        <f t="shared" si="298"/>
        <v>15637.538028937499</v>
      </c>
      <c r="M822" s="1286">
        <f t="shared" si="298"/>
        <v>16106.664169805623</v>
      </c>
      <c r="N822" s="168"/>
      <c r="R822" s="282"/>
      <c r="S822" s="1362">
        <f t="shared" si="285"/>
        <v>0.29249999999999998</v>
      </c>
      <c r="T822" s="1362">
        <f t="shared" si="286"/>
        <v>0.29249999999999998</v>
      </c>
      <c r="U822" s="1362">
        <f t="shared" si="287"/>
        <v>0.29249999999999998</v>
      </c>
      <c r="V822" s="1362">
        <f t="shared" si="288"/>
        <v>0.29249999999999998</v>
      </c>
      <c r="W822" s="1362">
        <f t="shared" si="289"/>
        <v>0.29249999999999998</v>
      </c>
      <c r="X822" s="1362">
        <f t="shared" si="289"/>
        <v>0.29249999999999998</v>
      </c>
      <c r="Y822" s="1361"/>
      <c r="Z822" s="282"/>
      <c r="AA822" s="282"/>
    </row>
    <row r="823" spans="1:27" s="428" customFormat="1" outlineLevel="2">
      <c r="A823" s="276">
        <f t="shared" si="294"/>
        <v>371</v>
      </c>
      <c r="B823" s="757" t="str">
        <f t="shared" si="297"/>
        <v>7th Grade Teacher</v>
      </c>
      <c r="C823" s="560"/>
      <c r="D823" s="429"/>
      <c r="G823" s="1286">
        <f t="shared" si="298"/>
        <v>0</v>
      </c>
      <c r="H823" s="1286">
        <f t="shared" si="298"/>
        <v>0</v>
      </c>
      <c r="I823" s="1286">
        <f t="shared" si="298"/>
        <v>0</v>
      </c>
      <c r="J823" s="1286">
        <f t="shared" si="298"/>
        <v>0</v>
      </c>
      <c r="K823" s="1286">
        <f t="shared" si="298"/>
        <v>0</v>
      </c>
      <c r="L823" s="1286">
        <f t="shared" si="298"/>
        <v>0</v>
      </c>
      <c r="M823" s="1286">
        <f t="shared" si="298"/>
        <v>16106.664169805623</v>
      </c>
      <c r="N823" s="168"/>
      <c r="R823" s="282"/>
      <c r="S823" s="1362">
        <f t="shared" si="285"/>
        <v>0</v>
      </c>
      <c r="T823" s="1362">
        <f t="shared" si="286"/>
        <v>0</v>
      </c>
      <c r="U823" s="1362">
        <f t="shared" si="287"/>
        <v>0</v>
      </c>
      <c r="V823" s="1362">
        <f t="shared" si="288"/>
        <v>0</v>
      </c>
      <c r="W823" s="1362">
        <f t="shared" si="289"/>
        <v>0</v>
      </c>
      <c r="X823" s="1362">
        <f t="shared" si="289"/>
        <v>0.29249999999999998</v>
      </c>
      <c r="Y823" s="1361"/>
      <c r="Z823" s="282"/>
      <c r="AA823" s="282"/>
    </row>
    <row r="824" spans="1:27" s="428" customFormat="1" outlineLevel="2">
      <c r="A824" s="276">
        <f t="shared" si="294"/>
        <v>372</v>
      </c>
      <c r="B824" s="757">
        <f t="shared" si="297"/>
        <v>0</v>
      </c>
      <c r="C824" s="560"/>
      <c r="D824" s="429"/>
      <c r="G824" s="1286">
        <f t="shared" si="298"/>
        <v>0</v>
      </c>
      <c r="H824" s="1286">
        <f t="shared" si="298"/>
        <v>0</v>
      </c>
      <c r="I824" s="1286">
        <f t="shared" si="298"/>
        <v>0</v>
      </c>
      <c r="J824" s="1286">
        <f t="shared" si="298"/>
        <v>0</v>
      </c>
      <c r="K824" s="1286">
        <f t="shared" si="298"/>
        <v>0</v>
      </c>
      <c r="L824" s="1286">
        <f t="shared" si="298"/>
        <v>0</v>
      </c>
      <c r="M824" s="1286">
        <f t="shared" si="298"/>
        <v>0</v>
      </c>
      <c r="N824" s="168"/>
      <c r="R824" s="282"/>
      <c r="S824" s="1362">
        <f t="shared" si="285"/>
        <v>0</v>
      </c>
      <c r="T824" s="1362">
        <f t="shared" si="286"/>
        <v>0</v>
      </c>
      <c r="U824" s="1362">
        <f t="shared" si="287"/>
        <v>0</v>
      </c>
      <c r="V824" s="1362">
        <f t="shared" si="288"/>
        <v>0</v>
      </c>
      <c r="W824" s="1362">
        <f t="shared" si="289"/>
        <v>0</v>
      </c>
      <c r="X824" s="1362">
        <f t="shared" si="289"/>
        <v>0</v>
      </c>
      <c r="Y824" s="1361"/>
      <c r="Z824" s="282"/>
      <c r="AA824" s="282"/>
    </row>
    <row r="825" spans="1:27" s="428" customFormat="1" outlineLevel="2">
      <c r="A825" s="276">
        <f t="shared" si="294"/>
        <v>373</v>
      </c>
      <c r="B825" s="757">
        <f t="shared" si="297"/>
        <v>0</v>
      </c>
      <c r="C825" s="560"/>
      <c r="D825" s="429"/>
      <c r="G825" s="1286">
        <f t="shared" si="298"/>
        <v>0</v>
      </c>
      <c r="H825" s="1286">
        <f t="shared" si="298"/>
        <v>0</v>
      </c>
      <c r="I825" s="1286">
        <f t="shared" si="298"/>
        <v>0</v>
      </c>
      <c r="J825" s="1286">
        <f t="shared" si="298"/>
        <v>0</v>
      </c>
      <c r="K825" s="1286">
        <f t="shared" si="298"/>
        <v>0</v>
      </c>
      <c r="L825" s="1286">
        <f t="shared" si="298"/>
        <v>0</v>
      </c>
      <c r="M825" s="1286">
        <f t="shared" si="298"/>
        <v>0</v>
      </c>
      <c r="N825" s="168"/>
      <c r="R825" s="282"/>
      <c r="S825" s="1362">
        <f t="shared" si="285"/>
        <v>0</v>
      </c>
      <c r="T825" s="1362">
        <f t="shared" si="286"/>
        <v>0</v>
      </c>
      <c r="U825" s="1362">
        <f t="shared" si="287"/>
        <v>0</v>
      </c>
      <c r="V825" s="1362">
        <f t="shared" si="288"/>
        <v>0</v>
      </c>
      <c r="W825" s="1362">
        <f t="shared" si="289"/>
        <v>0</v>
      </c>
      <c r="X825" s="1362">
        <f t="shared" si="289"/>
        <v>0</v>
      </c>
      <c r="Y825" s="1361"/>
      <c r="Z825" s="282"/>
      <c r="AA825" s="282"/>
    </row>
    <row r="826" spans="1:27" s="428" customFormat="1" outlineLevel="2">
      <c r="A826" s="276">
        <f t="shared" si="294"/>
        <v>374</v>
      </c>
      <c r="B826" s="757">
        <f t="shared" si="297"/>
        <v>0</v>
      </c>
      <c r="C826" s="560"/>
      <c r="D826" s="429"/>
      <c r="G826" s="1286">
        <f t="shared" si="298"/>
        <v>0</v>
      </c>
      <c r="H826" s="1286">
        <f t="shared" si="298"/>
        <v>0</v>
      </c>
      <c r="I826" s="1286">
        <f t="shared" si="298"/>
        <v>0</v>
      </c>
      <c r="J826" s="1286">
        <f t="shared" si="298"/>
        <v>0</v>
      </c>
      <c r="K826" s="1286">
        <f t="shared" si="298"/>
        <v>0</v>
      </c>
      <c r="L826" s="1286">
        <f t="shared" si="298"/>
        <v>0</v>
      </c>
      <c r="M826" s="1286">
        <f t="shared" si="298"/>
        <v>0</v>
      </c>
      <c r="N826" s="168"/>
      <c r="R826" s="282"/>
      <c r="S826" s="1362">
        <f t="shared" si="285"/>
        <v>0</v>
      </c>
      <c r="T826" s="1362">
        <f t="shared" si="286"/>
        <v>0</v>
      </c>
      <c r="U826" s="1362">
        <f t="shared" si="287"/>
        <v>0</v>
      </c>
      <c r="V826" s="1362">
        <f t="shared" si="288"/>
        <v>0</v>
      </c>
      <c r="W826" s="1362">
        <f t="shared" si="289"/>
        <v>0</v>
      </c>
      <c r="X826" s="1362">
        <f t="shared" si="289"/>
        <v>0</v>
      </c>
      <c r="Y826" s="1361"/>
      <c r="Z826" s="282"/>
      <c r="AA826" s="282"/>
    </row>
    <row r="827" spans="1:27" s="431" customFormat="1" outlineLevel="2">
      <c r="A827" s="276">
        <f t="shared" si="294"/>
        <v>375</v>
      </c>
      <c r="B827" s="757"/>
      <c r="C827" s="561"/>
      <c r="D827" s="428"/>
      <c r="G827" s="1286"/>
      <c r="H827" s="1286"/>
      <c r="I827" s="1286"/>
      <c r="J827" s="1286"/>
      <c r="K827" s="1286"/>
      <c r="L827" s="1286"/>
      <c r="M827" s="1286"/>
      <c r="N827" s="141"/>
      <c r="R827" s="282"/>
      <c r="S827" s="1362">
        <f t="shared" si="285"/>
        <v>0</v>
      </c>
      <c r="T827" s="1362">
        <f t="shared" si="286"/>
        <v>0</v>
      </c>
      <c r="U827" s="1362">
        <f t="shared" si="287"/>
        <v>0</v>
      </c>
      <c r="V827" s="1362">
        <f t="shared" si="288"/>
        <v>0</v>
      </c>
      <c r="W827" s="1362">
        <f t="shared" si="289"/>
        <v>0</v>
      </c>
      <c r="X827" s="1362">
        <f t="shared" si="289"/>
        <v>0</v>
      </c>
      <c r="Y827" s="1361"/>
      <c r="Z827" s="282"/>
      <c r="AA827" s="282"/>
    </row>
    <row r="828" spans="1:27" s="428" customFormat="1" outlineLevel="2">
      <c r="A828" s="276">
        <f t="shared" si="294"/>
        <v>376</v>
      </c>
      <c r="B828" s="757" t="str">
        <f>$B376</f>
        <v>8th Grade Teacher</v>
      </c>
      <c r="C828" s="560"/>
      <c r="D828" s="429"/>
      <c r="G828" s="1286">
        <f t="shared" ref="G828:M832" si="299">G376*$C$90</f>
        <v>0</v>
      </c>
      <c r="H828" s="1286">
        <f t="shared" si="299"/>
        <v>0</v>
      </c>
      <c r="I828" s="1286">
        <f t="shared" si="299"/>
        <v>14310.5625</v>
      </c>
      <c r="J828" s="1286">
        <f t="shared" si="299"/>
        <v>14739.879374999999</v>
      </c>
      <c r="K828" s="1286">
        <f t="shared" si="299"/>
        <v>15182.07575625</v>
      </c>
      <c r="L828" s="1286">
        <f t="shared" si="299"/>
        <v>15637.538028937499</v>
      </c>
      <c r="M828" s="1286">
        <f t="shared" si="299"/>
        <v>16106.664169805623</v>
      </c>
      <c r="N828" s="168"/>
      <c r="R828" s="282"/>
      <c r="S828" s="1362">
        <f t="shared" si="285"/>
        <v>0</v>
      </c>
      <c r="T828" s="1362">
        <f t="shared" si="286"/>
        <v>0.29249999999999998</v>
      </c>
      <c r="U828" s="1362">
        <f t="shared" si="287"/>
        <v>0.29249999999999998</v>
      </c>
      <c r="V828" s="1362">
        <f t="shared" si="288"/>
        <v>0.29249999999999998</v>
      </c>
      <c r="W828" s="1362">
        <f t="shared" si="289"/>
        <v>0.29249999999999998</v>
      </c>
      <c r="X828" s="1362">
        <f t="shared" si="289"/>
        <v>0.29249999999999998</v>
      </c>
      <c r="Y828" s="1361"/>
      <c r="Z828" s="282"/>
      <c r="AA828" s="282"/>
    </row>
    <row r="829" spans="1:27" s="428" customFormat="1" outlineLevel="2">
      <c r="A829" s="276">
        <f t="shared" si="294"/>
        <v>377</v>
      </c>
      <c r="B829" s="757" t="str">
        <f>$B377</f>
        <v>8th Grade Teacher</v>
      </c>
      <c r="C829" s="560"/>
      <c r="D829" s="429"/>
      <c r="G829" s="1286">
        <f t="shared" si="299"/>
        <v>0</v>
      </c>
      <c r="H829" s="1286">
        <f t="shared" si="299"/>
        <v>0</v>
      </c>
      <c r="I829" s="1286">
        <f t="shared" si="299"/>
        <v>14310.5625</v>
      </c>
      <c r="J829" s="1286">
        <f t="shared" si="299"/>
        <v>14739.879374999999</v>
      </c>
      <c r="K829" s="1286">
        <f t="shared" si="299"/>
        <v>15182.07575625</v>
      </c>
      <c r="L829" s="1286">
        <f t="shared" si="299"/>
        <v>15637.538028937499</v>
      </c>
      <c r="M829" s="1286">
        <f t="shared" si="299"/>
        <v>16106.664169805623</v>
      </c>
      <c r="N829" s="168"/>
      <c r="R829" s="282"/>
      <c r="S829" s="1362">
        <f t="shared" si="285"/>
        <v>0</v>
      </c>
      <c r="T829" s="1362">
        <f t="shared" si="286"/>
        <v>0.29249999999999998</v>
      </c>
      <c r="U829" s="1362">
        <f t="shared" si="287"/>
        <v>0.29249999999999998</v>
      </c>
      <c r="V829" s="1362">
        <f t="shared" si="288"/>
        <v>0.29249999999999998</v>
      </c>
      <c r="W829" s="1362">
        <f t="shared" si="289"/>
        <v>0.29249999999999998</v>
      </c>
      <c r="X829" s="1362">
        <f t="shared" si="289"/>
        <v>0.29249999999999998</v>
      </c>
      <c r="Y829" s="1361"/>
      <c r="Z829" s="282"/>
      <c r="AA829" s="282"/>
    </row>
    <row r="830" spans="1:27" s="428" customFormat="1" outlineLevel="2">
      <c r="A830" s="276">
        <f t="shared" si="294"/>
        <v>378</v>
      </c>
      <c r="B830" s="757" t="str">
        <f>$B378</f>
        <v>8th Grade Teacher</v>
      </c>
      <c r="C830" s="560"/>
      <c r="D830" s="429"/>
      <c r="G830" s="1286">
        <f t="shared" si="299"/>
        <v>0</v>
      </c>
      <c r="H830" s="1286">
        <f t="shared" si="299"/>
        <v>0</v>
      </c>
      <c r="I830" s="1286">
        <f t="shared" si="299"/>
        <v>0</v>
      </c>
      <c r="J830" s="1286">
        <f t="shared" si="299"/>
        <v>0</v>
      </c>
      <c r="K830" s="1286">
        <f t="shared" si="299"/>
        <v>0</v>
      </c>
      <c r="L830" s="1286">
        <f t="shared" si="299"/>
        <v>0</v>
      </c>
      <c r="M830" s="1286">
        <f t="shared" si="299"/>
        <v>16106.664169805623</v>
      </c>
      <c r="N830" s="168"/>
      <c r="R830" s="282"/>
      <c r="S830" s="1362">
        <f t="shared" si="285"/>
        <v>0</v>
      </c>
      <c r="T830" s="1362">
        <f t="shared" si="286"/>
        <v>0</v>
      </c>
      <c r="U830" s="1362">
        <f t="shared" si="287"/>
        <v>0</v>
      </c>
      <c r="V830" s="1362">
        <f t="shared" si="288"/>
        <v>0</v>
      </c>
      <c r="W830" s="1362">
        <f t="shared" si="289"/>
        <v>0</v>
      </c>
      <c r="X830" s="1362">
        <f t="shared" si="289"/>
        <v>0.29249999999999998</v>
      </c>
      <c r="Y830" s="1361"/>
      <c r="Z830" s="282"/>
      <c r="AA830" s="282"/>
    </row>
    <row r="831" spans="1:27" s="428" customFormat="1" outlineLevel="2">
      <c r="A831" s="276">
        <f t="shared" si="294"/>
        <v>379</v>
      </c>
      <c r="B831" s="757">
        <f>$B379</f>
        <v>0</v>
      </c>
      <c r="C831" s="560"/>
      <c r="D831" s="429"/>
      <c r="G831" s="1286">
        <f t="shared" si="299"/>
        <v>0</v>
      </c>
      <c r="H831" s="1286">
        <f t="shared" si="299"/>
        <v>0</v>
      </c>
      <c r="I831" s="1286">
        <f t="shared" si="299"/>
        <v>0</v>
      </c>
      <c r="J831" s="1286">
        <f t="shared" si="299"/>
        <v>0</v>
      </c>
      <c r="K831" s="1286">
        <f t="shared" si="299"/>
        <v>0</v>
      </c>
      <c r="L831" s="1286">
        <f t="shared" si="299"/>
        <v>0</v>
      </c>
      <c r="M831" s="1286">
        <f t="shared" si="299"/>
        <v>0</v>
      </c>
      <c r="N831" s="168"/>
      <c r="R831" s="282"/>
      <c r="S831" s="1362">
        <f t="shared" si="285"/>
        <v>0</v>
      </c>
      <c r="T831" s="1362">
        <f t="shared" si="286"/>
        <v>0</v>
      </c>
      <c r="U831" s="1362">
        <f t="shared" si="287"/>
        <v>0</v>
      </c>
      <c r="V831" s="1362">
        <f t="shared" si="288"/>
        <v>0</v>
      </c>
      <c r="W831" s="1362">
        <f t="shared" si="289"/>
        <v>0</v>
      </c>
      <c r="X831" s="1362">
        <f t="shared" si="289"/>
        <v>0</v>
      </c>
      <c r="Y831" s="1361"/>
      <c r="Z831" s="282"/>
      <c r="AA831" s="282"/>
    </row>
    <row r="832" spans="1:27" s="428" customFormat="1" outlineLevel="2">
      <c r="A832" s="276">
        <f t="shared" si="294"/>
        <v>380</v>
      </c>
      <c r="B832" s="757">
        <f>$B380</f>
        <v>0</v>
      </c>
      <c r="C832" s="560"/>
      <c r="D832" s="429"/>
      <c r="G832" s="1286">
        <f t="shared" si="299"/>
        <v>0</v>
      </c>
      <c r="H832" s="1286">
        <f t="shared" si="299"/>
        <v>0</v>
      </c>
      <c r="I832" s="1286">
        <f t="shared" si="299"/>
        <v>0</v>
      </c>
      <c r="J832" s="1286">
        <f t="shared" si="299"/>
        <v>0</v>
      </c>
      <c r="K832" s="1286">
        <f t="shared" si="299"/>
        <v>0</v>
      </c>
      <c r="L832" s="1286">
        <f t="shared" si="299"/>
        <v>0</v>
      </c>
      <c r="M832" s="1286">
        <f t="shared" si="299"/>
        <v>0</v>
      </c>
      <c r="N832" s="168"/>
      <c r="R832" s="282"/>
      <c r="S832" s="1362">
        <f t="shared" si="285"/>
        <v>0</v>
      </c>
      <c r="T832" s="1362">
        <f t="shared" si="286"/>
        <v>0</v>
      </c>
      <c r="U832" s="1362">
        <f t="shared" si="287"/>
        <v>0</v>
      </c>
      <c r="V832" s="1362">
        <f t="shared" si="288"/>
        <v>0</v>
      </c>
      <c r="W832" s="1362">
        <f t="shared" si="289"/>
        <v>0</v>
      </c>
      <c r="X832" s="1362">
        <f t="shared" si="289"/>
        <v>0</v>
      </c>
      <c r="Y832" s="1361"/>
      <c r="Z832" s="282"/>
      <c r="AA832" s="282"/>
    </row>
    <row r="833" spans="1:27" s="428" customFormat="1" outlineLevel="2">
      <c r="A833" s="276">
        <f t="shared" si="294"/>
        <v>381</v>
      </c>
      <c r="B833" s="757"/>
      <c r="C833" s="560"/>
      <c r="D833" s="429"/>
      <c r="G833" s="1286"/>
      <c r="H833" s="1286"/>
      <c r="I833" s="1286"/>
      <c r="J833" s="1286"/>
      <c r="K833" s="1286"/>
      <c r="L833" s="1286"/>
      <c r="M833" s="1286"/>
      <c r="N833" s="168"/>
      <c r="R833" s="282"/>
      <c r="S833" s="1362">
        <f t="shared" si="285"/>
        <v>0</v>
      </c>
      <c r="T833" s="1362">
        <f t="shared" si="286"/>
        <v>0</v>
      </c>
      <c r="U833" s="1362">
        <f t="shared" si="287"/>
        <v>0</v>
      </c>
      <c r="V833" s="1362">
        <f t="shared" si="288"/>
        <v>0</v>
      </c>
      <c r="W833" s="1362">
        <f t="shared" si="289"/>
        <v>0</v>
      </c>
      <c r="X833" s="1362">
        <f t="shared" si="289"/>
        <v>0</v>
      </c>
      <c r="Y833" s="1361"/>
      <c r="Z833" s="282"/>
      <c r="AA833" s="282"/>
    </row>
    <row r="834" spans="1:27" s="428" customFormat="1" outlineLevel="2">
      <c r="A834" s="276">
        <f t="shared" si="294"/>
        <v>382</v>
      </c>
      <c r="B834" s="757" t="str">
        <f>$B382</f>
        <v>9th Grade Teacher</v>
      </c>
      <c r="C834" s="560"/>
      <c r="D834" s="429"/>
      <c r="G834" s="1286">
        <f t="shared" ref="G834:M838" si="300">G382*$C$90</f>
        <v>0</v>
      </c>
      <c r="H834" s="1286">
        <f t="shared" si="300"/>
        <v>0</v>
      </c>
      <c r="I834" s="1286">
        <f t="shared" si="300"/>
        <v>0</v>
      </c>
      <c r="J834" s="1286">
        <f t="shared" si="300"/>
        <v>14739.879374999999</v>
      </c>
      <c r="K834" s="1286">
        <f t="shared" si="300"/>
        <v>15182.07575625</v>
      </c>
      <c r="L834" s="1286">
        <f t="shared" si="300"/>
        <v>15637.538028937499</v>
      </c>
      <c r="M834" s="1286">
        <f t="shared" si="300"/>
        <v>16106.664169805623</v>
      </c>
      <c r="N834" s="168"/>
      <c r="R834" s="282"/>
      <c r="S834" s="1362">
        <f t="shared" si="285"/>
        <v>0</v>
      </c>
      <c r="T834" s="1362">
        <f t="shared" si="286"/>
        <v>0</v>
      </c>
      <c r="U834" s="1362">
        <f t="shared" si="287"/>
        <v>0.29249999999999998</v>
      </c>
      <c r="V834" s="1362">
        <f t="shared" si="288"/>
        <v>0.29249999999999998</v>
      </c>
      <c r="W834" s="1362">
        <f t="shared" si="289"/>
        <v>0.29249999999999998</v>
      </c>
      <c r="X834" s="1362">
        <f t="shared" si="289"/>
        <v>0.29249999999999998</v>
      </c>
      <c r="Y834" s="1361"/>
      <c r="Z834" s="282"/>
      <c r="AA834" s="282"/>
    </row>
    <row r="835" spans="1:27" s="428" customFormat="1" outlineLevel="2">
      <c r="A835" s="276">
        <f t="shared" si="294"/>
        <v>383</v>
      </c>
      <c r="B835" s="757" t="str">
        <f>$B383</f>
        <v>9th Grade Teacher</v>
      </c>
      <c r="C835" s="560"/>
      <c r="D835" s="429"/>
      <c r="G835" s="1286">
        <f t="shared" si="300"/>
        <v>0</v>
      </c>
      <c r="H835" s="1286">
        <f t="shared" si="300"/>
        <v>0</v>
      </c>
      <c r="I835" s="1286">
        <f t="shared" si="300"/>
        <v>0</v>
      </c>
      <c r="J835" s="1286">
        <f t="shared" si="300"/>
        <v>14739.879374999999</v>
      </c>
      <c r="K835" s="1286">
        <f t="shared" si="300"/>
        <v>15182.07575625</v>
      </c>
      <c r="L835" s="1286">
        <f t="shared" si="300"/>
        <v>15637.538028937499</v>
      </c>
      <c r="M835" s="1286">
        <f t="shared" si="300"/>
        <v>16106.664169805623</v>
      </c>
      <c r="N835" s="168"/>
      <c r="R835" s="282"/>
      <c r="S835" s="1362">
        <f t="shared" si="285"/>
        <v>0</v>
      </c>
      <c r="T835" s="1362">
        <f t="shared" si="286"/>
        <v>0</v>
      </c>
      <c r="U835" s="1362">
        <f t="shared" si="287"/>
        <v>0.29249999999999998</v>
      </c>
      <c r="V835" s="1362">
        <f t="shared" si="288"/>
        <v>0.29249999999999998</v>
      </c>
      <c r="W835" s="1362">
        <f t="shared" si="289"/>
        <v>0.29249999999999998</v>
      </c>
      <c r="X835" s="1362">
        <f t="shared" si="289"/>
        <v>0.29249999999999998</v>
      </c>
      <c r="Y835" s="1361"/>
      <c r="Z835" s="282"/>
      <c r="AA835" s="282"/>
    </row>
    <row r="836" spans="1:27" s="428" customFormat="1" outlineLevel="2">
      <c r="A836" s="276">
        <f t="shared" si="294"/>
        <v>384</v>
      </c>
      <c r="B836" s="757" t="str">
        <f>$B384</f>
        <v>9th Grade Teacher</v>
      </c>
      <c r="C836" s="560"/>
      <c r="D836" s="429"/>
      <c r="G836" s="1286">
        <f t="shared" si="300"/>
        <v>0</v>
      </c>
      <c r="H836" s="1286">
        <f t="shared" si="300"/>
        <v>0</v>
      </c>
      <c r="I836" s="1286">
        <f t="shared" si="300"/>
        <v>0</v>
      </c>
      <c r="J836" s="1286">
        <f t="shared" si="300"/>
        <v>14739.879374999999</v>
      </c>
      <c r="K836" s="1286">
        <f t="shared" si="300"/>
        <v>15182.07575625</v>
      </c>
      <c r="L836" s="1286">
        <f t="shared" si="300"/>
        <v>15637.538028937499</v>
      </c>
      <c r="M836" s="1286">
        <f t="shared" si="300"/>
        <v>16106.664169805623</v>
      </c>
      <c r="N836" s="168"/>
      <c r="R836" s="282"/>
      <c r="S836" s="1362">
        <f t="shared" si="285"/>
        <v>0</v>
      </c>
      <c r="T836" s="1362">
        <f t="shared" si="286"/>
        <v>0</v>
      </c>
      <c r="U836" s="1362">
        <f t="shared" si="287"/>
        <v>0.29249999999999998</v>
      </c>
      <c r="V836" s="1362">
        <f t="shared" si="288"/>
        <v>0.29249999999999998</v>
      </c>
      <c r="W836" s="1362">
        <f t="shared" si="289"/>
        <v>0.29249999999999998</v>
      </c>
      <c r="X836" s="1362">
        <f t="shared" si="289"/>
        <v>0.29249999999999998</v>
      </c>
      <c r="Y836" s="1361"/>
      <c r="Z836" s="282"/>
      <c r="AA836" s="282"/>
    </row>
    <row r="837" spans="1:27" s="428" customFormat="1" outlineLevel="2">
      <c r="A837" s="276">
        <f t="shared" si="294"/>
        <v>385</v>
      </c>
      <c r="B837" s="757">
        <f>$B385</f>
        <v>0</v>
      </c>
      <c r="C837" s="560"/>
      <c r="D837" s="429"/>
      <c r="G837" s="1286">
        <f t="shared" si="300"/>
        <v>0</v>
      </c>
      <c r="H837" s="1286">
        <f t="shared" si="300"/>
        <v>0</v>
      </c>
      <c r="I837" s="1286">
        <f t="shared" si="300"/>
        <v>0</v>
      </c>
      <c r="J837" s="1286">
        <f t="shared" si="300"/>
        <v>0</v>
      </c>
      <c r="K837" s="1286">
        <f t="shared" si="300"/>
        <v>0</v>
      </c>
      <c r="L837" s="1286">
        <f t="shared" si="300"/>
        <v>0</v>
      </c>
      <c r="M837" s="1286">
        <f t="shared" si="300"/>
        <v>0</v>
      </c>
      <c r="N837" s="168"/>
      <c r="R837" s="282"/>
      <c r="S837" s="1362">
        <f t="shared" si="285"/>
        <v>0</v>
      </c>
      <c r="T837" s="1362">
        <f t="shared" si="286"/>
        <v>0</v>
      </c>
      <c r="U837" s="1362">
        <f t="shared" si="287"/>
        <v>0</v>
      </c>
      <c r="V837" s="1362">
        <f t="shared" si="288"/>
        <v>0</v>
      </c>
      <c r="W837" s="1362">
        <f t="shared" si="289"/>
        <v>0</v>
      </c>
      <c r="X837" s="1362">
        <f t="shared" si="289"/>
        <v>0</v>
      </c>
      <c r="Y837" s="1361"/>
      <c r="Z837" s="282"/>
      <c r="AA837" s="282"/>
    </row>
    <row r="838" spans="1:27" s="428" customFormat="1" outlineLevel="2">
      <c r="A838" s="276">
        <f t="shared" si="294"/>
        <v>386</v>
      </c>
      <c r="B838" s="757">
        <f>$B386</f>
        <v>0</v>
      </c>
      <c r="C838" s="560"/>
      <c r="D838" s="429"/>
      <c r="G838" s="1286">
        <f t="shared" si="300"/>
        <v>0</v>
      </c>
      <c r="H838" s="1286">
        <f t="shared" si="300"/>
        <v>0</v>
      </c>
      <c r="I838" s="1286">
        <f t="shared" si="300"/>
        <v>0</v>
      </c>
      <c r="J838" s="1286">
        <f t="shared" si="300"/>
        <v>0</v>
      </c>
      <c r="K838" s="1286">
        <f t="shared" si="300"/>
        <v>0</v>
      </c>
      <c r="L838" s="1286">
        <f t="shared" si="300"/>
        <v>0</v>
      </c>
      <c r="M838" s="1286">
        <f t="shared" si="300"/>
        <v>0</v>
      </c>
      <c r="N838" s="168"/>
      <c r="R838" s="282"/>
      <c r="S838" s="1362">
        <f t="shared" si="285"/>
        <v>0</v>
      </c>
      <c r="T838" s="1362">
        <f t="shared" si="286"/>
        <v>0</v>
      </c>
      <c r="U838" s="1362">
        <f t="shared" si="287"/>
        <v>0</v>
      </c>
      <c r="V838" s="1362">
        <f t="shared" si="288"/>
        <v>0</v>
      </c>
      <c r="W838" s="1362">
        <f t="shared" si="289"/>
        <v>0</v>
      </c>
      <c r="X838" s="1362">
        <f t="shared" si="289"/>
        <v>0</v>
      </c>
      <c r="Y838" s="1361"/>
      <c r="Z838" s="282"/>
      <c r="AA838" s="282"/>
    </row>
    <row r="839" spans="1:27" s="428" customFormat="1" outlineLevel="2">
      <c r="A839" s="276">
        <f t="shared" ref="A839:A870" si="301">ROW(A387)</f>
        <v>387</v>
      </c>
      <c r="B839" s="757"/>
      <c r="C839" s="560"/>
      <c r="D839" s="429"/>
      <c r="G839" s="1286"/>
      <c r="H839" s="1286"/>
      <c r="I839" s="1286"/>
      <c r="J839" s="1286"/>
      <c r="K839" s="1286"/>
      <c r="L839" s="1286"/>
      <c r="M839" s="1286"/>
      <c r="N839" s="168"/>
      <c r="R839" s="282"/>
      <c r="S839" s="1362">
        <f t="shared" si="285"/>
        <v>0</v>
      </c>
      <c r="T839" s="1362">
        <f t="shared" si="286"/>
        <v>0</v>
      </c>
      <c r="U839" s="1362">
        <f t="shared" si="287"/>
        <v>0</v>
      </c>
      <c r="V839" s="1362">
        <f t="shared" si="288"/>
        <v>0</v>
      </c>
      <c r="W839" s="1362">
        <f t="shared" si="289"/>
        <v>0</v>
      </c>
      <c r="X839" s="1362">
        <f t="shared" si="289"/>
        <v>0</v>
      </c>
      <c r="Y839" s="1361"/>
      <c r="Z839" s="282"/>
      <c r="AA839" s="282"/>
    </row>
    <row r="840" spans="1:27" s="428" customFormat="1" outlineLevel="2">
      <c r="A840" s="276">
        <f t="shared" si="301"/>
        <v>388</v>
      </c>
      <c r="B840" s="757" t="str">
        <f>$B388</f>
        <v>10th Grade Teacher</v>
      </c>
      <c r="C840" s="560"/>
      <c r="D840" s="429"/>
      <c r="G840" s="1286">
        <f t="shared" ref="G840:M844" si="302">G388*$C$90</f>
        <v>0</v>
      </c>
      <c r="H840" s="1286">
        <f t="shared" si="302"/>
        <v>0</v>
      </c>
      <c r="I840" s="1286">
        <f t="shared" si="302"/>
        <v>0</v>
      </c>
      <c r="J840" s="1286">
        <f t="shared" si="302"/>
        <v>0</v>
      </c>
      <c r="K840" s="1286">
        <f t="shared" si="302"/>
        <v>15182.07575625</v>
      </c>
      <c r="L840" s="1286">
        <f t="shared" si="302"/>
        <v>15637.538028937499</v>
      </c>
      <c r="M840" s="1286">
        <f t="shared" si="302"/>
        <v>16106.664169805623</v>
      </c>
      <c r="N840" s="168"/>
      <c r="R840" s="282"/>
      <c r="S840" s="1362">
        <f t="shared" si="285"/>
        <v>0</v>
      </c>
      <c r="T840" s="1362">
        <f t="shared" si="286"/>
        <v>0</v>
      </c>
      <c r="U840" s="1362">
        <f t="shared" si="287"/>
        <v>0</v>
      </c>
      <c r="V840" s="1362">
        <f t="shared" si="288"/>
        <v>0.29249999999999998</v>
      </c>
      <c r="W840" s="1362">
        <f t="shared" si="289"/>
        <v>0.29249999999999998</v>
      </c>
      <c r="X840" s="1362">
        <f t="shared" si="289"/>
        <v>0.29249999999999998</v>
      </c>
      <c r="Y840" s="1361"/>
      <c r="Z840" s="282"/>
      <c r="AA840" s="282"/>
    </row>
    <row r="841" spans="1:27" s="428" customFormat="1" outlineLevel="2">
      <c r="A841" s="276">
        <f t="shared" si="301"/>
        <v>389</v>
      </c>
      <c r="B841" s="757" t="str">
        <f>$B389</f>
        <v>10th Grade Teacher</v>
      </c>
      <c r="C841" s="560"/>
      <c r="D841" s="429"/>
      <c r="G841" s="1286">
        <f t="shared" si="302"/>
        <v>0</v>
      </c>
      <c r="H841" s="1286">
        <f t="shared" si="302"/>
        <v>0</v>
      </c>
      <c r="I841" s="1286">
        <f t="shared" si="302"/>
        <v>0</v>
      </c>
      <c r="J841" s="1286">
        <f t="shared" si="302"/>
        <v>0</v>
      </c>
      <c r="K841" s="1286">
        <f t="shared" si="302"/>
        <v>15182.07575625</v>
      </c>
      <c r="L841" s="1286">
        <f t="shared" si="302"/>
        <v>15637.538028937499</v>
      </c>
      <c r="M841" s="1286">
        <f t="shared" si="302"/>
        <v>16106.664169805623</v>
      </c>
      <c r="N841" s="168"/>
      <c r="R841" s="282"/>
      <c r="S841" s="1362">
        <f t="shared" si="285"/>
        <v>0</v>
      </c>
      <c r="T841" s="1362">
        <f t="shared" si="286"/>
        <v>0</v>
      </c>
      <c r="U841" s="1362">
        <f t="shared" si="287"/>
        <v>0</v>
      </c>
      <c r="V841" s="1362">
        <f t="shared" si="288"/>
        <v>0.29249999999999998</v>
      </c>
      <c r="W841" s="1362">
        <f t="shared" si="289"/>
        <v>0.29249999999999998</v>
      </c>
      <c r="X841" s="1362">
        <f t="shared" si="289"/>
        <v>0.29249999999999998</v>
      </c>
      <c r="Y841" s="1361"/>
      <c r="Z841" s="282"/>
      <c r="AA841" s="282"/>
    </row>
    <row r="842" spans="1:27" s="428" customFormat="1" outlineLevel="2">
      <c r="A842" s="276">
        <f t="shared" si="301"/>
        <v>390</v>
      </c>
      <c r="B842" s="757" t="str">
        <f>$B390</f>
        <v>10th Grade Teacher</v>
      </c>
      <c r="C842" s="560"/>
      <c r="D842" s="429"/>
      <c r="G842" s="1286">
        <f t="shared" si="302"/>
        <v>0</v>
      </c>
      <c r="H842" s="1286">
        <f t="shared" si="302"/>
        <v>0</v>
      </c>
      <c r="I842" s="1286">
        <f t="shared" si="302"/>
        <v>0</v>
      </c>
      <c r="J842" s="1286">
        <f t="shared" si="302"/>
        <v>0</v>
      </c>
      <c r="K842" s="1286">
        <f t="shared" si="302"/>
        <v>15182.07575625</v>
      </c>
      <c r="L842" s="1286">
        <f t="shared" si="302"/>
        <v>15637.538028937499</v>
      </c>
      <c r="M842" s="1286">
        <f t="shared" si="302"/>
        <v>16106.664169805623</v>
      </c>
      <c r="N842" s="168"/>
      <c r="R842" s="282"/>
      <c r="S842" s="1362">
        <f t="shared" si="285"/>
        <v>0</v>
      </c>
      <c r="T842" s="1362">
        <f t="shared" si="286"/>
        <v>0</v>
      </c>
      <c r="U842" s="1362">
        <f t="shared" si="287"/>
        <v>0</v>
      </c>
      <c r="V842" s="1362">
        <f t="shared" si="288"/>
        <v>0.29249999999999998</v>
      </c>
      <c r="W842" s="1362">
        <f t="shared" si="289"/>
        <v>0.29249999999999998</v>
      </c>
      <c r="X842" s="1362">
        <f t="shared" si="289"/>
        <v>0.29249999999999998</v>
      </c>
      <c r="Y842" s="1361"/>
      <c r="Z842" s="282"/>
      <c r="AA842" s="282"/>
    </row>
    <row r="843" spans="1:27" s="428" customFormat="1" outlineLevel="2">
      <c r="A843" s="276">
        <f t="shared" si="301"/>
        <v>391</v>
      </c>
      <c r="B843" s="757">
        <f>$B391</f>
        <v>0</v>
      </c>
      <c r="C843" s="560"/>
      <c r="D843" s="429"/>
      <c r="G843" s="1286">
        <f t="shared" si="302"/>
        <v>0</v>
      </c>
      <c r="H843" s="1286">
        <f t="shared" si="302"/>
        <v>0</v>
      </c>
      <c r="I843" s="1286">
        <f t="shared" si="302"/>
        <v>0</v>
      </c>
      <c r="J843" s="1286">
        <f t="shared" si="302"/>
        <v>0</v>
      </c>
      <c r="K843" s="1286">
        <f t="shared" si="302"/>
        <v>0</v>
      </c>
      <c r="L843" s="1286">
        <f t="shared" si="302"/>
        <v>0</v>
      </c>
      <c r="M843" s="1286">
        <f t="shared" si="302"/>
        <v>0</v>
      </c>
      <c r="N843" s="168"/>
      <c r="R843" s="282"/>
      <c r="S843" s="1362">
        <f t="shared" si="285"/>
        <v>0</v>
      </c>
      <c r="T843" s="1362">
        <f t="shared" si="286"/>
        <v>0</v>
      </c>
      <c r="U843" s="1362">
        <f t="shared" si="287"/>
        <v>0</v>
      </c>
      <c r="V843" s="1362">
        <f t="shared" si="288"/>
        <v>0</v>
      </c>
      <c r="W843" s="1362">
        <f t="shared" si="289"/>
        <v>0</v>
      </c>
      <c r="X843" s="1362">
        <f t="shared" si="289"/>
        <v>0</v>
      </c>
      <c r="Y843" s="1361"/>
      <c r="Z843" s="282"/>
      <c r="AA843" s="282"/>
    </row>
    <row r="844" spans="1:27" s="428" customFormat="1" outlineLevel="2">
      <c r="A844" s="276">
        <f t="shared" si="301"/>
        <v>392</v>
      </c>
      <c r="B844" s="757">
        <f>$B392</f>
        <v>0</v>
      </c>
      <c r="C844" s="560"/>
      <c r="D844" s="429"/>
      <c r="G844" s="1286">
        <f t="shared" si="302"/>
        <v>0</v>
      </c>
      <c r="H844" s="1286">
        <f t="shared" si="302"/>
        <v>0</v>
      </c>
      <c r="I844" s="1286">
        <f t="shared" si="302"/>
        <v>0</v>
      </c>
      <c r="J844" s="1286">
        <f t="shared" si="302"/>
        <v>0</v>
      </c>
      <c r="K844" s="1286">
        <f t="shared" si="302"/>
        <v>0</v>
      </c>
      <c r="L844" s="1286">
        <f t="shared" si="302"/>
        <v>0</v>
      </c>
      <c r="M844" s="1286">
        <f t="shared" si="302"/>
        <v>0</v>
      </c>
      <c r="N844" s="168"/>
      <c r="R844" s="282"/>
      <c r="S844" s="1362">
        <f t="shared" si="285"/>
        <v>0</v>
      </c>
      <c r="T844" s="1362">
        <f t="shared" si="286"/>
        <v>0</v>
      </c>
      <c r="U844" s="1362">
        <f t="shared" si="287"/>
        <v>0</v>
      </c>
      <c r="V844" s="1362">
        <f t="shared" si="288"/>
        <v>0</v>
      </c>
      <c r="W844" s="1362">
        <f t="shared" si="289"/>
        <v>0</v>
      </c>
      <c r="X844" s="1362">
        <f t="shared" si="289"/>
        <v>0</v>
      </c>
      <c r="Y844" s="1361"/>
      <c r="Z844" s="282"/>
      <c r="AA844" s="282"/>
    </row>
    <row r="845" spans="1:27" s="431" customFormat="1" outlineLevel="2">
      <c r="A845" s="276">
        <f t="shared" si="301"/>
        <v>393</v>
      </c>
      <c r="B845" s="757"/>
      <c r="C845" s="561"/>
      <c r="D845" s="428"/>
      <c r="G845" s="1286"/>
      <c r="H845" s="1286"/>
      <c r="I845" s="1286"/>
      <c r="J845" s="1286"/>
      <c r="K845" s="1286"/>
      <c r="L845" s="1286"/>
      <c r="M845" s="1286"/>
      <c r="N845" s="141"/>
      <c r="R845" s="282"/>
      <c r="S845" s="1362">
        <f t="shared" si="285"/>
        <v>0</v>
      </c>
      <c r="T845" s="1362">
        <f t="shared" si="286"/>
        <v>0</v>
      </c>
      <c r="U845" s="1362">
        <f t="shared" si="287"/>
        <v>0</v>
      </c>
      <c r="V845" s="1362">
        <f t="shared" si="288"/>
        <v>0</v>
      </c>
      <c r="W845" s="1362">
        <f t="shared" si="289"/>
        <v>0</v>
      </c>
      <c r="X845" s="1362">
        <f t="shared" si="289"/>
        <v>0</v>
      </c>
      <c r="Y845" s="1361"/>
      <c r="Z845" s="282"/>
      <c r="AA845" s="282"/>
    </row>
    <row r="846" spans="1:27" s="428" customFormat="1" outlineLevel="2">
      <c r="A846" s="276">
        <f t="shared" si="301"/>
        <v>394</v>
      </c>
      <c r="B846" s="757" t="str">
        <f>$B394</f>
        <v>11th Grade Teacher</v>
      </c>
      <c r="C846" s="560"/>
      <c r="D846" s="429"/>
      <c r="G846" s="1286">
        <f t="shared" ref="G846:M850" si="303">G394*$C$90</f>
        <v>0</v>
      </c>
      <c r="H846" s="1286">
        <f t="shared" si="303"/>
        <v>0</v>
      </c>
      <c r="I846" s="1286">
        <f t="shared" si="303"/>
        <v>0</v>
      </c>
      <c r="J846" s="1286">
        <f t="shared" si="303"/>
        <v>0</v>
      </c>
      <c r="K846" s="1286">
        <f t="shared" si="303"/>
        <v>0</v>
      </c>
      <c r="L846" s="1286">
        <f t="shared" si="303"/>
        <v>15637.538028937499</v>
      </c>
      <c r="M846" s="1286">
        <f t="shared" si="303"/>
        <v>16106.664169805623</v>
      </c>
      <c r="N846" s="168"/>
      <c r="R846" s="282"/>
      <c r="S846" s="1362">
        <f t="shared" si="285"/>
        <v>0</v>
      </c>
      <c r="T846" s="1362">
        <f t="shared" si="286"/>
        <v>0</v>
      </c>
      <c r="U846" s="1362">
        <f t="shared" si="287"/>
        <v>0</v>
      </c>
      <c r="V846" s="1362">
        <f t="shared" si="288"/>
        <v>0</v>
      </c>
      <c r="W846" s="1362">
        <f t="shared" si="289"/>
        <v>0.29249999999999998</v>
      </c>
      <c r="X846" s="1362">
        <f t="shared" si="289"/>
        <v>0.29249999999999998</v>
      </c>
      <c r="Y846" s="1361"/>
      <c r="Z846" s="282"/>
      <c r="AA846" s="282"/>
    </row>
    <row r="847" spans="1:27" s="428" customFormat="1" outlineLevel="2">
      <c r="A847" s="276">
        <f t="shared" si="301"/>
        <v>395</v>
      </c>
      <c r="B847" s="757" t="str">
        <f>$B395</f>
        <v>11th Grade Teacher</v>
      </c>
      <c r="C847" s="560"/>
      <c r="D847" s="429"/>
      <c r="G847" s="1286">
        <f t="shared" si="303"/>
        <v>0</v>
      </c>
      <c r="H847" s="1286">
        <f t="shared" si="303"/>
        <v>0</v>
      </c>
      <c r="I847" s="1286">
        <f t="shared" si="303"/>
        <v>0</v>
      </c>
      <c r="J847" s="1286">
        <f t="shared" si="303"/>
        <v>0</v>
      </c>
      <c r="K847" s="1286">
        <f t="shared" si="303"/>
        <v>0</v>
      </c>
      <c r="L847" s="1286">
        <f t="shared" si="303"/>
        <v>15637.538028937499</v>
      </c>
      <c r="M847" s="1286">
        <f t="shared" si="303"/>
        <v>16106.664169805623</v>
      </c>
      <c r="N847" s="168"/>
      <c r="R847" s="282"/>
      <c r="S847" s="1362">
        <f t="shared" ref="S847:S869" si="304">IFERROR(H847/H395,0)</f>
        <v>0</v>
      </c>
      <c r="T847" s="1362">
        <f t="shared" ref="T847:T869" si="305">IFERROR(I847/I395,0)</f>
        <v>0</v>
      </c>
      <c r="U847" s="1362">
        <f t="shared" ref="U847:U869" si="306">IFERROR(J847/J395,0)</f>
        <v>0</v>
      </c>
      <c r="V847" s="1362">
        <f t="shared" ref="V847:V869" si="307">IFERROR(K847/K395,0)</f>
        <v>0</v>
      </c>
      <c r="W847" s="1362">
        <f t="shared" ref="W847:X869" si="308">IFERROR(L847/L395,0)</f>
        <v>0.29249999999999998</v>
      </c>
      <c r="X847" s="1362">
        <f t="shared" si="308"/>
        <v>0.29249999999999998</v>
      </c>
      <c r="Y847" s="1361"/>
      <c r="Z847" s="282"/>
      <c r="AA847" s="282"/>
    </row>
    <row r="848" spans="1:27" s="428" customFormat="1" outlineLevel="2">
      <c r="A848" s="276">
        <f t="shared" si="301"/>
        <v>396</v>
      </c>
      <c r="B848" s="757" t="str">
        <f>$B396</f>
        <v>11th Grade Teacher</v>
      </c>
      <c r="C848" s="560"/>
      <c r="D848" s="429"/>
      <c r="G848" s="1286">
        <f t="shared" si="303"/>
        <v>0</v>
      </c>
      <c r="H848" s="1286">
        <f t="shared" si="303"/>
        <v>0</v>
      </c>
      <c r="I848" s="1286">
        <f t="shared" si="303"/>
        <v>0</v>
      </c>
      <c r="J848" s="1286">
        <f t="shared" si="303"/>
        <v>0</v>
      </c>
      <c r="K848" s="1286">
        <f t="shared" si="303"/>
        <v>0</v>
      </c>
      <c r="L848" s="1286">
        <f t="shared" si="303"/>
        <v>15637.538028937499</v>
      </c>
      <c r="M848" s="1286">
        <f t="shared" si="303"/>
        <v>16106.664169805623</v>
      </c>
      <c r="N848" s="168"/>
      <c r="R848" s="282"/>
      <c r="S848" s="1362">
        <f t="shared" si="304"/>
        <v>0</v>
      </c>
      <c r="T848" s="1362">
        <f t="shared" si="305"/>
        <v>0</v>
      </c>
      <c r="U848" s="1362">
        <f t="shared" si="306"/>
        <v>0</v>
      </c>
      <c r="V848" s="1362">
        <f t="shared" si="307"/>
        <v>0</v>
      </c>
      <c r="W848" s="1362">
        <f t="shared" si="308"/>
        <v>0.29249999999999998</v>
      </c>
      <c r="X848" s="1362">
        <f t="shared" si="308"/>
        <v>0.29249999999999998</v>
      </c>
      <c r="Y848" s="1361"/>
      <c r="Z848" s="282"/>
      <c r="AA848" s="282"/>
    </row>
    <row r="849" spans="1:27" s="428" customFormat="1" outlineLevel="2">
      <c r="A849" s="276">
        <f t="shared" si="301"/>
        <v>397</v>
      </c>
      <c r="B849" s="757">
        <f>$B397</f>
        <v>0</v>
      </c>
      <c r="C849" s="560"/>
      <c r="D849" s="429"/>
      <c r="G849" s="1286">
        <f t="shared" si="303"/>
        <v>0</v>
      </c>
      <c r="H849" s="1286">
        <f t="shared" si="303"/>
        <v>0</v>
      </c>
      <c r="I849" s="1286">
        <f t="shared" si="303"/>
        <v>0</v>
      </c>
      <c r="J849" s="1286">
        <f t="shared" si="303"/>
        <v>0</v>
      </c>
      <c r="K849" s="1286">
        <f t="shared" si="303"/>
        <v>0</v>
      </c>
      <c r="L849" s="1286">
        <f t="shared" si="303"/>
        <v>0</v>
      </c>
      <c r="M849" s="1286">
        <f t="shared" si="303"/>
        <v>0</v>
      </c>
      <c r="N849" s="168"/>
      <c r="R849" s="282"/>
      <c r="S849" s="1362">
        <f t="shared" si="304"/>
        <v>0</v>
      </c>
      <c r="T849" s="1362">
        <f t="shared" si="305"/>
        <v>0</v>
      </c>
      <c r="U849" s="1362">
        <f t="shared" si="306"/>
        <v>0</v>
      </c>
      <c r="V849" s="1362">
        <f t="shared" si="307"/>
        <v>0</v>
      </c>
      <c r="W849" s="1362">
        <f t="shared" si="308"/>
        <v>0</v>
      </c>
      <c r="X849" s="1362">
        <f t="shared" si="308"/>
        <v>0</v>
      </c>
      <c r="Y849" s="1361"/>
      <c r="Z849" s="282"/>
      <c r="AA849" s="282"/>
    </row>
    <row r="850" spans="1:27" s="428" customFormat="1" outlineLevel="2">
      <c r="A850" s="276">
        <f t="shared" si="301"/>
        <v>398</v>
      </c>
      <c r="B850" s="757">
        <f>$B398</f>
        <v>0</v>
      </c>
      <c r="C850" s="560"/>
      <c r="D850" s="429"/>
      <c r="G850" s="1286">
        <f t="shared" si="303"/>
        <v>0</v>
      </c>
      <c r="H850" s="1286">
        <f t="shared" si="303"/>
        <v>0</v>
      </c>
      <c r="I850" s="1286">
        <f t="shared" si="303"/>
        <v>0</v>
      </c>
      <c r="J850" s="1286">
        <f t="shared" si="303"/>
        <v>0</v>
      </c>
      <c r="K850" s="1286">
        <f t="shared" si="303"/>
        <v>0</v>
      </c>
      <c r="L850" s="1286">
        <f t="shared" si="303"/>
        <v>0</v>
      </c>
      <c r="M850" s="1286">
        <f t="shared" si="303"/>
        <v>0</v>
      </c>
      <c r="N850" s="168"/>
      <c r="R850" s="282"/>
      <c r="S850" s="1362">
        <f t="shared" si="304"/>
        <v>0</v>
      </c>
      <c r="T850" s="1362">
        <f t="shared" si="305"/>
        <v>0</v>
      </c>
      <c r="U850" s="1362">
        <f t="shared" si="306"/>
        <v>0</v>
      </c>
      <c r="V850" s="1362">
        <f t="shared" si="307"/>
        <v>0</v>
      </c>
      <c r="W850" s="1362">
        <f t="shared" si="308"/>
        <v>0</v>
      </c>
      <c r="X850" s="1362">
        <f t="shared" si="308"/>
        <v>0</v>
      </c>
      <c r="Y850" s="1361"/>
      <c r="Z850" s="282"/>
      <c r="AA850" s="282"/>
    </row>
    <row r="851" spans="1:27" s="431" customFormat="1" outlineLevel="2">
      <c r="A851" s="276">
        <f t="shared" si="301"/>
        <v>399</v>
      </c>
      <c r="B851" s="757"/>
      <c r="C851" s="561"/>
      <c r="D851" s="428"/>
      <c r="G851" s="1286"/>
      <c r="H851" s="1286"/>
      <c r="I851" s="1286"/>
      <c r="J851" s="1286"/>
      <c r="K851" s="1286"/>
      <c r="L851" s="1286"/>
      <c r="M851" s="1286"/>
      <c r="N851" s="141"/>
      <c r="R851" s="282"/>
      <c r="S851" s="1362">
        <f t="shared" si="304"/>
        <v>0</v>
      </c>
      <c r="T851" s="1362">
        <f t="shared" si="305"/>
        <v>0</v>
      </c>
      <c r="U851" s="1362">
        <f t="shared" si="306"/>
        <v>0</v>
      </c>
      <c r="V851" s="1362">
        <f t="shared" si="307"/>
        <v>0</v>
      </c>
      <c r="W851" s="1362">
        <f t="shared" si="308"/>
        <v>0</v>
      </c>
      <c r="X851" s="1362">
        <f t="shared" si="308"/>
        <v>0</v>
      </c>
      <c r="Y851" s="1361"/>
      <c r="Z851" s="282"/>
      <c r="AA851" s="282"/>
    </row>
    <row r="852" spans="1:27" s="428" customFormat="1" outlineLevel="2">
      <c r="A852" s="276">
        <f t="shared" si="301"/>
        <v>400</v>
      </c>
      <c r="B852" s="757" t="str">
        <f>$B400</f>
        <v>12th Grade Teacher</v>
      </c>
      <c r="C852" s="560"/>
      <c r="D852" s="429"/>
      <c r="G852" s="1286">
        <f t="shared" ref="G852:M856" si="309">G400*$C$90</f>
        <v>0</v>
      </c>
      <c r="H852" s="1286">
        <f t="shared" si="309"/>
        <v>0</v>
      </c>
      <c r="I852" s="1286">
        <f t="shared" si="309"/>
        <v>0</v>
      </c>
      <c r="J852" s="1286">
        <f t="shared" si="309"/>
        <v>0</v>
      </c>
      <c r="K852" s="1286">
        <f t="shared" si="309"/>
        <v>0</v>
      </c>
      <c r="L852" s="1286">
        <f t="shared" si="309"/>
        <v>0</v>
      </c>
      <c r="M852" s="1286">
        <f t="shared" si="309"/>
        <v>16106.664169805623</v>
      </c>
      <c r="N852" s="168"/>
      <c r="R852" s="282"/>
      <c r="S852" s="1362">
        <f t="shared" si="304"/>
        <v>0</v>
      </c>
      <c r="T852" s="1362">
        <f t="shared" si="305"/>
        <v>0</v>
      </c>
      <c r="U852" s="1362">
        <f t="shared" si="306"/>
        <v>0</v>
      </c>
      <c r="V852" s="1362">
        <f t="shared" si="307"/>
        <v>0</v>
      </c>
      <c r="W852" s="1362">
        <f t="shared" si="308"/>
        <v>0</v>
      </c>
      <c r="X852" s="1362">
        <f t="shared" si="308"/>
        <v>0.29249999999999998</v>
      </c>
      <c r="Y852" s="1361"/>
      <c r="Z852" s="282"/>
      <c r="AA852" s="282"/>
    </row>
    <row r="853" spans="1:27" s="428" customFormat="1" outlineLevel="2">
      <c r="A853" s="276">
        <f t="shared" si="301"/>
        <v>401</v>
      </c>
      <c r="B853" s="757" t="str">
        <f>$B401</f>
        <v>12th Grade Teacher</v>
      </c>
      <c r="C853" s="560"/>
      <c r="D853" s="429"/>
      <c r="G853" s="1286">
        <f t="shared" si="309"/>
        <v>0</v>
      </c>
      <c r="H853" s="1286">
        <f t="shared" si="309"/>
        <v>0</v>
      </c>
      <c r="I853" s="1286">
        <f t="shared" si="309"/>
        <v>0</v>
      </c>
      <c r="J853" s="1286">
        <f t="shared" si="309"/>
        <v>0</v>
      </c>
      <c r="K853" s="1286">
        <f t="shared" si="309"/>
        <v>0</v>
      </c>
      <c r="L853" s="1286">
        <f t="shared" si="309"/>
        <v>0</v>
      </c>
      <c r="M853" s="1286">
        <f t="shared" si="309"/>
        <v>16106.664169805623</v>
      </c>
      <c r="N853" s="168"/>
      <c r="R853" s="282"/>
      <c r="S853" s="1362">
        <f t="shared" si="304"/>
        <v>0</v>
      </c>
      <c r="T853" s="1362">
        <f t="shared" si="305"/>
        <v>0</v>
      </c>
      <c r="U853" s="1362">
        <f t="shared" si="306"/>
        <v>0</v>
      </c>
      <c r="V853" s="1362">
        <f t="shared" si="307"/>
        <v>0</v>
      </c>
      <c r="W853" s="1362">
        <f t="shared" si="308"/>
        <v>0</v>
      </c>
      <c r="X853" s="1362">
        <f t="shared" si="308"/>
        <v>0.29249999999999998</v>
      </c>
      <c r="Y853" s="1361"/>
      <c r="Z853" s="282"/>
      <c r="AA853" s="282"/>
    </row>
    <row r="854" spans="1:27" s="428" customFormat="1" outlineLevel="2">
      <c r="A854" s="276">
        <f t="shared" si="301"/>
        <v>402</v>
      </c>
      <c r="B854" s="757" t="str">
        <f>$B402</f>
        <v>12th Grade Teacher</v>
      </c>
      <c r="C854" s="560"/>
      <c r="D854" s="429"/>
      <c r="G854" s="1286">
        <f t="shared" si="309"/>
        <v>0</v>
      </c>
      <c r="H854" s="1286">
        <f t="shared" si="309"/>
        <v>0</v>
      </c>
      <c r="I854" s="1286">
        <f t="shared" si="309"/>
        <v>0</v>
      </c>
      <c r="J854" s="1286">
        <f t="shared" si="309"/>
        <v>0</v>
      </c>
      <c r="K854" s="1286">
        <f t="shared" si="309"/>
        <v>0</v>
      </c>
      <c r="L854" s="1286">
        <f t="shared" si="309"/>
        <v>0</v>
      </c>
      <c r="M854" s="1286">
        <f t="shared" si="309"/>
        <v>16106.664169805623</v>
      </c>
      <c r="N854" s="168"/>
      <c r="R854" s="282"/>
      <c r="S854" s="1362">
        <f t="shared" si="304"/>
        <v>0</v>
      </c>
      <c r="T854" s="1362">
        <f t="shared" si="305"/>
        <v>0</v>
      </c>
      <c r="U854" s="1362">
        <f t="shared" si="306"/>
        <v>0</v>
      </c>
      <c r="V854" s="1362">
        <f t="shared" si="307"/>
        <v>0</v>
      </c>
      <c r="W854" s="1362">
        <f t="shared" si="308"/>
        <v>0</v>
      </c>
      <c r="X854" s="1362">
        <f t="shared" si="308"/>
        <v>0.29249999999999998</v>
      </c>
      <c r="Y854" s="1361"/>
      <c r="Z854" s="282"/>
      <c r="AA854" s="282"/>
    </row>
    <row r="855" spans="1:27" s="428" customFormat="1" outlineLevel="2">
      <c r="A855" s="276">
        <f t="shared" si="301"/>
        <v>403</v>
      </c>
      <c r="B855" s="757">
        <f>$B403</f>
        <v>0</v>
      </c>
      <c r="C855" s="560"/>
      <c r="D855" s="429"/>
      <c r="G855" s="1286">
        <f t="shared" si="309"/>
        <v>0</v>
      </c>
      <c r="H855" s="1286">
        <f t="shared" si="309"/>
        <v>0</v>
      </c>
      <c r="I855" s="1286">
        <f t="shared" si="309"/>
        <v>0</v>
      </c>
      <c r="J855" s="1286">
        <f t="shared" si="309"/>
        <v>0</v>
      </c>
      <c r="K855" s="1286">
        <f t="shared" si="309"/>
        <v>0</v>
      </c>
      <c r="L855" s="1286">
        <f t="shared" si="309"/>
        <v>0</v>
      </c>
      <c r="M855" s="1286">
        <f t="shared" si="309"/>
        <v>0</v>
      </c>
      <c r="N855" s="168"/>
      <c r="R855" s="282"/>
      <c r="S855" s="1362">
        <f t="shared" si="304"/>
        <v>0</v>
      </c>
      <c r="T855" s="1362">
        <f t="shared" si="305"/>
        <v>0</v>
      </c>
      <c r="U855" s="1362">
        <f t="shared" si="306"/>
        <v>0</v>
      </c>
      <c r="V855" s="1362">
        <f t="shared" si="307"/>
        <v>0</v>
      </c>
      <c r="W855" s="1362">
        <f t="shared" si="308"/>
        <v>0</v>
      </c>
      <c r="X855" s="1362">
        <f t="shared" si="308"/>
        <v>0</v>
      </c>
      <c r="Y855" s="1361"/>
      <c r="Z855" s="282"/>
      <c r="AA855" s="282"/>
    </row>
    <row r="856" spans="1:27" s="428" customFormat="1" outlineLevel="2">
      <c r="A856" s="276">
        <f t="shared" si="301"/>
        <v>404</v>
      </c>
      <c r="B856" s="757">
        <f>$B404</f>
        <v>0</v>
      </c>
      <c r="C856" s="560"/>
      <c r="D856" s="429"/>
      <c r="G856" s="1286">
        <f t="shared" si="309"/>
        <v>0</v>
      </c>
      <c r="H856" s="1286">
        <f t="shared" si="309"/>
        <v>0</v>
      </c>
      <c r="I856" s="1286">
        <f t="shared" si="309"/>
        <v>0</v>
      </c>
      <c r="J856" s="1286">
        <f t="shared" si="309"/>
        <v>0</v>
      </c>
      <c r="K856" s="1286">
        <f t="shared" si="309"/>
        <v>0</v>
      </c>
      <c r="L856" s="1286">
        <f t="shared" si="309"/>
        <v>0</v>
      </c>
      <c r="M856" s="1286">
        <f t="shared" si="309"/>
        <v>0</v>
      </c>
      <c r="N856" s="168"/>
      <c r="R856" s="282"/>
      <c r="S856" s="1362">
        <f t="shared" si="304"/>
        <v>0</v>
      </c>
      <c r="T856" s="1362">
        <f t="shared" si="305"/>
        <v>0</v>
      </c>
      <c r="U856" s="1362">
        <f t="shared" si="306"/>
        <v>0</v>
      </c>
      <c r="V856" s="1362">
        <f t="shared" si="307"/>
        <v>0</v>
      </c>
      <c r="W856" s="1362">
        <f t="shared" si="308"/>
        <v>0</v>
      </c>
      <c r="X856" s="1362">
        <f t="shared" si="308"/>
        <v>0</v>
      </c>
      <c r="Y856" s="1361"/>
      <c r="Z856" s="282"/>
      <c r="AA856" s="282"/>
    </row>
    <row r="857" spans="1:27" s="428" customFormat="1" outlineLevel="2">
      <c r="A857" s="276">
        <f t="shared" si="301"/>
        <v>405</v>
      </c>
      <c r="B857" s="757"/>
      <c r="C857" s="560"/>
      <c r="D857" s="429"/>
      <c r="G857" s="1286"/>
      <c r="H857" s="1286"/>
      <c r="I857" s="1286"/>
      <c r="J857" s="1286"/>
      <c r="K857" s="1286"/>
      <c r="L857" s="1286"/>
      <c r="M857" s="1286"/>
      <c r="N857" s="168"/>
      <c r="R857" s="282"/>
      <c r="S857" s="1362">
        <f t="shared" si="304"/>
        <v>0</v>
      </c>
      <c r="T857" s="1362">
        <f t="shared" si="305"/>
        <v>0</v>
      </c>
      <c r="U857" s="1362">
        <f t="shared" si="306"/>
        <v>0</v>
      </c>
      <c r="V857" s="1362">
        <f t="shared" si="307"/>
        <v>0</v>
      </c>
      <c r="W857" s="1362">
        <f t="shared" si="308"/>
        <v>0</v>
      </c>
      <c r="X857" s="1362">
        <f t="shared" si="308"/>
        <v>0</v>
      </c>
      <c r="Y857" s="1361"/>
      <c r="Z857" s="282"/>
      <c r="AA857" s="282"/>
    </row>
    <row r="858" spans="1:27" s="428" customFormat="1" outlineLevel="2">
      <c r="A858" s="276">
        <f t="shared" si="301"/>
        <v>406</v>
      </c>
      <c r="B858" s="757" t="str">
        <f>$B406</f>
        <v>Instructional Aide</v>
      </c>
      <c r="C858" s="560"/>
      <c r="D858" s="429"/>
      <c r="G858" s="1286">
        <f t="shared" ref="G858:M862" si="310">G406*$C$90</f>
        <v>0</v>
      </c>
      <c r="H858" s="1286">
        <f t="shared" si="310"/>
        <v>8775</v>
      </c>
      <c r="I858" s="1286">
        <f t="shared" si="310"/>
        <v>9038.25</v>
      </c>
      <c r="J858" s="1286">
        <f t="shared" si="310"/>
        <v>9309.3974999999991</v>
      </c>
      <c r="K858" s="1286">
        <f t="shared" si="310"/>
        <v>9588.6794249999984</v>
      </c>
      <c r="L858" s="1286">
        <f t="shared" si="310"/>
        <v>9876.3398077499987</v>
      </c>
      <c r="M858" s="1286">
        <f t="shared" si="310"/>
        <v>10172.630001982498</v>
      </c>
      <c r="N858" s="168"/>
      <c r="R858" s="282"/>
      <c r="S858" s="1362">
        <f t="shared" si="304"/>
        <v>0.29249999999999998</v>
      </c>
      <c r="T858" s="1362">
        <f t="shared" si="305"/>
        <v>0.29249999999999998</v>
      </c>
      <c r="U858" s="1362">
        <f t="shared" si="306"/>
        <v>0.29249999999999998</v>
      </c>
      <c r="V858" s="1362">
        <f t="shared" si="307"/>
        <v>0.29249999999999998</v>
      </c>
      <c r="W858" s="1362">
        <f t="shared" si="308"/>
        <v>0.29249999999999998</v>
      </c>
      <c r="X858" s="1362">
        <f t="shared" si="308"/>
        <v>0.29249999999999998</v>
      </c>
      <c r="Y858" s="1361"/>
      <c r="Z858" s="282"/>
      <c r="AA858" s="282"/>
    </row>
    <row r="859" spans="1:27" s="428" customFormat="1" outlineLevel="2">
      <c r="A859" s="276">
        <f t="shared" si="301"/>
        <v>407</v>
      </c>
      <c r="B859" s="757" t="str">
        <f>$B407</f>
        <v>Instructional Aide</v>
      </c>
      <c r="C859" s="560"/>
      <c r="D859" s="429"/>
      <c r="G859" s="1286">
        <f t="shared" si="310"/>
        <v>0</v>
      </c>
      <c r="H859" s="1286">
        <f t="shared" si="310"/>
        <v>0</v>
      </c>
      <c r="I859" s="1286">
        <f t="shared" si="310"/>
        <v>9038.25</v>
      </c>
      <c r="J859" s="1286">
        <f t="shared" si="310"/>
        <v>9309.3974999999991</v>
      </c>
      <c r="K859" s="1286">
        <f t="shared" si="310"/>
        <v>9588.6794249999984</v>
      </c>
      <c r="L859" s="1286">
        <f t="shared" si="310"/>
        <v>9876.3398077499987</v>
      </c>
      <c r="M859" s="1286">
        <f t="shared" si="310"/>
        <v>10172.630001982498</v>
      </c>
      <c r="N859" s="168"/>
      <c r="R859" s="282"/>
      <c r="S859" s="1362">
        <f t="shared" si="304"/>
        <v>0</v>
      </c>
      <c r="T859" s="1362">
        <f t="shared" si="305"/>
        <v>0.29249999999999998</v>
      </c>
      <c r="U859" s="1362">
        <f t="shared" si="306"/>
        <v>0.29249999999999998</v>
      </c>
      <c r="V859" s="1362">
        <f t="shared" si="307"/>
        <v>0.29249999999999998</v>
      </c>
      <c r="W859" s="1362">
        <f t="shared" si="308"/>
        <v>0.29249999999999998</v>
      </c>
      <c r="X859" s="1362">
        <f t="shared" si="308"/>
        <v>0.29249999999999998</v>
      </c>
      <c r="Y859" s="1361"/>
      <c r="Z859" s="282"/>
      <c r="AA859" s="282"/>
    </row>
    <row r="860" spans="1:27" s="428" customFormat="1" outlineLevel="2">
      <c r="A860" s="276">
        <f t="shared" si="301"/>
        <v>408</v>
      </c>
      <c r="B860" s="757" t="str">
        <f>$B408</f>
        <v>Instructional Aide</v>
      </c>
      <c r="C860" s="560"/>
      <c r="D860" s="429"/>
      <c r="G860" s="1286">
        <f t="shared" si="310"/>
        <v>0</v>
      </c>
      <c r="H860" s="1286">
        <f t="shared" si="310"/>
        <v>0</v>
      </c>
      <c r="I860" s="1286">
        <f t="shared" si="310"/>
        <v>9038.25</v>
      </c>
      <c r="J860" s="1286">
        <f t="shared" si="310"/>
        <v>9309.3974999999991</v>
      </c>
      <c r="K860" s="1286">
        <f t="shared" si="310"/>
        <v>9588.6794249999984</v>
      </c>
      <c r="L860" s="1286">
        <f t="shared" si="310"/>
        <v>9876.3398077499987</v>
      </c>
      <c r="M860" s="1286">
        <f t="shared" si="310"/>
        <v>10172.630001982498</v>
      </c>
      <c r="N860" s="168"/>
      <c r="R860" s="282"/>
      <c r="S860" s="1362">
        <f t="shared" si="304"/>
        <v>0</v>
      </c>
      <c r="T860" s="1362">
        <f t="shared" si="305"/>
        <v>0.29249999999999998</v>
      </c>
      <c r="U860" s="1362">
        <f t="shared" si="306"/>
        <v>0.29249999999999998</v>
      </c>
      <c r="V860" s="1362">
        <f t="shared" si="307"/>
        <v>0.29249999999999998</v>
      </c>
      <c r="W860" s="1362">
        <f t="shared" si="308"/>
        <v>0.29249999999999998</v>
      </c>
      <c r="X860" s="1362">
        <f t="shared" si="308"/>
        <v>0.29249999999999998</v>
      </c>
      <c r="Y860" s="1361"/>
      <c r="Z860" s="282"/>
      <c r="AA860" s="282"/>
    </row>
    <row r="861" spans="1:27" s="428" customFormat="1" outlineLevel="2">
      <c r="A861" s="276">
        <f t="shared" si="301"/>
        <v>409</v>
      </c>
      <c r="B861" s="757" t="str">
        <f>$B409</f>
        <v>Instructional Aide</v>
      </c>
      <c r="C861" s="560"/>
      <c r="D861" s="429"/>
      <c r="G861" s="1286">
        <f t="shared" si="310"/>
        <v>0</v>
      </c>
      <c r="H861" s="1286">
        <f t="shared" si="310"/>
        <v>0</v>
      </c>
      <c r="I861" s="1286">
        <f t="shared" si="310"/>
        <v>0</v>
      </c>
      <c r="J861" s="1286">
        <f t="shared" si="310"/>
        <v>9309.3974999999991</v>
      </c>
      <c r="K861" s="1286">
        <f t="shared" si="310"/>
        <v>9588.6794249999984</v>
      </c>
      <c r="L861" s="1286">
        <f t="shared" si="310"/>
        <v>9876.3398077499987</v>
      </c>
      <c r="M861" s="1286">
        <f t="shared" si="310"/>
        <v>10172.630001982498</v>
      </c>
      <c r="N861" s="168"/>
      <c r="R861" s="282"/>
      <c r="S861" s="1362">
        <f t="shared" si="304"/>
        <v>0</v>
      </c>
      <c r="T861" s="1362">
        <f t="shared" si="305"/>
        <v>0</v>
      </c>
      <c r="U861" s="1362">
        <f t="shared" si="306"/>
        <v>0.29249999999999998</v>
      </c>
      <c r="V861" s="1362">
        <f t="shared" si="307"/>
        <v>0.29249999999999998</v>
      </c>
      <c r="W861" s="1362">
        <f t="shared" si="308"/>
        <v>0.29249999999999998</v>
      </c>
      <c r="X861" s="1362">
        <f t="shared" si="308"/>
        <v>0.29249999999999998</v>
      </c>
      <c r="Y861" s="1361"/>
      <c r="Z861" s="282"/>
      <c r="AA861" s="282"/>
    </row>
    <row r="862" spans="1:27" s="428" customFormat="1" outlineLevel="2">
      <c r="A862" s="276">
        <f t="shared" si="301"/>
        <v>410</v>
      </c>
      <c r="B862" s="757" t="str">
        <f>$B410</f>
        <v>Instructional Aide</v>
      </c>
      <c r="C862" s="560"/>
      <c r="D862" s="429"/>
      <c r="G862" s="1286">
        <f t="shared" si="310"/>
        <v>0</v>
      </c>
      <c r="H862" s="1286">
        <f t="shared" si="310"/>
        <v>0</v>
      </c>
      <c r="I862" s="1286">
        <f t="shared" si="310"/>
        <v>0</v>
      </c>
      <c r="J862" s="1286">
        <f t="shared" si="310"/>
        <v>9309.3974999999991</v>
      </c>
      <c r="K862" s="1286">
        <f t="shared" si="310"/>
        <v>9588.6794249999984</v>
      </c>
      <c r="L862" s="1286">
        <f t="shared" si="310"/>
        <v>9876.3398077499987</v>
      </c>
      <c r="M862" s="1286">
        <f t="shared" si="310"/>
        <v>10172.630001982498</v>
      </c>
      <c r="N862" s="168"/>
      <c r="R862" s="282"/>
      <c r="S862" s="1362">
        <f t="shared" si="304"/>
        <v>0</v>
      </c>
      <c r="T862" s="1362">
        <f t="shared" si="305"/>
        <v>0</v>
      </c>
      <c r="U862" s="1362">
        <f t="shared" si="306"/>
        <v>0.29249999999999998</v>
      </c>
      <c r="V862" s="1362">
        <f t="shared" si="307"/>
        <v>0.29249999999999998</v>
      </c>
      <c r="W862" s="1362">
        <f t="shared" si="308"/>
        <v>0.29249999999999998</v>
      </c>
      <c r="X862" s="1362">
        <f t="shared" si="308"/>
        <v>0.29249999999999998</v>
      </c>
      <c r="Y862" s="1361"/>
      <c r="Z862" s="282"/>
      <c r="AA862" s="282"/>
    </row>
    <row r="863" spans="1:27" s="428" customFormat="1" outlineLevel="2">
      <c r="A863" s="276">
        <f t="shared" si="301"/>
        <v>411</v>
      </c>
      <c r="B863" s="757"/>
      <c r="C863" s="560"/>
      <c r="D863" s="429"/>
      <c r="G863" s="1286"/>
      <c r="H863" s="1286"/>
      <c r="I863" s="1286"/>
      <c r="J863" s="1286"/>
      <c r="K863" s="1286"/>
      <c r="L863" s="1286"/>
      <c r="M863" s="1286"/>
      <c r="N863" s="168"/>
      <c r="R863" s="282"/>
      <c r="S863" s="1362">
        <f t="shared" si="304"/>
        <v>0</v>
      </c>
      <c r="T863" s="1362">
        <f t="shared" si="305"/>
        <v>0</v>
      </c>
      <c r="U863" s="1362">
        <f t="shared" si="306"/>
        <v>0</v>
      </c>
      <c r="V863" s="1362">
        <f t="shared" si="307"/>
        <v>0</v>
      </c>
      <c r="W863" s="1362">
        <f t="shared" si="308"/>
        <v>0</v>
      </c>
      <c r="X863" s="1362">
        <f t="shared" si="308"/>
        <v>0</v>
      </c>
      <c r="Y863" s="1361"/>
      <c r="Z863" s="282"/>
      <c r="AA863" s="282"/>
    </row>
    <row r="864" spans="1:27" s="428" customFormat="1" outlineLevel="2">
      <c r="A864" s="276">
        <f t="shared" si="301"/>
        <v>412</v>
      </c>
      <c r="B864" s="757" t="str">
        <f>$B412</f>
        <v>Instructional Aide</v>
      </c>
      <c r="C864" s="560"/>
      <c r="D864" s="429"/>
      <c r="G864" s="1286">
        <f t="shared" ref="G864:M865" si="311">G412*$C$90</f>
        <v>0</v>
      </c>
      <c r="H864" s="1286">
        <f t="shared" si="311"/>
        <v>0</v>
      </c>
      <c r="I864" s="1286">
        <f t="shared" si="311"/>
        <v>0</v>
      </c>
      <c r="J864" s="1286">
        <f t="shared" si="311"/>
        <v>0</v>
      </c>
      <c r="K864" s="1286">
        <f t="shared" si="311"/>
        <v>9588.6794249999984</v>
      </c>
      <c r="L864" s="1286">
        <f t="shared" si="311"/>
        <v>9876.3398077499987</v>
      </c>
      <c r="M864" s="1286">
        <f t="shared" si="311"/>
        <v>10172.630001982498</v>
      </c>
      <c r="N864" s="168"/>
      <c r="R864" s="282"/>
      <c r="S864" s="1362">
        <f t="shared" si="304"/>
        <v>0</v>
      </c>
      <c r="T864" s="1362">
        <f t="shared" si="305"/>
        <v>0</v>
      </c>
      <c r="U864" s="1362">
        <f t="shared" si="306"/>
        <v>0</v>
      </c>
      <c r="V864" s="1362">
        <f t="shared" si="307"/>
        <v>0.29249999999999998</v>
      </c>
      <c r="W864" s="1362">
        <f t="shared" si="308"/>
        <v>0.29249999999999998</v>
      </c>
      <c r="X864" s="1362">
        <f t="shared" si="308"/>
        <v>0.29249999999999998</v>
      </c>
      <c r="Y864" s="1361"/>
      <c r="Z864" s="282"/>
      <c r="AA864" s="282"/>
    </row>
    <row r="865" spans="1:27" s="428" customFormat="1" outlineLevel="2">
      <c r="A865" s="276">
        <f t="shared" si="301"/>
        <v>413</v>
      </c>
      <c r="B865" s="757" t="str">
        <f>$B413</f>
        <v>Instructional Aide</v>
      </c>
      <c r="C865" s="560"/>
      <c r="D865" s="429"/>
      <c r="G865" s="1286">
        <f t="shared" si="311"/>
        <v>0</v>
      </c>
      <c r="H865" s="1286">
        <f t="shared" si="311"/>
        <v>0</v>
      </c>
      <c r="I865" s="1286">
        <f t="shared" si="311"/>
        <v>0</v>
      </c>
      <c r="J865" s="1286">
        <f t="shared" si="311"/>
        <v>0</v>
      </c>
      <c r="K865" s="1286">
        <f t="shared" si="311"/>
        <v>9588.6794249999984</v>
      </c>
      <c r="L865" s="1286">
        <f t="shared" si="311"/>
        <v>9876.3398077499987</v>
      </c>
      <c r="M865" s="1286">
        <f t="shared" si="311"/>
        <v>10172.630001982498</v>
      </c>
      <c r="N865" s="168"/>
      <c r="R865" s="282"/>
      <c r="S865" s="1362">
        <f t="shared" si="304"/>
        <v>0</v>
      </c>
      <c r="T865" s="1362">
        <f t="shared" si="305"/>
        <v>0</v>
      </c>
      <c r="U865" s="1362">
        <f t="shared" si="306"/>
        <v>0</v>
      </c>
      <c r="V865" s="1362">
        <f t="shared" si="307"/>
        <v>0.29249999999999998</v>
      </c>
      <c r="W865" s="1362">
        <f t="shared" si="308"/>
        <v>0.29249999999999998</v>
      </c>
      <c r="X865" s="1362">
        <f t="shared" si="308"/>
        <v>0.29249999999999998</v>
      </c>
      <c r="Y865" s="1361"/>
      <c r="Z865" s="282"/>
      <c r="AA865" s="282"/>
    </row>
    <row r="866" spans="1:27" s="428" customFormat="1" outlineLevel="2">
      <c r="A866" s="276">
        <f t="shared" si="301"/>
        <v>414</v>
      </c>
      <c r="B866" s="757" t="str">
        <f>$B414</f>
        <v>Instructional Aide</v>
      </c>
      <c r="C866" s="560"/>
      <c r="D866" s="429"/>
      <c r="G866" s="1286">
        <f>G414*$C$90</f>
        <v>0</v>
      </c>
      <c r="H866" s="1286" t="s">
        <v>933</v>
      </c>
      <c r="I866" s="1286">
        <f t="shared" ref="I866:M868" si="312">I414*$C$90</f>
        <v>0</v>
      </c>
      <c r="J866" s="1286">
        <f t="shared" si="312"/>
        <v>0</v>
      </c>
      <c r="K866" s="1286">
        <f t="shared" si="312"/>
        <v>0</v>
      </c>
      <c r="L866" s="1286">
        <f t="shared" si="312"/>
        <v>9876.3398077499987</v>
      </c>
      <c r="M866" s="1286">
        <f t="shared" si="312"/>
        <v>10172.630001982498</v>
      </c>
      <c r="N866" s="168"/>
      <c r="R866" s="282"/>
      <c r="S866" s="1362">
        <f t="shared" si="304"/>
        <v>0</v>
      </c>
      <c r="T866" s="1362">
        <f t="shared" si="305"/>
        <v>0</v>
      </c>
      <c r="U866" s="1362">
        <f t="shared" si="306"/>
        <v>0</v>
      </c>
      <c r="V866" s="1362">
        <f t="shared" si="307"/>
        <v>0</v>
      </c>
      <c r="W866" s="1362">
        <f t="shared" si="308"/>
        <v>0.29249999999999998</v>
      </c>
      <c r="X866" s="1362">
        <f t="shared" si="308"/>
        <v>0.29249999999999998</v>
      </c>
      <c r="Y866" s="1361"/>
      <c r="Z866" s="282"/>
      <c r="AA866" s="282"/>
    </row>
    <row r="867" spans="1:27" s="428" customFormat="1" outlineLevel="2">
      <c r="A867" s="276">
        <f t="shared" si="301"/>
        <v>415</v>
      </c>
      <c r="B867" s="757" t="str">
        <f>$B415</f>
        <v>Instructional Aide</v>
      </c>
      <c r="C867" s="560"/>
      <c r="D867" s="429"/>
      <c r="G867" s="1286">
        <f>G415*$C$90</f>
        <v>0</v>
      </c>
      <c r="H867" s="1286">
        <f>H415*$C$90</f>
        <v>0</v>
      </c>
      <c r="I867" s="1286">
        <f t="shared" si="312"/>
        <v>0</v>
      </c>
      <c r="J867" s="1286">
        <f t="shared" si="312"/>
        <v>0</v>
      </c>
      <c r="K867" s="1286">
        <f t="shared" si="312"/>
        <v>0</v>
      </c>
      <c r="L867" s="1286">
        <f t="shared" si="312"/>
        <v>9876.3398077499987</v>
      </c>
      <c r="M867" s="1286">
        <f t="shared" si="312"/>
        <v>10172.630001982498</v>
      </c>
      <c r="N867" s="168"/>
      <c r="R867" s="282"/>
      <c r="S867" s="1362">
        <f t="shared" si="304"/>
        <v>0</v>
      </c>
      <c r="T867" s="1362">
        <f t="shared" si="305"/>
        <v>0</v>
      </c>
      <c r="U867" s="1362">
        <f t="shared" si="306"/>
        <v>0</v>
      </c>
      <c r="V867" s="1362">
        <f t="shared" si="307"/>
        <v>0</v>
      </c>
      <c r="W867" s="1362">
        <f t="shared" si="308"/>
        <v>0.29249999999999998</v>
      </c>
      <c r="X867" s="1362">
        <f t="shared" si="308"/>
        <v>0.29249999999999998</v>
      </c>
      <c r="Y867" s="1361"/>
      <c r="Z867" s="282"/>
      <c r="AA867" s="282"/>
    </row>
    <row r="868" spans="1:27" s="428" customFormat="1" outlineLevel="2">
      <c r="A868" s="276">
        <f t="shared" si="301"/>
        <v>416</v>
      </c>
      <c r="B868" s="757" t="str">
        <f>$B416</f>
        <v>Instructional Aide</v>
      </c>
      <c r="C868" s="560"/>
      <c r="D868" s="429"/>
      <c r="G868" s="1286">
        <f>G416*$C$90</f>
        <v>0</v>
      </c>
      <c r="H868" s="1286">
        <f>H416*$C$90</f>
        <v>0</v>
      </c>
      <c r="I868" s="1286">
        <f t="shared" si="312"/>
        <v>0</v>
      </c>
      <c r="J868" s="1286">
        <f t="shared" si="312"/>
        <v>0</v>
      </c>
      <c r="K868" s="1286">
        <f t="shared" si="312"/>
        <v>0</v>
      </c>
      <c r="L868" s="1286">
        <f t="shared" si="312"/>
        <v>0</v>
      </c>
      <c r="M868" s="1286">
        <f t="shared" si="312"/>
        <v>10172.630001982498</v>
      </c>
      <c r="N868" s="168"/>
      <c r="R868" s="282"/>
      <c r="S868" s="1362">
        <f t="shared" si="304"/>
        <v>0</v>
      </c>
      <c r="T868" s="1362">
        <f t="shared" si="305"/>
        <v>0</v>
      </c>
      <c r="U868" s="1362">
        <f t="shared" si="306"/>
        <v>0</v>
      </c>
      <c r="V868" s="1362">
        <f t="shared" si="307"/>
        <v>0</v>
      </c>
      <c r="W868" s="1362">
        <f t="shared" si="308"/>
        <v>0</v>
      </c>
      <c r="X868" s="1362">
        <f t="shared" si="308"/>
        <v>0.29249999999999998</v>
      </c>
      <c r="Y868" s="1361"/>
      <c r="Z868" s="282"/>
      <c r="AA868" s="282"/>
    </row>
    <row r="869" spans="1:27" s="431" customFormat="1" outlineLevel="2">
      <c r="A869" s="276">
        <f t="shared" si="301"/>
        <v>417</v>
      </c>
      <c r="B869" s="428"/>
      <c r="C869" s="561"/>
      <c r="D869" s="428"/>
      <c r="G869" s="1286"/>
      <c r="H869" s="1286"/>
      <c r="I869" s="1286"/>
      <c r="J869" s="1286"/>
      <c r="K869" s="1286"/>
      <c r="L869" s="1286"/>
      <c r="M869" s="1286"/>
      <c r="N869" s="141"/>
      <c r="R869" s="282"/>
      <c r="S869" s="1362">
        <f t="shared" si="304"/>
        <v>0</v>
      </c>
      <c r="T869" s="1362">
        <f t="shared" si="305"/>
        <v>0</v>
      </c>
      <c r="U869" s="1362">
        <f t="shared" si="306"/>
        <v>0</v>
      </c>
      <c r="V869" s="1362">
        <f t="shared" si="307"/>
        <v>0</v>
      </c>
      <c r="W869" s="1362">
        <f t="shared" si="308"/>
        <v>0</v>
      </c>
      <c r="X869" s="1362">
        <f t="shared" si="308"/>
        <v>0</v>
      </c>
      <c r="Y869" s="1361"/>
      <c r="Z869" s="282"/>
      <c r="AA869" s="282"/>
    </row>
    <row r="870" spans="1:27" s="431" customFormat="1" outlineLevel="1">
      <c r="A870" s="276">
        <f t="shared" si="301"/>
        <v>418</v>
      </c>
      <c r="B870" s="700" t="s">
        <v>168</v>
      </c>
      <c r="C870" s="732"/>
      <c r="D870" s="700"/>
      <c r="E870" s="749"/>
      <c r="F870" s="749"/>
      <c r="G870" s="1287">
        <f t="shared" ref="G870:M870" si="313">SUM(G775:G868)</f>
        <v>0</v>
      </c>
      <c r="H870" s="1287">
        <f t="shared" si="313"/>
        <v>189393.75</v>
      </c>
      <c r="I870" s="1287">
        <f t="shared" si="313"/>
        <v>270394.3125</v>
      </c>
      <c r="J870" s="1287">
        <f t="shared" si="313"/>
        <v>370824.33375000011</v>
      </c>
      <c r="K870" s="1287">
        <f t="shared" si="313"/>
        <v>477036.80139375001</v>
      </c>
      <c r="L870" s="1287">
        <f t="shared" si="313"/>
        <v>589288.27519574936</v>
      </c>
      <c r="M870" s="1287">
        <f t="shared" si="313"/>
        <v>729886.20264224382</v>
      </c>
      <c r="N870" s="141"/>
      <c r="R870" s="282"/>
      <c r="S870" s="1346">
        <f>H870/H418</f>
        <v>0.29249999999999998</v>
      </c>
      <c r="T870" s="1346">
        <f t="shared" ref="T870:X870" si="314">I870/I418</f>
        <v>0.29249999999999998</v>
      </c>
      <c r="U870" s="1346">
        <f t="shared" si="314"/>
        <v>0.29250000000000009</v>
      </c>
      <c r="V870" s="1346">
        <f t="shared" si="314"/>
        <v>0.29250000000000004</v>
      </c>
      <c r="W870" s="1346">
        <f t="shared" si="314"/>
        <v>0.29249999999999993</v>
      </c>
      <c r="X870" s="1346">
        <f t="shared" si="314"/>
        <v>0.29249999999999943</v>
      </c>
      <c r="Y870" s="282"/>
      <c r="Z870" s="282"/>
      <c r="AA870" s="282"/>
    </row>
    <row r="871" spans="1:27" s="428" customFormat="1" outlineLevel="1">
      <c r="A871" s="276">
        <f t="shared" ref="A871:A902" si="315">ROW(A419)</f>
        <v>419</v>
      </c>
      <c r="C871" s="560"/>
      <c r="D871" s="429"/>
      <c r="G871" s="168"/>
      <c r="H871" s="1051"/>
      <c r="I871" s="1051"/>
      <c r="J871" s="1051"/>
      <c r="K871" s="1051"/>
      <c r="L871" s="1051"/>
      <c r="M871" s="1051"/>
      <c r="N871" s="168"/>
      <c r="R871" s="282"/>
      <c r="S871" s="427">
        <f>+H870/0.14625</f>
        <v>1295000</v>
      </c>
      <c r="T871" s="427">
        <f>+I870/0.14625</f>
        <v>1848850</v>
      </c>
      <c r="U871" s="427">
        <f t="shared" ref="U871:X871" si="316">+J870/0.14625</f>
        <v>2535551.0000000009</v>
      </c>
      <c r="V871" s="427">
        <f t="shared" si="316"/>
        <v>3261790.0950000002</v>
      </c>
      <c r="W871" s="427">
        <f t="shared" si="316"/>
        <v>4029321.5397999957</v>
      </c>
      <c r="X871" s="427">
        <f t="shared" si="316"/>
        <v>4990674.8898614962</v>
      </c>
      <c r="Y871" s="282"/>
      <c r="Z871" s="282"/>
      <c r="AA871" s="282"/>
    </row>
    <row r="872" spans="1:27" s="428" customFormat="1" outlineLevel="1">
      <c r="A872" s="276">
        <f t="shared" si="315"/>
        <v>420</v>
      </c>
      <c r="C872" s="560"/>
      <c r="D872" s="429"/>
      <c r="G872" s="168"/>
      <c r="H872" s="1051"/>
      <c r="I872" s="1051"/>
      <c r="J872" s="1051"/>
      <c r="K872" s="1051"/>
      <c r="L872" s="1051"/>
      <c r="M872" s="1051"/>
      <c r="N872" s="168"/>
      <c r="R872" s="282"/>
      <c r="S872" s="427">
        <f>+H418-S871</f>
        <v>-647500</v>
      </c>
      <c r="T872" s="427">
        <f>+I418-T871</f>
        <v>-924425</v>
      </c>
      <c r="U872" s="427">
        <f>+J418-U871</f>
        <v>-1267775.5000000009</v>
      </c>
      <c r="V872" s="427">
        <f t="shared" ref="V872:X872" si="317">+K418-V871</f>
        <v>-1630895.0475000003</v>
      </c>
      <c r="W872" s="427">
        <f t="shared" si="317"/>
        <v>-2014660.7698999974</v>
      </c>
      <c r="X872" s="427">
        <f t="shared" si="317"/>
        <v>-2495337.444930743</v>
      </c>
      <c r="Y872" s="282"/>
      <c r="Z872" s="282"/>
      <c r="AA872" s="282"/>
    </row>
    <row r="873" spans="1:27" s="428" customFormat="1" outlineLevel="1">
      <c r="A873" s="276">
        <f t="shared" si="315"/>
        <v>421</v>
      </c>
      <c r="B873" s="747" t="s">
        <v>729</v>
      </c>
      <c r="C873" s="748"/>
      <c r="D873" s="747"/>
      <c r="E873" s="702"/>
      <c r="F873" s="702"/>
      <c r="G873" s="1288">
        <f>G870+G772+G736</f>
        <v>0</v>
      </c>
      <c r="H873" s="1288">
        <f>H870+H772+H736+H748</f>
        <v>259593.75</v>
      </c>
      <c r="I873" s="1288">
        <f t="shared" ref="I873:M873" si="318">I870+I772+I736+I748</f>
        <v>402955.3125</v>
      </c>
      <c r="J873" s="1288">
        <f t="shared" si="318"/>
        <v>555460.71750000014</v>
      </c>
      <c r="K873" s="1288">
        <f t="shared" si="318"/>
        <v>703968.88111875008</v>
      </c>
      <c r="L873" s="1288">
        <f t="shared" si="318"/>
        <v>864179.7331781243</v>
      </c>
      <c r="M873" s="1288">
        <f t="shared" si="318"/>
        <v>1068973.8693749937</v>
      </c>
      <c r="N873" s="168"/>
      <c r="R873" s="282"/>
      <c r="S873" s="1346">
        <f>+H873/H421</f>
        <v>0.26998829953198128</v>
      </c>
      <c r="T873" s="1346">
        <f t="shared" ref="T873:X873" si="319">+I873/I421</f>
        <v>0.27716524973432516</v>
      </c>
      <c r="U873" s="1346">
        <f t="shared" si="319"/>
        <v>0.2758561643835617</v>
      </c>
      <c r="V873" s="1346">
        <f t="shared" si="319"/>
        <v>0.2788276347111015</v>
      </c>
      <c r="W873" s="1346">
        <f t="shared" si="319"/>
        <v>0.28094127332601532</v>
      </c>
      <c r="X873" s="1346">
        <f t="shared" si="319"/>
        <v>0.28281130194755361</v>
      </c>
      <c r="Y873" s="282"/>
      <c r="Z873" s="282"/>
      <c r="AA873" s="282"/>
    </row>
    <row r="874" spans="1:27" s="428" customFormat="1" outlineLevel="1">
      <c r="A874" s="276">
        <f t="shared" si="315"/>
        <v>422</v>
      </c>
      <c r="C874" s="560"/>
      <c r="D874" s="429"/>
      <c r="G874" s="168"/>
      <c r="H874" s="1051"/>
      <c r="I874" s="1051"/>
      <c r="J874" s="1051"/>
      <c r="K874" s="1051"/>
      <c r="L874" s="1051"/>
      <c r="M874" s="1051"/>
      <c r="N874" s="168"/>
      <c r="R874" s="282"/>
      <c r="S874" s="533">
        <f>0.14625*H421</f>
        <v>140619.375</v>
      </c>
      <c r="T874" s="533">
        <f t="shared" ref="T874:X874" si="320">0.14625*I421</f>
        <v>212624.83124999999</v>
      </c>
      <c r="U874" s="533">
        <f t="shared" si="320"/>
        <v>294487.27424999996</v>
      </c>
      <c r="V874" s="533">
        <f t="shared" si="320"/>
        <v>369244.06352437497</v>
      </c>
      <c r="W874" s="533">
        <f t="shared" si="320"/>
        <v>449867.2782430122</v>
      </c>
      <c r="X874" s="533">
        <f t="shared" si="320"/>
        <v>552797.66869106621</v>
      </c>
      <c r="Y874" s="533"/>
      <c r="Z874" s="282"/>
      <c r="AA874" s="282"/>
    </row>
    <row r="875" spans="1:27" s="428" customFormat="1" outlineLevel="2">
      <c r="A875" s="276">
        <f t="shared" si="315"/>
        <v>423</v>
      </c>
      <c r="B875" s="1353" t="s">
        <v>730</v>
      </c>
      <c r="C875" s="1376"/>
      <c r="D875" s="1377"/>
      <c r="E875" s="1355"/>
      <c r="F875" s="1355"/>
      <c r="G875" s="1378"/>
      <c r="H875" s="1378"/>
      <c r="I875" s="1378"/>
      <c r="J875" s="1378"/>
      <c r="K875" s="1378"/>
      <c r="L875" s="1378"/>
      <c r="M875" s="1378"/>
      <c r="N875" s="168"/>
      <c r="R875" s="282"/>
      <c r="S875" s="533">
        <f t="shared" ref="S875:X875" si="321">+H873-S874</f>
        <v>118974.375</v>
      </c>
      <c r="T875" s="533">
        <f t="shared" si="321"/>
        <v>190330.48125000001</v>
      </c>
      <c r="U875" s="533">
        <f t="shared" si="321"/>
        <v>260973.44325000019</v>
      </c>
      <c r="V875" s="533">
        <f t="shared" si="321"/>
        <v>334724.81759437511</v>
      </c>
      <c r="W875" s="533">
        <f t="shared" si="321"/>
        <v>414312.45493511209</v>
      </c>
      <c r="X875" s="533">
        <f t="shared" si="321"/>
        <v>516176.20068392751</v>
      </c>
      <c r="Y875" s="533"/>
      <c r="Z875" s="282"/>
      <c r="AA875" s="282"/>
    </row>
    <row r="876" spans="1:27" s="428" customFormat="1" outlineLevel="2">
      <c r="A876" s="276">
        <f t="shared" si="315"/>
        <v>424</v>
      </c>
      <c r="C876" s="560"/>
      <c r="D876" s="429"/>
      <c r="G876" s="1051"/>
      <c r="H876" s="1051"/>
      <c r="I876" s="1051"/>
      <c r="J876" s="1051"/>
      <c r="K876" s="1051"/>
      <c r="L876" s="1051"/>
      <c r="M876" s="1051"/>
      <c r="N876" s="168"/>
      <c r="R876" s="282"/>
      <c r="S876" s="533">
        <f>+S875/$S$873</f>
        <v>440664.92957746476</v>
      </c>
      <c r="T876" s="533">
        <f>+T875/$S$873</f>
        <v>704958.25774647889</v>
      </c>
      <c r="U876" s="533">
        <f t="shared" ref="U876:X876" si="322">+U875/$S$873</f>
        <v>966610.19645070494</v>
      </c>
      <c r="V876" s="533">
        <f t="shared" si="322"/>
        <v>1239775.2723900005</v>
      </c>
      <c r="W876" s="533">
        <f t="shared" si="322"/>
        <v>1534557.073966959</v>
      </c>
      <c r="X876" s="533">
        <f t="shared" si="322"/>
        <v>1911846.556234872</v>
      </c>
      <c r="Y876" s="533"/>
      <c r="Z876" s="282"/>
      <c r="AA876" s="282"/>
    </row>
    <row r="877" spans="1:27" s="431" customFormat="1" outlineLevel="2">
      <c r="A877" s="276">
        <f t="shared" si="315"/>
        <v>425</v>
      </c>
      <c r="B877" s="753" t="str">
        <f>$B$113</f>
        <v>Administrators</v>
      </c>
      <c r="C877" s="759"/>
      <c r="D877" s="756"/>
      <c r="E877" s="760"/>
      <c r="F877" s="760"/>
      <c r="G877" s="1291"/>
      <c r="H877" s="1291"/>
      <c r="I877" s="1291"/>
      <c r="J877" s="1291"/>
      <c r="K877" s="1291"/>
      <c r="L877" s="1291"/>
      <c r="M877" s="1291"/>
      <c r="N877" s="141"/>
      <c r="R877" s="282"/>
      <c r="S877" s="282"/>
      <c r="T877" s="282"/>
      <c r="U877" s="282"/>
      <c r="V877" s="282"/>
      <c r="W877" s="282"/>
      <c r="X877" s="282"/>
      <c r="Y877" s="282"/>
      <c r="Z877" s="282"/>
      <c r="AA877" s="282"/>
    </row>
    <row r="878" spans="1:27" s="431" customFormat="1" outlineLevel="2">
      <c r="A878" s="276">
        <f t="shared" si="315"/>
        <v>426</v>
      </c>
      <c r="B878" s="428" t="str">
        <f>$B$114</f>
        <v>Executive Director</v>
      </c>
      <c r="C878" s="561"/>
      <c r="D878" s="428"/>
      <c r="G878" s="1286">
        <f t="shared" ref="G878:M882" si="323">G273*$C$92</f>
        <v>0</v>
      </c>
      <c r="H878" s="1286">
        <f t="shared" si="323"/>
        <v>900</v>
      </c>
      <c r="I878" s="1286">
        <f t="shared" si="323"/>
        <v>927</v>
      </c>
      <c r="J878" s="1286">
        <f t="shared" si="323"/>
        <v>954.81000000000006</v>
      </c>
      <c r="K878" s="1286">
        <f t="shared" si="323"/>
        <v>983.4543000000001</v>
      </c>
      <c r="L878" s="1286">
        <f t="shared" si="323"/>
        <v>1012.9579289999999</v>
      </c>
      <c r="M878" s="1286">
        <f t="shared" si="323"/>
        <v>1043.3466668699998</v>
      </c>
      <c r="N878" s="141"/>
      <c r="R878" s="282"/>
      <c r="S878" s="282"/>
      <c r="T878" s="282"/>
      <c r="U878" s="282"/>
      <c r="V878" s="282"/>
      <c r="W878" s="282"/>
      <c r="X878" s="282"/>
      <c r="Y878" s="282"/>
      <c r="Z878" s="282"/>
      <c r="AA878" s="282"/>
    </row>
    <row r="879" spans="1:27" s="431" customFormat="1" outlineLevel="2">
      <c r="A879" s="276">
        <f t="shared" si="315"/>
        <v>427</v>
      </c>
      <c r="B879" s="428" t="str">
        <f>$B$115</f>
        <v>Director of Data, Instruction, Asses.</v>
      </c>
      <c r="C879" s="561"/>
      <c r="D879" s="428"/>
      <c r="G879" s="1286">
        <f t="shared" si="323"/>
        <v>0</v>
      </c>
      <c r="H879" s="1286">
        <f t="shared" si="323"/>
        <v>0</v>
      </c>
      <c r="I879" s="1286">
        <f t="shared" si="323"/>
        <v>721</v>
      </c>
      <c r="J879" s="1286">
        <f t="shared" si="323"/>
        <v>742.63</v>
      </c>
      <c r="K879" s="1286">
        <f t="shared" si="323"/>
        <v>764.90890000000002</v>
      </c>
      <c r="L879" s="1286">
        <f t="shared" si="323"/>
        <v>787.85616700000003</v>
      </c>
      <c r="M879" s="1286">
        <f t="shared" si="323"/>
        <v>811.49185200999989</v>
      </c>
      <c r="N879" s="141"/>
      <c r="R879" s="282"/>
      <c r="S879" s="282"/>
      <c r="T879" s="282"/>
      <c r="U879" s="282"/>
      <c r="V879" s="282"/>
      <c r="W879" s="282"/>
      <c r="X879" s="282"/>
      <c r="Y879" s="282"/>
      <c r="Z879" s="282"/>
      <c r="AA879" s="282"/>
    </row>
    <row r="880" spans="1:27" s="431" customFormat="1" outlineLevel="2">
      <c r="A880" s="276">
        <f t="shared" si="315"/>
        <v>428</v>
      </c>
      <c r="B880" s="428" t="str">
        <f>$B$116</f>
        <v>Director of Data, Instruction, Asses.</v>
      </c>
      <c r="C880" s="561"/>
      <c r="D880" s="428"/>
      <c r="G880" s="1286">
        <f t="shared" si="323"/>
        <v>0</v>
      </c>
      <c r="H880" s="1286">
        <f t="shared" si="323"/>
        <v>0</v>
      </c>
      <c r="I880" s="1286">
        <f t="shared" si="323"/>
        <v>0</v>
      </c>
      <c r="J880" s="1286">
        <f t="shared" si="323"/>
        <v>0</v>
      </c>
      <c r="K880" s="1286">
        <f t="shared" si="323"/>
        <v>764.90890000000002</v>
      </c>
      <c r="L880" s="1286">
        <f t="shared" si="323"/>
        <v>787.85616700000003</v>
      </c>
      <c r="M880" s="1286">
        <f t="shared" si="323"/>
        <v>811.49185200999989</v>
      </c>
      <c r="N880" s="141"/>
      <c r="R880" s="282"/>
      <c r="S880" s="282"/>
      <c r="T880" s="282"/>
      <c r="U880" s="282"/>
      <c r="V880" s="282"/>
      <c r="W880" s="282"/>
      <c r="X880" s="282"/>
      <c r="Y880" s="282"/>
      <c r="Z880" s="282"/>
      <c r="AA880" s="282"/>
    </row>
    <row r="881" spans="1:27" s="431" customFormat="1" outlineLevel="2">
      <c r="A881" s="276">
        <f t="shared" si="315"/>
        <v>429</v>
      </c>
      <c r="B881" s="428" t="str">
        <f>$B$117</f>
        <v>Director of Data, Instruction, Asses.</v>
      </c>
      <c r="C881" s="561"/>
      <c r="D881" s="428"/>
      <c r="G881" s="1286">
        <f t="shared" si="323"/>
        <v>0</v>
      </c>
      <c r="H881" s="1286">
        <f t="shared" si="323"/>
        <v>0</v>
      </c>
      <c r="I881" s="1286">
        <f t="shared" si="323"/>
        <v>0</v>
      </c>
      <c r="J881" s="1286">
        <f t="shared" si="323"/>
        <v>0</v>
      </c>
      <c r="K881" s="1286">
        <f t="shared" si="323"/>
        <v>0</v>
      </c>
      <c r="L881" s="1286">
        <f t="shared" si="323"/>
        <v>0</v>
      </c>
      <c r="M881" s="1286">
        <f t="shared" si="323"/>
        <v>811.49185200999989</v>
      </c>
      <c r="N881" s="141"/>
      <c r="R881" s="282"/>
      <c r="S881" s="282"/>
      <c r="T881" s="282"/>
      <c r="U881" s="282"/>
      <c r="V881" s="282"/>
      <c r="W881" s="282"/>
      <c r="X881" s="282"/>
      <c r="Y881" s="282"/>
      <c r="Z881" s="282"/>
      <c r="AA881" s="282"/>
    </row>
    <row r="882" spans="1:27" s="431" customFormat="1" outlineLevel="2">
      <c r="A882" s="276">
        <f t="shared" si="315"/>
        <v>430</v>
      </c>
      <c r="B882" s="428" t="str">
        <f>$B$118</f>
        <v>Superintendent</v>
      </c>
      <c r="C882" s="561"/>
      <c r="D882" s="428"/>
      <c r="G882" s="1286">
        <f t="shared" si="323"/>
        <v>0</v>
      </c>
      <c r="H882" s="1286">
        <f t="shared" si="323"/>
        <v>0</v>
      </c>
      <c r="I882" s="1286">
        <f t="shared" si="323"/>
        <v>0</v>
      </c>
      <c r="J882" s="1286">
        <f t="shared" si="323"/>
        <v>0</v>
      </c>
      <c r="K882" s="1286">
        <f t="shared" si="323"/>
        <v>0</v>
      </c>
      <c r="L882" s="1286">
        <f t="shared" si="323"/>
        <v>900.40704799999992</v>
      </c>
      <c r="M882" s="1286">
        <f t="shared" si="323"/>
        <v>927.41925943999991</v>
      </c>
      <c r="N882" s="141"/>
      <c r="R882" s="282"/>
      <c r="S882" s="282"/>
      <c r="T882" s="282"/>
      <c r="U882" s="282"/>
      <c r="V882" s="282"/>
      <c r="W882" s="282"/>
      <c r="X882" s="282"/>
      <c r="Y882" s="282"/>
      <c r="Z882" s="282"/>
      <c r="AA882" s="282"/>
    </row>
    <row r="883" spans="1:27" s="431" customFormat="1" outlineLevel="2">
      <c r="A883" s="276">
        <f t="shared" si="315"/>
        <v>431</v>
      </c>
      <c r="B883" s="428"/>
      <c r="C883" s="561"/>
      <c r="D883" s="428"/>
      <c r="G883" s="1286"/>
      <c r="H883" s="1286"/>
      <c r="I883" s="1286"/>
      <c r="J883" s="1286"/>
      <c r="K883" s="1286"/>
      <c r="L883" s="1286"/>
      <c r="M883" s="1286"/>
      <c r="N883" s="141"/>
      <c r="R883" s="282"/>
      <c r="S883" s="282"/>
      <c r="T883" s="282"/>
      <c r="U883" s="282"/>
      <c r="V883" s="282"/>
      <c r="W883" s="282"/>
      <c r="X883" s="282"/>
      <c r="Y883" s="282"/>
      <c r="Z883" s="282"/>
      <c r="AA883" s="282"/>
    </row>
    <row r="884" spans="1:27" s="431" customFormat="1" outlineLevel="2">
      <c r="A884" s="276">
        <f t="shared" si="315"/>
        <v>432</v>
      </c>
      <c r="B884" s="753" t="str">
        <f t="shared" ref="B884:B886" si="324">$B279</f>
        <v>Office Staff</v>
      </c>
      <c r="C884" s="759"/>
      <c r="D884" s="756"/>
      <c r="E884" s="760"/>
      <c r="F884" s="760"/>
      <c r="G884" s="1291"/>
      <c r="H884" s="1291"/>
      <c r="I884" s="1291"/>
      <c r="J884" s="1291"/>
      <c r="K884" s="1291"/>
      <c r="L884" s="1291"/>
      <c r="M884" s="1291"/>
      <c r="N884" s="141"/>
      <c r="R884" s="282"/>
      <c r="S884" s="282"/>
      <c r="T884" s="282"/>
      <c r="U884" s="282"/>
      <c r="V884" s="282"/>
      <c r="W884" s="282"/>
      <c r="X884" s="282"/>
      <c r="Y884" s="282"/>
      <c r="Z884" s="282"/>
      <c r="AA884" s="282"/>
    </row>
    <row r="885" spans="1:27" s="431" customFormat="1" outlineLevel="2">
      <c r="A885" s="276">
        <f t="shared" si="315"/>
        <v>433</v>
      </c>
      <c r="B885" s="428" t="str">
        <f t="shared" si="324"/>
        <v>Office Manager</v>
      </c>
      <c r="C885" s="561"/>
      <c r="D885" s="428"/>
      <c r="G885" s="1286">
        <f t="shared" ref="G885:M887" si="325">G280*$C$92</f>
        <v>0</v>
      </c>
      <c r="H885" s="1286">
        <f t="shared" si="325"/>
        <v>400</v>
      </c>
      <c r="I885" s="1286">
        <f t="shared" si="325"/>
        <v>412</v>
      </c>
      <c r="J885" s="1286">
        <f t="shared" si="325"/>
        <v>424.36</v>
      </c>
      <c r="K885" s="1286">
        <f t="shared" si="325"/>
        <v>437.0908</v>
      </c>
      <c r="L885" s="1286">
        <f t="shared" si="325"/>
        <v>450.20352399999996</v>
      </c>
      <c r="M885" s="1286">
        <f t="shared" si="325"/>
        <v>463.70962971999995</v>
      </c>
      <c r="N885" s="141"/>
      <c r="R885" s="282"/>
      <c r="S885" s="282"/>
      <c r="T885" s="282"/>
      <c r="U885" s="282"/>
      <c r="V885" s="282"/>
      <c r="W885" s="282"/>
      <c r="X885" s="282"/>
      <c r="Y885" s="282"/>
      <c r="Z885" s="282"/>
      <c r="AA885" s="282"/>
    </row>
    <row r="886" spans="1:27" s="431" customFormat="1" outlineLevel="2">
      <c r="A886" s="276">
        <f t="shared" si="315"/>
        <v>434</v>
      </c>
      <c r="B886" s="428" t="str">
        <f t="shared" si="324"/>
        <v>Office Technician</v>
      </c>
      <c r="C886" s="561"/>
      <c r="D886" s="428"/>
      <c r="G886" s="1286">
        <f t="shared" si="325"/>
        <v>0</v>
      </c>
      <c r="H886" s="1286">
        <f t="shared" si="325"/>
        <v>340</v>
      </c>
      <c r="I886" s="1286">
        <f t="shared" si="325"/>
        <v>350.2</v>
      </c>
      <c r="J886" s="1286">
        <f t="shared" si="325"/>
        <v>360.70600000000002</v>
      </c>
      <c r="K886" s="1286">
        <f t="shared" si="325"/>
        <v>371.52717999999999</v>
      </c>
      <c r="L886" s="1286">
        <f t="shared" si="325"/>
        <v>382.67299539999999</v>
      </c>
      <c r="M886" s="1286">
        <f t="shared" si="325"/>
        <v>394.15318526199997</v>
      </c>
      <c r="N886" s="141"/>
      <c r="R886" s="282"/>
      <c r="S886" s="282"/>
      <c r="T886" s="282"/>
      <c r="U886" s="282"/>
      <c r="V886" s="282"/>
      <c r="W886" s="282"/>
      <c r="X886" s="282"/>
      <c r="Y886" s="282"/>
      <c r="Z886" s="282"/>
      <c r="AA886" s="282"/>
    </row>
    <row r="887" spans="1:27" s="431" customFormat="1" outlineLevel="2">
      <c r="A887" s="276">
        <f t="shared" si="315"/>
        <v>435</v>
      </c>
      <c r="B887" s="428" t="str">
        <f>$B282</f>
        <v>Office Technician</v>
      </c>
      <c r="C887" s="561"/>
      <c r="D887" s="428"/>
      <c r="G887" s="1286">
        <f t="shared" si="325"/>
        <v>0</v>
      </c>
      <c r="H887" s="1286">
        <f t="shared" si="325"/>
        <v>0</v>
      </c>
      <c r="I887" s="1286">
        <f t="shared" si="325"/>
        <v>0</v>
      </c>
      <c r="J887" s="1286">
        <f t="shared" si="325"/>
        <v>360.70600000000002</v>
      </c>
      <c r="K887" s="1286">
        <f t="shared" si="325"/>
        <v>371.52717999999999</v>
      </c>
      <c r="L887" s="1286">
        <f t="shared" si="325"/>
        <v>382.67299539999999</v>
      </c>
      <c r="M887" s="1286">
        <f t="shared" si="325"/>
        <v>394.15318526199997</v>
      </c>
      <c r="N887" s="141"/>
      <c r="R887" s="282"/>
      <c r="S887" s="282"/>
      <c r="T887" s="282"/>
      <c r="U887" s="282"/>
      <c r="V887" s="282"/>
      <c r="W887" s="282"/>
      <c r="X887" s="282"/>
      <c r="Y887" s="282"/>
      <c r="Z887" s="282"/>
      <c r="AA887" s="282"/>
    </row>
    <row r="888" spans="1:27" s="431" customFormat="1" outlineLevel="2">
      <c r="A888" s="276">
        <f t="shared" si="315"/>
        <v>436</v>
      </c>
      <c r="B888" s="428"/>
      <c r="C888" s="561"/>
      <c r="D888" s="428"/>
      <c r="G888" s="1286"/>
      <c r="H888" s="1286"/>
      <c r="I888" s="1286"/>
      <c r="J888" s="1286"/>
      <c r="K888" s="1286"/>
      <c r="L888" s="1286"/>
      <c r="M888" s="1286"/>
      <c r="N888" s="141"/>
      <c r="R888" s="282"/>
      <c r="S888" s="282"/>
      <c r="T888" s="282"/>
      <c r="U888" s="282"/>
      <c r="V888" s="282"/>
      <c r="W888" s="282"/>
      <c r="X888" s="282"/>
      <c r="Y888" s="282"/>
      <c r="Z888" s="282"/>
      <c r="AA888" s="282"/>
    </row>
    <row r="889" spans="1:27" s="431" customFormat="1" outlineLevel="2">
      <c r="A889" s="276">
        <f t="shared" si="315"/>
        <v>437</v>
      </c>
      <c r="B889" s="377"/>
      <c r="C889" s="561"/>
      <c r="D889" s="428"/>
      <c r="G889" s="1286"/>
      <c r="H889" s="1286"/>
      <c r="I889" s="1286"/>
      <c r="J889" s="1286"/>
      <c r="K889" s="1286"/>
      <c r="L889" s="1286"/>
      <c r="M889" s="1286"/>
      <c r="N889" s="141"/>
      <c r="R889" s="282"/>
      <c r="S889" s="282"/>
      <c r="T889" s="282"/>
      <c r="U889" s="282"/>
      <c r="V889" s="282"/>
      <c r="W889" s="282"/>
      <c r="X889" s="282"/>
      <c r="Y889" s="282"/>
      <c r="Z889" s="282"/>
      <c r="AA889" s="282"/>
    </row>
    <row r="890" spans="1:27" s="431" customFormat="1" outlineLevel="2">
      <c r="A890" s="276">
        <f t="shared" si="315"/>
        <v>438</v>
      </c>
      <c r="B890" s="700" t="str">
        <f>$B$285</f>
        <v>Total Administrators and Office Staff</v>
      </c>
      <c r="C890" s="732"/>
      <c r="D890" s="700"/>
      <c r="E890" s="749"/>
      <c r="F890" s="749"/>
      <c r="G890" s="1287">
        <f t="shared" ref="G890:M890" si="326">SUM(G878:G888)</f>
        <v>0</v>
      </c>
      <c r="H890" s="1287">
        <f t="shared" si="326"/>
        <v>1640</v>
      </c>
      <c r="I890" s="1287">
        <f t="shared" si="326"/>
        <v>2410.1999999999998</v>
      </c>
      <c r="J890" s="1287">
        <f t="shared" si="326"/>
        <v>2843.2120000000004</v>
      </c>
      <c r="K890" s="1287">
        <f t="shared" si="326"/>
        <v>3693.4172600000002</v>
      </c>
      <c r="L890" s="1287">
        <f t="shared" si="326"/>
        <v>4704.6268258</v>
      </c>
      <c r="M890" s="1287">
        <f t="shared" si="326"/>
        <v>5657.2574825839993</v>
      </c>
      <c r="N890" s="141"/>
      <c r="R890" s="282"/>
      <c r="S890" s="282"/>
      <c r="T890" s="282"/>
      <c r="U890" s="282"/>
      <c r="V890" s="282"/>
      <c r="W890" s="282"/>
      <c r="X890" s="282"/>
      <c r="Y890" s="282"/>
      <c r="Z890" s="282"/>
      <c r="AA890" s="282"/>
    </row>
    <row r="891" spans="1:27" s="431" customFormat="1" outlineLevel="2">
      <c r="A891" s="276">
        <f t="shared" si="315"/>
        <v>439</v>
      </c>
      <c r="B891" s="377"/>
      <c r="C891" s="561"/>
      <c r="D891" s="428"/>
      <c r="G891" s="1286"/>
      <c r="H891" s="1286"/>
      <c r="I891" s="1286"/>
      <c r="J891" s="1286"/>
      <c r="K891" s="1286"/>
      <c r="L891" s="1286"/>
      <c r="M891" s="1286"/>
      <c r="N891" s="141"/>
      <c r="R891" s="282"/>
      <c r="S891" s="282"/>
      <c r="T891" s="282"/>
      <c r="U891" s="282"/>
      <c r="V891" s="282"/>
      <c r="W891" s="282"/>
      <c r="X891" s="282"/>
      <c r="Y891" s="282"/>
      <c r="Z891" s="282"/>
      <c r="AA891" s="282"/>
    </row>
    <row r="892" spans="1:27" s="431" customFormat="1" outlineLevel="2">
      <c r="A892" s="276">
        <f t="shared" si="315"/>
        <v>440</v>
      </c>
      <c r="B892" s="753" t="str">
        <f t="shared" ref="B892:B898" si="327">$B287</f>
        <v>Special Education (SPED) Teachers</v>
      </c>
      <c r="C892" s="759"/>
      <c r="D892" s="756"/>
      <c r="E892" s="760"/>
      <c r="F892" s="760"/>
      <c r="G892" s="1291"/>
      <c r="H892" s="1291"/>
      <c r="I892" s="1291"/>
      <c r="J892" s="1291"/>
      <c r="K892" s="1291"/>
      <c r="L892" s="1291"/>
      <c r="M892" s="1291"/>
      <c r="N892" s="141"/>
      <c r="R892" s="282"/>
      <c r="S892" s="282"/>
      <c r="T892" s="282"/>
      <c r="U892" s="282"/>
      <c r="V892" s="282"/>
      <c r="W892" s="282"/>
      <c r="X892" s="282"/>
      <c r="Y892" s="282"/>
      <c r="Z892" s="282"/>
      <c r="AA892" s="282"/>
    </row>
    <row r="893" spans="1:27" s="431" customFormat="1" outlineLevel="2">
      <c r="A893" s="276">
        <f t="shared" si="315"/>
        <v>441</v>
      </c>
      <c r="B893" s="757" t="str">
        <f t="shared" si="327"/>
        <v>Special Education Teacher</v>
      </c>
      <c r="C893" s="561"/>
      <c r="D893" s="428"/>
      <c r="G893" s="1286">
        <f t="shared" ref="G893:M902" si="328">G288*$C$92</f>
        <v>0</v>
      </c>
      <c r="H893" s="1286">
        <f t="shared" si="328"/>
        <v>450</v>
      </c>
      <c r="I893" s="1286">
        <f t="shared" si="328"/>
        <v>463.5</v>
      </c>
      <c r="J893" s="1286">
        <f t="shared" si="328"/>
        <v>477.40500000000003</v>
      </c>
      <c r="K893" s="1286">
        <f t="shared" si="328"/>
        <v>491.72715000000005</v>
      </c>
      <c r="L893" s="1286">
        <f t="shared" si="328"/>
        <v>506.47896449999996</v>
      </c>
      <c r="M893" s="1286">
        <f t="shared" si="328"/>
        <v>521.6733334349999</v>
      </c>
      <c r="N893" s="141"/>
      <c r="R893" s="282"/>
      <c r="S893" s="282"/>
      <c r="T893" s="282"/>
      <c r="U893" s="282"/>
      <c r="V893" s="282"/>
      <c r="W893" s="282"/>
      <c r="X893" s="282"/>
      <c r="Y893" s="282"/>
      <c r="Z893" s="282"/>
      <c r="AA893" s="282"/>
    </row>
    <row r="894" spans="1:27" s="431" customFormat="1" outlineLevel="2">
      <c r="A894" s="276">
        <f t="shared" si="315"/>
        <v>442</v>
      </c>
      <c r="B894" s="757" t="str">
        <f t="shared" si="327"/>
        <v>Special Education Teacher</v>
      </c>
      <c r="C894" s="561"/>
      <c r="D894" s="428"/>
      <c r="G894" s="1286">
        <f t="shared" si="328"/>
        <v>0</v>
      </c>
      <c r="H894" s="1286">
        <f t="shared" si="328"/>
        <v>0</v>
      </c>
      <c r="I894" s="1286">
        <f t="shared" si="328"/>
        <v>463.5</v>
      </c>
      <c r="J894" s="1286">
        <f t="shared" si="328"/>
        <v>477.40500000000003</v>
      </c>
      <c r="K894" s="1286">
        <f t="shared" si="328"/>
        <v>491.72715000000005</v>
      </c>
      <c r="L894" s="1286">
        <f t="shared" si="328"/>
        <v>506.47896449999996</v>
      </c>
      <c r="M894" s="1286">
        <f t="shared" si="328"/>
        <v>521.6733334349999</v>
      </c>
      <c r="N894" s="141"/>
      <c r="R894" s="282"/>
      <c r="S894" s="282"/>
      <c r="T894" s="282"/>
      <c r="U894" s="282"/>
      <c r="V894" s="282"/>
      <c r="W894" s="282"/>
      <c r="X894" s="282"/>
      <c r="Y894" s="282"/>
      <c r="Z894" s="282"/>
      <c r="AA894" s="282"/>
    </row>
    <row r="895" spans="1:27" s="431" customFormat="1" outlineLevel="2">
      <c r="A895" s="276">
        <f t="shared" si="315"/>
        <v>443</v>
      </c>
      <c r="B895" s="757" t="str">
        <f t="shared" si="327"/>
        <v>Special Education Teacher</v>
      </c>
      <c r="C895" s="561"/>
      <c r="D895" s="428"/>
      <c r="G895" s="1286">
        <f t="shared" si="328"/>
        <v>0</v>
      </c>
      <c r="H895" s="1286">
        <f t="shared" si="328"/>
        <v>0</v>
      </c>
      <c r="I895" s="1286">
        <f t="shared" si="328"/>
        <v>0</v>
      </c>
      <c r="J895" s="1286">
        <f t="shared" si="328"/>
        <v>0</v>
      </c>
      <c r="K895" s="1286">
        <f t="shared" si="328"/>
        <v>491.72715000000005</v>
      </c>
      <c r="L895" s="1286">
        <f t="shared" si="328"/>
        <v>506.47896449999996</v>
      </c>
      <c r="M895" s="1286">
        <f t="shared" si="328"/>
        <v>521.6733334349999</v>
      </c>
      <c r="N895" s="141"/>
      <c r="R895" s="282"/>
      <c r="S895" s="282"/>
      <c r="T895" s="282"/>
      <c r="U895" s="282"/>
      <c r="V895" s="282"/>
      <c r="W895" s="282"/>
      <c r="X895" s="282"/>
      <c r="Y895" s="282"/>
      <c r="Z895" s="282"/>
      <c r="AA895" s="282"/>
    </row>
    <row r="896" spans="1:27" s="431" customFormat="1" outlineLevel="2">
      <c r="A896" s="276">
        <f t="shared" si="315"/>
        <v>444</v>
      </c>
      <c r="B896" s="757" t="str">
        <f t="shared" si="327"/>
        <v>Special Education Teacher</v>
      </c>
      <c r="C896" s="561"/>
      <c r="D896" s="428"/>
      <c r="G896" s="1286">
        <f t="shared" si="328"/>
        <v>0</v>
      </c>
      <c r="H896" s="1286">
        <f t="shared" si="328"/>
        <v>0</v>
      </c>
      <c r="I896" s="1286">
        <f t="shared" si="328"/>
        <v>0</v>
      </c>
      <c r="J896" s="1286">
        <f t="shared" si="328"/>
        <v>0</v>
      </c>
      <c r="K896" s="1286">
        <f t="shared" si="328"/>
        <v>0</v>
      </c>
      <c r="L896" s="1286">
        <f t="shared" si="328"/>
        <v>0</v>
      </c>
      <c r="M896" s="1286">
        <f t="shared" si="328"/>
        <v>521.6733334349999</v>
      </c>
      <c r="N896" s="141"/>
      <c r="R896" s="282"/>
      <c r="S896" s="282"/>
      <c r="T896" s="282"/>
      <c r="U896" s="282"/>
      <c r="V896" s="282"/>
      <c r="W896" s="282"/>
      <c r="X896" s="282"/>
      <c r="Y896" s="282"/>
      <c r="Z896" s="282"/>
      <c r="AA896" s="282"/>
    </row>
    <row r="897" spans="1:27" s="431" customFormat="1" outlineLevel="2">
      <c r="A897" s="276">
        <f t="shared" si="315"/>
        <v>445</v>
      </c>
      <c r="B897" s="757">
        <f t="shared" si="327"/>
        <v>0</v>
      </c>
      <c r="C897" s="561"/>
      <c r="D897" s="428"/>
      <c r="G897" s="1286">
        <f t="shared" si="328"/>
        <v>0</v>
      </c>
      <c r="H897" s="1286">
        <f t="shared" si="328"/>
        <v>0</v>
      </c>
      <c r="I897" s="1286">
        <f t="shared" si="328"/>
        <v>0</v>
      </c>
      <c r="J897" s="1286">
        <f t="shared" si="328"/>
        <v>0</v>
      </c>
      <c r="K897" s="1286">
        <f t="shared" si="328"/>
        <v>0</v>
      </c>
      <c r="L897" s="1286">
        <f t="shared" si="328"/>
        <v>0</v>
      </c>
      <c r="M897" s="1286">
        <f t="shared" si="328"/>
        <v>0</v>
      </c>
      <c r="N897" s="141"/>
      <c r="R897" s="282"/>
      <c r="S897" s="282"/>
      <c r="T897" s="282"/>
      <c r="U897" s="282"/>
      <c r="V897" s="282"/>
      <c r="W897" s="282"/>
      <c r="X897" s="282"/>
      <c r="Y897" s="282"/>
      <c r="Z897" s="282"/>
      <c r="AA897" s="282"/>
    </row>
    <row r="898" spans="1:27" s="431" customFormat="1" outlineLevel="2">
      <c r="A898" s="276">
        <f t="shared" si="315"/>
        <v>446</v>
      </c>
      <c r="B898" s="757">
        <f t="shared" si="327"/>
        <v>0</v>
      </c>
      <c r="C898" s="561"/>
      <c r="D898" s="428"/>
      <c r="G898" s="1286">
        <f t="shared" si="328"/>
        <v>0</v>
      </c>
      <c r="H898" s="1286">
        <f t="shared" si="328"/>
        <v>0</v>
      </c>
      <c r="I898" s="1286">
        <f t="shared" si="328"/>
        <v>0</v>
      </c>
      <c r="J898" s="1286">
        <f t="shared" si="328"/>
        <v>0</v>
      </c>
      <c r="K898" s="1286">
        <f t="shared" si="328"/>
        <v>0</v>
      </c>
      <c r="L898" s="1286">
        <f t="shared" si="328"/>
        <v>0</v>
      </c>
      <c r="M898" s="1286">
        <f t="shared" si="328"/>
        <v>0</v>
      </c>
      <c r="N898" s="141"/>
      <c r="R898" s="282"/>
      <c r="S898" s="282"/>
      <c r="T898" s="282"/>
      <c r="U898" s="282"/>
      <c r="V898" s="282"/>
      <c r="W898" s="282"/>
      <c r="X898" s="282"/>
      <c r="Y898" s="282"/>
      <c r="Z898" s="282"/>
      <c r="AA898" s="282"/>
    </row>
    <row r="899" spans="1:27" s="431" customFormat="1" outlineLevel="2">
      <c r="A899" s="276">
        <f t="shared" si="315"/>
        <v>447</v>
      </c>
      <c r="B899" s="757">
        <f>$B294</f>
        <v>0</v>
      </c>
      <c r="C899" s="561"/>
      <c r="D899" s="428"/>
      <c r="G899" s="1286">
        <f t="shared" si="328"/>
        <v>0</v>
      </c>
      <c r="H899" s="1286">
        <f t="shared" si="328"/>
        <v>0</v>
      </c>
      <c r="I899" s="1286">
        <f t="shared" si="328"/>
        <v>0</v>
      </c>
      <c r="J899" s="1286">
        <f t="shared" si="328"/>
        <v>0</v>
      </c>
      <c r="K899" s="1286">
        <f t="shared" si="328"/>
        <v>0</v>
      </c>
      <c r="L899" s="1286">
        <f t="shared" si="328"/>
        <v>0</v>
      </c>
      <c r="M899" s="1286">
        <f t="shared" si="328"/>
        <v>0</v>
      </c>
      <c r="N899" s="141"/>
      <c r="R899" s="282"/>
      <c r="S899" s="282"/>
      <c r="T899" s="282"/>
      <c r="U899" s="282"/>
      <c r="V899" s="282"/>
      <c r="W899" s="282"/>
      <c r="X899" s="282"/>
      <c r="Y899" s="282"/>
      <c r="Z899" s="282"/>
      <c r="AA899" s="282"/>
    </row>
    <row r="900" spans="1:27" s="431" customFormat="1" outlineLevel="2">
      <c r="A900" s="276">
        <f t="shared" si="315"/>
        <v>448</v>
      </c>
      <c r="B900" s="757">
        <f t="shared" ref="B900:B901" si="329">$B295</f>
        <v>0</v>
      </c>
      <c r="C900" s="561"/>
      <c r="D900" s="428"/>
      <c r="G900" s="1286">
        <f t="shared" si="328"/>
        <v>0</v>
      </c>
      <c r="H900" s="1286">
        <f t="shared" si="328"/>
        <v>0</v>
      </c>
      <c r="I900" s="1286">
        <f t="shared" si="328"/>
        <v>0</v>
      </c>
      <c r="J900" s="1286">
        <f t="shared" si="328"/>
        <v>0</v>
      </c>
      <c r="K900" s="1286">
        <f t="shared" si="328"/>
        <v>0</v>
      </c>
      <c r="L900" s="1286">
        <f t="shared" si="328"/>
        <v>0</v>
      </c>
      <c r="M900" s="1286">
        <f t="shared" si="328"/>
        <v>0</v>
      </c>
      <c r="N900" s="141"/>
      <c r="R900" s="282"/>
      <c r="S900" s="282"/>
      <c r="T900" s="282"/>
      <c r="U900" s="282"/>
      <c r="V900" s="282"/>
      <c r="W900" s="282"/>
      <c r="X900" s="282"/>
      <c r="Y900" s="282"/>
      <c r="Z900" s="282"/>
      <c r="AA900" s="282"/>
    </row>
    <row r="901" spans="1:27" s="431" customFormat="1" outlineLevel="2">
      <c r="A901" s="276">
        <f t="shared" si="315"/>
        <v>449</v>
      </c>
      <c r="B901" s="1364">
        <f t="shared" si="329"/>
        <v>0</v>
      </c>
      <c r="C901" s="759"/>
      <c r="D901" s="756"/>
      <c r="E901" s="760"/>
      <c r="F901" s="760"/>
      <c r="G901" s="1291">
        <f t="shared" si="328"/>
        <v>0</v>
      </c>
      <c r="H901" s="1291">
        <f t="shared" si="328"/>
        <v>0</v>
      </c>
      <c r="I901" s="1291">
        <f t="shared" si="328"/>
        <v>0</v>
      </c>
      <c r="J901" s="1291">
        <f t="shared" si="328"/>
        <v>0</v>
      </c>
      <c r="K901" s="1291">
        <f t="shared" si="328"/>
        <v>0</v>
      </c>
      <c r="L901" s="1291">
        <f t="shared" si="328"/>
        <v>0</v>
      </c>
      <c r="M901" s="1291">
        <f t="shared" si="328"/>
        <v>0</v>
      </c>
      <c r="N901" s="141"/>
      <c r="R901" s="282"/>
      <c r="S901" s="282"/>
      <c r="T901" s="282"/>
      <c r="U901" s="282"/>
      <c r="V901" s="282"/>
      <c r="W901" s="282"/>
      <c r="X901" s="282"/>
      <c r="Y901" s="282"/>
      <c r="Z901" s="282"/>
      <c r="AA901" s="282"/>
    </row>
    <row r="902" spans="1:27" s="431" customFormat="1" outlineLevel="2">
      <c r="A902" s="276">
        <f t="shared" si="315"/>
        <v>450</v>
      </c>
      <c r="B902" s="428" t="str">
        <f>$B297</f>
        <v xml:space="preserve">Total Special EducationTeachers </v>
      </c>
      <c r="C902" s="561"/>
      <c r="D902" s="428"/>
      <c r="G902" s="1286">
        <f t="shared" si="328"/>
        <v>0</v>
      </c>
      <c r="H902" s="1286">
        <f t="shared" si="328"/>
        <v>450</v>
      </c>
      <c r="I902" s="1286">
        <f t="shared" si="328"/>
        <v>927</v>
      </c>
      <c r="J902" s="1286">
        <f t="shared" si="328"/>
        <v>954.81000000000006</v>
      </c>
      <c r="K902" s="1286">
        <f t="shared" si="328"/>
        <v>1475.1814500000003</v>
      </c>
      <c r="L902" s="1286">
        <f t="shared" si="328"/>
        <v>1519.4368934999998</v>
      </c>
      <c r="M902" s="1286">
        <f t="shared" si="328"/>
        <v>2086.6933337399996</v>
      </c>
      <c r="N902" s="141"/>
      <c r="R902" s="282"/>
      <c r="S902" s="282"/>
      <c r="T902" s="282"/>
      <c r="U902" s="282"/>
      <c r="V902" s="282"/>
      <c r="W902" s="282"/>
      <c r="X902" s="282"/>
      <c r="Y902" s="282"/>
      <c r="Z902" s="282"/>
      <c r="AA902" s="282"/>
    </row>
    <row r="903" spans="1:27" s="431" customFormat="1" outlineLevel="2">
      <c r="A903" s="276">
        <f t="shared" ref="A903:A914" si="330">ROW(A451)</f>
        <v>451</v>
      </c>
      <c r="B903" s="428"/>
      <c r="C903" s="561"/>
      <c r="D903" s="428"/>
      <c r="G903" s="1286"/>
      <c r="H903" s="1286"/>
      <c r="I903" s="1286"/>
      <c r="J903" s="1286"/>
      <c r="K903" s="1286"/>
      <c r="L903" s="1286"/>
      <c r="M903" s="1286"/>
      <c r="N903" s="141"/>
      <c r="R903" s="282"/>
      <c r="S903" s="282"/>
      <c r="T903" s="282"/>
      <c r="U903" s="282"/>
      <c r="V903" s="282"/>
      <c r="W903" s="282"/>
      <c r="X903" s="282"/>
      <c r="Y903" s="282"/>
      <c r="Z903" s="282"/>
      <c r="AA903" s="282"/>
    </row>
    <row r="904" spans="1:27" s="431" customFormat="1" outlineLevel="2">
      <c r="A904" s="276">
        <f t="shared" si="330"/>
        <v>452</v>
      </c>
      <c r="B904" s="753" t="str">
        <f t="shared" ref="B904:B914" si="331">$B299</f>
        <v>English Language Learner (ELL) Teachers</v>
      </c>
      <c r="C904" s="759"/>
      <c r="D904" s="756"/>
      <c r="E904" s="760"/>
      <c r="F904" s="760"/>
      <c r="G904" s="1291"/>
      <c r="H904" s="1291"/>
      <c r="I904" s="1291"/>
      <c r="J904" s="1291"/>
      <c r="K904" s="1291"/>
      <c r="L904" s="1291"/>
      <c r="M904" s="1291"/>
      <c r="N904" s="141"/>
      <c r="R904" s="282"/>
      <c r="S904" s="282"/>
      <c r="T904" s="282"/>
      <c r="U904" s="282"/>
      <c r="V904" s="282"/>
      <c r="W904" s="282"/>
      <c r="X904" s="282"/>
      <c r="Y904" s="282"/>
      <c r="Z904" s="282"/>
      <c r="AA904" s="282"/>
    </row>
    <row r="905" spans="1:27" s="431" customFormat="1" outlineLevel="2">
      <c r="A905" s="276">
        <f t="shared" si="330"/>
        <v>453</v>
      </c>
      <c r="B905" s="757" t="str">
        <f t="shared" si="331"/>
        <v xml:space="preserve">EL Coordinator </v>
      </c>
      <c r="C905" s="561"/>
      <c r="D905" s="428"/>
      <c r="G905" s="1286">
        <f t="shared" ref="G905:M913" si="332">G300*$C$92</f>
        <v>0</v>
      </c>
      <c r="H905" s="1286">
        <f t="shared" si="332"/>
        <v>450</v>
      </c>
      <c r="I905" s="1286">
        <f t="shared" si="332"/>
        <v>463.5</v>
      </c>
      <c r="J905" s="1286">
        <f t="shared" si="332"/>
        <v>477.40500000000003</v>
      </c>
      <c r="K905" s="1286">
        <f t="shared" si="332"/>
        <v>491.72715000000005</v>
      </c>
      <c r="L905" s="1286">
        <f t="shared" si="332"/>
        <v>506.47896449999996</v>
      </c>
      <c r="M905" s="1286">
        <f t="shared" si="332"/>
        <v>521.6733334349999</v>
      </c>
      <c r="N905" s="141"/>
      <c r="R905" s="282"/>
      <c r="S905" s="282"/>
      <c r="T905" s="282"/>
      <c r="U905" s="282"/>
      <c r="V905" s="282"/>
      <c r="W905" s="282"/>
      <c r="X905" s="282"/>
      <c r="Y905" s="282"/>
      <c r="Z905" s="282"/>
      <c r="AA905" s="282"/>
    </row>
    <row r="906" spans="1:27" s="431" customFormat="1" outlineLevel="2">
      <c r="A906" s="276">
        <f t="shared" si="330"/>
        <v>454</v>
      </c>
      <c r="B906" s="757" t="str">
        <f t="shared" si="331"/>
        <v>ELL Teacher</v>
      </c>
      <c r="C906" s="561"/>
      <c r="D906" s="428"/>
      <c r="G906" s="1286">
        <f t="shared" si="332"/>
        <v>0</v>
      </c>
      <c r="H906" s="1286">
        <f t="shared" si="332"/>
        <v>0</v>
      </c>
      <c r="I906" s="1286">
        <f t="shared" si="332"/>
        <v>0</v>
      </c>
      <c r="J906" s="1286">
        <f t="shared" si="332"/>
        <v>477.40500000000003</v>
      </c>
      <c r="K906" s="1286">
        <f t="shared" si="332"/>
        <v>491.72715000000005</v>
      </c>
      <c r="L906" s="1286">
        <f t="shared" si="332"/>
        <v>506.47896449999996</v>
      </c>
      <c r="M906" s="1286">
        <f t="shared" si="332"/>
        <v>521.6733334349999</v>
      </c>
      <c r="N906" s="141"/>
      <c r="R906" s="282"/>
      <c r="S906" s="282"/>
      <c r="T906" s="282"/>
      <c r="U906" s="282"/>
      <c r="V906" s="282"/>
      <c r="W906" s="282"/>
      <c r="X906" s="282"/>
      <c r="Y906" s="282"/>
      <c r="Z906" s="282"/>
      <c r="AA906" s="282"/>
    </row>
    <row r="907" spans="1:27" s="431" customFormat="1" outlineLevel="2">
      <c r="A907" s="276">
        <f t="shared" si="330"/>
        <v>455</v>
      </c>
      <c r="B907" s="757" t="str">
        <f t="shared" si="331"/>
        <v>ELL Teacher</v>
      </c>
      <c r="C907" s="561"/>
      <c r="D907" s="428"/>
      <c r="G907" s="1286">
        <f t="shared" si="332"/>
        <v>0</v>
      </c>
      <c r="H907" s="1286">
        <f t="shared" si="332"/>
        <v>0</v>
      </c>
      <c r="I907" s="1286">
        <f t="shared" si="332"/>
        <v>0</v>
      </c>
      <c r="J907" s="1286">
        <f t="shared" si="332"/>
        <v>0</v>
      </c>
      <c r="K907" s="1286">
        <f t="shared" si="332"/>
        <v>0</v>
      </c>
      <c r="L907" s="1286">
        <f t="shared" si="332"/>
        <v>506.47896449999996</v>
      </c>
      <c r="M907" s="1286">
        <f t="shared" si="332"/>
        <v>521.6733334349999</v>
      </c>
      <c r="N907" s="141"/>
      <c r="R907" s="282"/>
      <c r="S907" s="282"/>
      <c r="T907" s="282"/>
      <c r="U907" s="282"/>
      <c r="V907" s="282"/>
      <c r="W907" s="282"/>
      <c r="X907" s="282"/>
      <c r="Y907" s="282"/>
      <c r="Z907" s="282"/>
      <c r="AA907" s="282"/>
    </row>
    <row r="908" spans="1:27" s="431" customFormat="1" outlineLevel="2">
      <c r="A908" s="276">
        <f t="shared" si="330"/>
        <v>456</v>
      </c>
      <c r="B908" s="757">
        <f t="shared" si="331"/>
        <v>0</v>
      </c>
      <c r="C908" s="561"/>
      <c r="D908" s="428"/>
      <c r="G908" s="1286">
        <f t="shared" si="332"/>
        <v>0</v>
      </c>
      <c r="H908" s="1286">
        <f t="shared" si="332"/>
        <v>0</v>
      </c>
      <c r="I908" s="1286">
        <f t="shared" si="332"/>
        <v>0</v>
      </c>
      <c r="J908" s="1286">
        <f t="shared" si="332"/>
        <v>0</v>
      </c>
      <c r="K908" s="1286">
        <f t="shared" si="332"/>
        <v>0</v>
      </c>
      <c r="L908" s="1286">
        <f t="shared" si="332"/>
        <v>0</v>
      </c>
      <c r="M908" s="1286">
        <f t="shared" si="332"/>
        <v>0</v>
      </c>
      <c r="N908" s="141"/>
      <c r="R908" s="282"/>
      <c r="S908" s="282"/>
      <c r="T908" s="282"/>
      <c r="U908" s="282"/>
      <c r="V908" s="282"/>
      <c r="W908" s="282"/>
      <c r="X908" s="282"/>
      <c r="Y908" s="282"/>
      <c r="Z908" s="282"/>
      <c r="AA908" s="282"/>
    </row>
    <row r="909" spans="1:27" s="431" customFormat="1" outlineLevel="2">
      <c r="A909" s="276">
        <f t="shared" si="330"/>
        <v>457</v>
      </c>
      <c r="B909" s="757">
        <f t="shared" si="331"/>
        <v>0</v>
      </c>
      <c r="C909" s="561"/>
      <c r="D909" s="428"/>
      <c r="G909" s="1286">
        <f t="shared" si="332"/>
        <v>0</v>
      </c>
      <c r="H909" s="1286">
        <f t="shared" si="332"/>
        <v>0</v>
      </c>
      <c r="I909" s="1286">
        <f t="shared" si="332"/>
        <v>0</v>
      </c>
      <c r="J909" s="1286">
        <f t="shared" si="332"/>
        <v>0</v>
      </c>
      <c r="K909" s="1286">
        <f t="shared" si="332"/>
        <v>0</v>
      </c>
      <c r="L909" s="1286">
        <f t="shared" si="332"/>
        <v>0</v>
      </c>
      <c r="M909" s="1286">
        <f t="shared" si="332"/>
        <v>0</v>
      </c>
      <c r="N909" s="141"/>
      <c r="R909" s="282"/>
      <c r="S909" s="282"/>
      <c r="T909" s="282"/>
      <c r="U909" s="282"/>
      <c r="V909" s="282"/>
      <c r="W909" s="282"/>
      <c r="X909" s="282"/>
      <c r="Y909" s="282"/>
      <c r="Z909" s="282"/>
      <c r="AA909" s="282"/>
    </row>
    <row r="910" spans="1:27" s="431" customFormat="1" outlineLevel="2">
      <c r="A910" s="276">
        <f t="shared" si="330"/>
        <v>458</v>
      </c>
      <c r="B910" s="757">
        <f t="shared" si="331"/>
        <v>0</v>
      </c>
      <c r="C910" s="561"/>
      <c r="D910" s="428"/>
      <c r="G910" s="1286">
        <f t="shared" si="332"/>
        <v>0</v>
      </c>
      <c r="H910" s="1286">
        <f t="shared" si="332"/>
        <v>0</v>
      </c>
      <c r="I910" s="1286">
        <f t="shared" si="332"/>
        <v>0</v>
      </c>
      <c r="J910" s="1286">
        <f t="shared" si="332"/>
        <v>0</v>
      </c>
      <c r="K910" s="1286">
        <f t="shared" si="332"/>
        <v>0</v>
      </c>
      <c r="L910" s="1286">
        <f t="shared" si="332"/>
        <v>0</v>
      </c>
      <c r="M910" s="1286">
        <f t="shared" si="332"/>
        <v>0</v>
      </c>
      <c r="N910" s="141"/>
      <c r="R910" s="282"/>
      <c r="S910" s="282"/>
      <c r="T910" s="282"/>
      <c r="U910" s="282"/>
      <c r="V910" s="282"/>
      <c r="W910" s="282"/>
      <c r="X910" s="282"/>
      <c r="Y910" s="282"/>
      <c r="Z910" s="282"/>
      <c r="AA910" s="282"/>
    </row>
    <row r="911" spans="1:27" s="431" customFormat="1" outlineLevel="2">
      <c r="A911" s="276">
        <f t="shared" si="330"/>
        <v>459</v>
      </c>
      <c r="B911" s="757">
        <f t="shared" si="331"/>
        <v>0</v>
      </c>
      <c r="C911" s="561"/>
      <c r="D911" s="428"/>
      <c r="G911" s="1286">
        <f t="shared" si="332"/>
        <v>0</v>
      </c>
      <c r="H911" s="1286">
        <f t="shared" si="332"/>
        <v>0</v>
      </c>
      <c r="I911" s="1286">
        <f t="shared" si="332"/>
        <v>0</v>
      </c>
      <c r="J911" s="1286">
        <f t="shared" si="332"/>
        <v>0</v>
      </c>
      <c r="K911" s="1286">
        <f t="shared" si="332"/>
        <v>0</v>
      </c>
      <c r="L911" s="1286">
        <f t="shared" si="332"/>
        <v>0</v>
      </c>
      <c r="M911" s="1286">
        <f t="shared" si="332"/>
        <v>0</v>
      </c>
      <c r="N911" s="141"/>
      <c r="R911" s="282"/>
      <c r="S911" s="282"/>
      <c r="T911" s="282"/>
      <c r="U911" s="282"/>
      <c r="V911" s="282"/>
      <c r="W911" s="282"/>
      <c r="X911" s="282"/>
      <c r="Y911" s="282"/>
      <c r="Z911" s="282"/>
      <c r="AA911" s="282"/>
    </row>
    <row r="912" spans="1:27" s="431" customFormat="1" outlineLevel="2">
      <c r="A912" s="276">
        <f t="shared" si="330"/>
        <v>460</v>
      </c>
      <c r="B912" s="757">
        <f t="shared" si="331"/>
        <v>0</v>
      </c>
      <c r="C912" s="561"/>
      <c r="D912" s="428"/>
      <c r="G912" s="1286">
        <f t="shared" si="332"/>
        <v>0</v>
      </c>
      <c r="H912" s="1286">
        <f t="shared" si="332"/>
        <v>0</v>
      </c>
      <c r="I912" s="1286">
        <f t="shared" si="332"/>
        <v>0</v>
      </c>
      <c r="J912" s="1286">
        <f t="shared" si="332"/>
        <v>0</v>
      </c>
      <c r="K912" s="1286">
        <f t="shared" si="332"/>
        <v>0</v>
      </c>
      <c r="L912" s="1286">
        <f t="shared" si="332"/>
        <v>0</v>
      </c>
      <c r="M912" s="1286">
        <f t="shared" si="332"/>
        <v>0</v>
      </c>
      <c r="N912" s="141"/>
      <c r="R912" s="282"/>
      <c r="S912" s="282"/>
      <c r="T912" s="282"/>
      <c r="U912" s="282"/>
      <c r="V912" s="282"/>
      <c r="W912" s="282"/>
      <c r="X912" s="282"/>
      <c r="Y912" s="282"/>
      <c r="Z912" s="282"/>
      <c r="AA912" s="282"/>
    </row>
    <row r="913" spans="1:27" s="431" customFormat="1" outlineLevel="2">
      <c r="A913" s="276">
        <f t="shared" si="330"/>
        <v>461</v>
      </c>
      <c r="B913" s="757">
        <f t="shared" si="331"/>
        <v>0</v>
      </c>
      <c r="C913" s="561"/>
      <c r="D913" s="428"/>
      <c r="G913" s="1286">
        <f t="shared" si="332"/>
        <v>0</v>
      </c>
      <c r="H913" s="1286">
        <f t="shared" si="332"/>
        <v>0</v>
      </c>
      <c r="I913" s="1286">
        <f t="shared" si="332"/>
        <v>0</v>
      </c>
      <c r="J913" s="1286">
        <f t="shared" si="332"/>
        <v>0</v>
      </c>
      <c r="K913" s="1286">
        <f t="shared" si="332"/>
        <v>0</v>
      </c>
      <c r="L913" s="1286">
        <f t="shared" si="332"/>
        <v>0</v>
      </c>
      <c r="M913" s="1286">
        <f t="shared" si="332"/>
        <v>0</v>
      </c>
      <c r="N913" s="141"/>
      <c r="R913" s="282"/>
      <c r="S913" s="282"/>
      <c r="T913" s="282"/>
      <c r="U913" s="282"/>
      <c r="V913" s="282"/>
      <c r="W913" s="282"/>
      <c r="X913" s="282"/>
      <c r="Y913" s="282"/>
      <c r="Z913" s="282"/>
      <c r="AA913" s="282"/>
    </row>
    <row r="914" spans="1:27" s="431" customFormat="1" outlineLevel="2">
      <c r="A914" s="276">
        <f t="shared" si="330"/>
        <v>462</v>
      </c>
      <c r="B914" s="702" t="str">
        <f t="shared" si="331"/>
        <v>Total ELL Teachers</v>
      </c>
      <c r="C914" s="732"/>
      <c r="D914" s="700"/>
      <c r="E914" s="749"/>
      <c r="F914" s="749"/>
      <c r="G914" s="1287">
        <f>SUM(G893:G913)</f>
        <v>0</v>
      </c>
      <c r="H914" s="1287">
        <f t="shared" ref="H914:M914" si="333">SUM(H893:H913)</f>
        <v>1350</v>
      </c>
      <c r="I914" s="1287">
        <f t="shared" si="333"/>
        <v>2317.5</v>
      </c>
      <c r="J914" s="1287">
        <f t="shared" si="333"/>
        <v>2864.4300000000003</v>
      </c>
      <c r="K914" s="1287">
        <f t="shared" si="333"/>
        <v>3933.8172000000004</v>
      </c>
      <c r="L914" s="1287">
        <f t="shared" si="333"/>
        <v>4558.3106804999998</v>
      </c>
      <c r="M914" s="1287">
        <f t="shared" si="333"/>
        <v>5738.4066677849996</v>
      </c>
      <c r="N914" s="141"/>
      <c r="R914" s="282"/>
      <c r="S914" s="282"/>
      <c r="T914" s="282"/>
      <c r="U914" s="282"/>
      <c r="V914" s="282"/>
      <c r="W914" s="282"/>
      <c r="X914" s="282"/>
      <c r="Y914" s="282"/>
      <c r="Z914" s="282"/>
      <c r="AA914" s="282"/>
    </row>
    <row r="915" spans="1:27" s="431" customFormat="1" outlineLevel="2">
      <c r="A915" s="276">
        <f>ROW(A464)</f>
        <v>464</v>
      </c>
      <c r="B915" s="428"/>
      <c r="C915" s="561"/>
      <c r="D915" s="428"/>
      <c r="G915" s="1286"/>
      <c r="H915" s="1286"/>
      <c r="I915" s="1286"/>
      <c r="J915" s="1286"/>
      <c r="K915" s="1286"/>
      <c r="L915" s="1286"/>
      <c r="M915" s="1286"/>
      <c r="N915" s="141"/>
      <c r="R915" s="282"/>
      <c r="S915" s="282"/>
      <c r="T915" s="282"/>
      <c r="U915" s="282"/>
      <c r="V915" s="282"/>
      <c r="W915" s="282"/>
      <c r="X915" s="282"/>
      <c r="Y915" s="282"/>
      <c r="Z915" s="282"/>
      <c r="AA915" s="282"/>
    </row>
    <row r="916" spans="1:27" s="428" customFormat="1" outlineLevel="2">
      <c r="A916" s="276">
        <f t="shared" ref="A916:A947" si="334">ROW(A467)</f>
        <v>467</v>
      </c>
      <c r="B916" s="753" t="str">
        <f>$B311</f>
        <v>Guidance Counselor &amp; Other</v>
      </c>
      <c r="C916" s="754"/>
      <c r="D916" s="755"/>
      <c r="E916" s="756"/>
      <c r="F916" s="756"/>
      <c r="G916" s="1291"/>
      <c r="H916" s="1291"/>
      <c r="I916" s="1291"/>
      <c r="J916" s="1291"/>
      <c r="K916" s="1291"/>
      <c r="L916" s="1291"/>
      <c r="M916" s="1291"/>
      <c r="N916" s="168"/>
      <c r="R916" s="282"/>
      <c r="S916" s="282"/>
      <c r="T916" s="282"/>
      <c r="U916" s="282"/>
      <c r="V916" s="282"/>
      <c r="W916" s="282"/>
      <c r="X916" s="282"/>
      <c r="Y916" s="282"/>
      <c r="Z916" s="282"/>
      <c r="AA916" s="282"/>
    </row>
    <row r="917" spans="1:27" s="428" customFormat="1" outlineLevel="2">
      <c r="A917" s="276">
        <f t="shared" si="334"/>
        <v>468</v>
      </c>
      <c r="B917" s="757" t="str">
        <f>$B312</f>
        <v>Counselor</v>
      </c>
      <c r="C917" s="560"/>
      <c r="D917" s="429"/>
      <c r="G917" s="1286">
        <f t="shared" ref="G917:M918" si="335">G312*$C$92</f>
        <v>0</v>
      </c>
      <c r="H917" s="1286">
        <f t="shared" si="335"/>
        <v>0</v>
      </c>
      <c r="I917" s="1286">
        <f t="shared" si="335"/>
        <v>515</v>
      </c>
      <c r="J917" s="1286">
        <f t="shared" si="335"/>
        <v>530.45000000000005</v>
      </c>
      <c r="K917" s="1286">
        <f t="shared" si="335"/>
        <v>546.36350000000004</v>
      </c>
      <c r="L917" s="1286">
        <f t="shared" si="335"/>
        <v>562.75440500000002</v>
      </c>
      <c r="M917" s="1286">
        <f t="shared" si="335"/>
        <v>579.63703714999986</v>
      </c>
      <c r="N917" s="168"/>
      <c r="R917" s="282"/>
      <c r="S917" s="282"/>
      <c r="T917" s="282"/>
      <c r="U917" s="282"/>
      <c r="V917" s="282"/>
      <c r="W917" s="282"/>
      <c r="X917" s="282"/>
      <c r="Y917" s="282"/>
      <c r="Z917" s="282"/>
      <c r="AA917" s="282"/>
    </row>
    <row r="918" spans="1:27" s="428" customFormat="1" outlineLevel="2">
      <c r="A918" s="276">
        <f t="shared" si="334"/>
        <v>469</v>
      </c>
      <c r="B918" s="757" t="str">
        <f>$B313</f>
        <v>Counselor</v>
      </c>
      <c r="C918" s="560"/>
      <c r="D918" s="429"/>
      <c r="G918" s="1286">
        <f t="shared" si="335"/>
        <v>0</v>
      </c>
      <c r="H918" s="1286">
        <f t="shared" si="335"/>
        <v>0</v>
      </c>
      <c r="I918" s="1286">
        <f t="shared" si="335"/>
        <v>0</v>
      </c>
      <c r="J918" s="1286">
        <f t="shared" si="335"/>
        <v>530.45000000000005</v>
      </c>
      <c r="K918" s="1286">
        <f t="shared" si="335"/>
        <v>546.36350000000004</v>
      </c>
      <c r="L918" s="1286">
        <f t="shared" si="335"/>
        <v>562.75440500000002</v>
      </c>
      <c r="M918" s="1286">
        <f t="shared" si="335"/>
        <v>579.63703714999986</v>
      </c>
      <c r="N918" s="168"/>
      <c r="R918" s="282"/>
      <c r="S918" s="282"/>
      <c r="T918" s="282"/>
      <c r="U918" s="282"/>
      <c r="V918" s="282"/>
      <c r="W918" s="282"/>
      <c r="X918" s="282"/>
      <c r="Y918" s="282"/>
      <c r="Z918" s="282"/>
      <c r="AA918" s="282"/>
    </row>
    <row r="919" spans="1:27" s="428" customFormat="1" outlineLevel="2">
      <c r="A919" s="276">
        <f t="shared" si="334"/>
        <v>470</v>
      </c>
      <c r="B919" s="757" t="str">
        <f t="shared" ref="B919:B925" si="336">$B314</f>
        <v xml:space="preserve">Janitor / Maintenance </v>
      </c>
      <c r="C919" s="560"/>
      <c r="D919" s="429"/>
      <c r="G919" s="1286">
        <f t="shared" ref="G919:M919" si="337">G314*$C$92</f>
        <v>0</v>
      </c>
      <c r="H919" s="1286">
        <f t="shared" si="337"/>
        <v>300</v>
      </c>
      <c r="I919" s="1286">
        <f t="shared" si="337"/>
        <v>309</v>
      </c>
      <c r="J919" s="1286">
        <f t="shared" si="337"/>
        <v>318.27</v>
      </c>
      <c r="K919" s="1286">
        <f t="shared" si="337"/>
        <v>327.81809999999996</v>
      </c>
      <c r="L919" s="1286">
        <f t="shared" si="337"/>
        <v>337.65264299999996</v>
      </c>
      <c r="M919" s="1286">
        <f t="shared" si="337"/>
        <v>347.78222228999994</v>
      </c>
      <c r="N919" s="168"/>
      <c r="R919" s="282"/>
      <c r="S919" s="282"/>
      <c r="T919" s="282"/>
      <c r="U919" s="282"/>
      <c r="V919" s="282"/>
      <c r="W919" s="282"/>
      <c r="X919" s="282"/>
      <c r="Y919" s="282"/>
      <c r="Z919" s="282"/>
      <c r="AA919" s="282"/>
    </row>
    <row r="920" spans="1:27" s="428" customFormat="1" outlineLevel="2">
      <c r="A920" s="276">
        <f t="shared" si="334"/>
        <v>471</v>
      </c>
      <c r="B920" s="757" t="str">
        <f t="shared" si="336"/>
        <v xml:space="preserve">Janitor / Maintenance </v>
      </c>
      <c r="C920" s="560"/>
      <c r="D920" s="429"/>
      <c r="G920" s="1286">
        <f t="shared" ref="G920:M920" si="338">G315*$C$92</f>
        <v>0</v>
      </c>
      <c r="H920" s="1286">
        <f t="shared" si="338"/>
        <v>0</v>
      </c>
      <c r="I920" s="1286">
        <f t="shared" si="338"/>
        <v>0</v>
      </c>
      <c r="J920" s="1286">
        <f t="shared" si="338"/>
        <v>318.27</v>
      </c>
      <c r="K920" s="1286">
        <f t="shared" si="338"/>
        <v>327.81809999999996</v>
      </c>
      <c r="L920" s="1286">
        <f t="shared" si="338"/>
        <v>337.65264299999996</v>
      </c>
      <c r="M920" s="1286">
        <f t="shared" si="338"/>
        <v>347.78222228999994</v>
      </c>
      <c r="N920" s="168"/>
      <c r="R920" s="282"/>
      <c r="S920" s="282"/>
      <c r="T920" s="282"/>
      <c r="U920" s="282"/>
      <c r="V920" s="282"/>
      <c r="W920" s="282"/>
      <c r="X920" s="282"/>
      <c r="Y920" s="282"/>
      <c r="Z920" s="282"/>
      <c r="AA920" s="282"/>
    </row>
    <row r="921" spans="1:27" s="428" customFormat="1" outlineLevel="2">
      <c r="A921" s="276">
        <f t="shared" si="334"/>
        <v>472</v>
      </c>
      <c r="B921" s="757">
        <f t="shared" si="336"/>
        <v>0</v>
      </c>
      <c r="C921" s="560"/>
      <c r="D921" s="429"/>
      <c r="G921" s="1286">
        <f t="shared" ref="G921:M921" si="339">G316*$C$92</f>
        <v>0</v>
      </c>
      <c r="H921" s="1286">
        <f t="shared" si="339"/>
        <v>0</v>
      </c>
      <c r="I921" s="1286">
        <f t="shared" si="339"/>
        <v>0</v>
      </c>
      <c r="J921" s="1286">
        <f t="shared" si="339"/>
        <v>0</v>
      </c>
      <c r="K921" s="1286">
        <f t="shared" si="339"/>
        <v>0</v>
      </c>
      <c r="L921" s="1286">
        <f t="shared" si="339"/>
        <v>0</v>
      </c>
      <c r="M921" s="1286">
        <f t="shared" si="339"/>
        <v>0</v>
      </c>
      <c r="N921" s="168"/>
      <c r="R921" s="282"/>
      <c r="S921" s="282"/>
      <c r="T921" s="282"/>
      <c r="U921" s="282"/>
      <c r="V921" s="282"/>
      <c r="W921" s="282"/>
      <c r="X921" s="282"/>
      <c r="Y921" s="282"/>
      <c r="Z921" s="282"/>
      <c r="AA921" s="282"/>
    </row>
    <row r="922" spans="1:27" s="428" customFormat="1" outlineLevel="2">
      <c r="A922" s="276">
        <f t="shared" si="334"/>
        <v>473</v>
      </c>
      <c r="B922" s="757" t="str">
        <f t="shared" si="336"/>
        <v>Plan Manager</v>
      </c>
      <c r="C922" s="560"/>
      <c r="D922" s="429"/>
      <c r="G922" s="1286">
        <f t="shared" ref="G922:M922" si="340">G317*$C$92</f>
        <v>0</v>
      </c>
      <c r="H922" s="1286">
        <f t="shared" si="340"/>
        <v>0</v>
      </c>
      <c r="I922" s="1286">
        <f t="shared" si="340"/>
        <v>0</v>
      </c>
      <c r="J922" s="1286">
        <f t="shared" si="340"/>
        <v>0</v>
      </c>
      <c r="K922" s="1286">
        <f t="shared" si="340"/>
        <v>0</v>
      </c>
      <c r="L922" s="1286">
        <f t="shared" si="340"/>
        <v>0</v>
      </c>
      <c r="M922" s="1286">
        <f t="shared" si="340"/>
        <v>579.63703714999986</v>
      </c>
      <c r="N922" s="168"/>
      <c r="R922" s="282"/>
      <c r="S922" s="282"/>
      <c r="T922" s="282"/>
      <c r="U922" s="282"/>
      <c r="V922" s="282"/>
      <c r="W922" s="282"/>
      <c r="X922" s="282"/>
      <c r="Y922" s="282"/>
      <c r="Z922" s="282"/>
      <c r="AA922" s="282"/>
    </row>
    <row r="923" spans="1:27" s="428" customFormat="1" outlineLevel="2">
      <c r="A923" s="276">
        <f t="shared" si="334"/>
        <v>474</v>
      </c>
      <c r="B923" s="757" t="str">
        <f t="shared" si="336"/>
        <v>IT Support Technician</v>
      </c>
      <c r="C923" s="560"/>
      <c r="D923" s="429"/>
      <c r="G923" s="1286">
        <f t="shared" ref="G923:M923" si="341">G318*$C$92</f>
        <v>0</v>
      </c>
      <c r="H923" s="1286">
        <f t="shared" si="341"/>
        <v>300</v>
      </c>
      <c r="I923" s="1286">
        <f t="shared" si="341"/>
        <v>309</v>
      </c>
      <c r="J923" s="1286">
        <f t="shared" si="341"/>
        <v>318.27</v>
      </c>
      <c r="K923" s="1286">
        <f t="shared" si="341"/>
        <v>327.81809999999996</v>
      </c>
      <c r="L923" s="1286">
        <f t="shared" si="341"/>
        <v>337.65264299999996</v>
      </c>
      <c r="M923" s="1286">
        <f t="shared" si="341"/>
        <v>347.78222228999994</v>
      </c>
      <c r="N923" s="168"/>
      <c r="R923" s="282"/>
      <c r="S923" s="282"/>
      <c r="T923" s="282"/>
      <c r="U923" s="282"/>
      <c r="V923" s="282"/>
      <c r="W923" s="282"/>
      <c r="X923" s="282"/>
      <c r="Y923" s="282"/>
      <c r="Z923" s="282"/>
      <c r="AA923" s="282"/>
    </row>
    <row r="924" spans="1:27" s="428" customFormat="1" outlineLevel="2">
      <c r="A924" s="276">
        <f t="shared" si="334"/>
        <v>475</v>
      </c>
      <c r="B924" s="757" t="str">
        <f t="shared" si="336"/>
        <v>IT Support Technician</v>
      </c>
      <c r="C924" s="560"/>
      <c r="D924" s="429"/>
      <c r="G924" s="1286">
        <f t="shared" ref="G924:M924" si="342">G319*$C$92</f>
        <v>0</v>
      </c>
      <c r="H924" s="1286">
        <f t="shared" si="342"/>
        <v>0</v>
      </c>
      <c r="I924" s="1286">
        <f t="shared" si="342"/>
        <v>0</v>
      </c>
      <c r="J924" s="1286">
        <f t="shared" si="342"/>
        <v>318.27</v>
      </c>
      <c r="K924" s="1286">
        <f t="shared" si="342"/>
        <v>327.81809999999996</v>
      </c>
      <c r="L924" s="1286">
        <f t="shared" si="342"/>
        <v>337.65264299999996</v>
      </c>
      <c r="M924" s="1286">
        <f t="shared" si="342"/>
        <v>347.78222228999994</v>
      </c>
      <c r="N924" s="168"/>
      <c r="R924" s="282"/>
      <c r="S924" s="282"/>
      <c r="T924" s="282"/>
      <c r="U924" s="282"/>
      <c r="V924" s="282"/>
      <c r="W924" s="282"/>
      <c r="X924" s="282"/>
      <c r="Y924" s="282"/>
      <c r="Z924" s="282"/>
      <c r="AA924" s="282"/>
    </row>
    <row r="925" spans="1:27" s="428" customFormat="1" outlineLevel="2">
      <c r="A925" s="276">
        <f t="shared" si="334"/>
        <v>476</v>
      </c>
      <c r="B925" s="757" t="str">
        <f t="shared" si="336"/>
        <v>Parent Coordinator</v>
      </c>
      <c r="C925" s="560"/>
      <c r="D925" s="429"/>
      <c r="G925" s="1286">
        <f t="shared" ref="G925:M925" si="343">G320*$C$92</f>
        <v>0</v>
      </c>
      <c r="H925" s="1286">
        <f t="shared" si="343"/>
        <v>0</v>
      </c>
      <c r="I925" s="1286">
        <f t="shared" si="343"/>
        <v>360.5</v>
      </c>
      <c r="J925" s="1286">
        <f t="shared" si="343"/>
        <v>371.315</v>
      </c>
      <c r="K925" s="1286">
        <f t="shared" si="343"/>
        <v>382.45445000000001</v>
      </c>
      <c r="L925" s="1286">
        <f t="shared" si="343"/>
        <v>393.92808350000001</v>
      </c>
      <c r="M925" s="1286">
        <f t="shared" si="343"/>
        <v>405.74592600499994</v>
      </c>
      <c r="N925" s="168"/>
      <c r="R925" s="282"/>
      <c r="S925" s="282"/>
      <c r="T925" s="282"/>
      <c r="U925" s="282"/>
      <c r="V925" s="282"/>
      <c r="W925" s="282"/>
      <c r="X925" s="282"/>
      <c r="Y925" s="282"/>
      <c r="Z925" s="282"/>
      <c r="AA925" s="282"/>
    </row>
    <row r="926" spans="1:27" s="428" customFormat="1" outlineLevel="2">
      <c r="A926" s="276">
        <f t="shared" si="334"/>
        <v>477</v>
      </c>
      <c r="B926" s="1360" t="str">
        <f>$B321</f>
        <v>Total Guidance Counselors/Other</v>
      </c>
      <c r="C926" s="732"/>
      <c r="D926" s="752"/>
      <c r="E926" s="702"/>
      <c r="F926" s="702"/>
      <c r="G926" s="1292">
        <f t="shared" ref="G926:M926" si="344">G321*$C$92</f>
        <v>0</v>
      </c>
      <c r="H926" s="1292">
        <f t="shared" si="344"/>
        <v>600</v>
      </c>
      <c r="I926" s="1292">
        <f t="shared" si="344"/>
        <v>1493.5</v>
      </c>
      <c r="J926" s="1292">
        <f t="shared" si="344"/>
        <v>2705.2950000000001</v>
      </c>
      <c r="K926" s="1292">
        <f t="shared" si="344"/>
        <v>2786.4538500000003</v>
      </c>
      <c r="L926" s="1292">
        <f t="shared" si="344"/>
        <v>2870.0474654999994</v>
      </c>
      <c r="M926" s="1292">
        <f t="shared" si="344"/>
        <v>3535.7859266149994</v>
      </c>
      <c r="N926" s="168"/>
      <c r="R926" s="282"/>
      <c r="S926" s="282"/>
      <c r="T926" s="282"/>
      <c r="U926" s="282"/>
      <c r="V926" s="282"/>
      <c r="W926" s="282"/>
      <c r="X926" s="282"/>
      <c r="Y926" s="282"/>
      <c r="Z926" s="282"/>
      <c r="AA926" s="282"/>
    </row>
    <row r="927" spans="1:27" s="428" customFormat="1" outlineLevel="2">
      <c r="A927" s="276">
        <f t="shared" si="334"/>
        <v>478</v>
      </c>
      <c r="B927" s="757"/>
      <c r="C927" s="560"/>
      <c r="D927" s="429"/>
      <c r="G927" s="1286"/>
      <c r="H927" s="1286"/>
      <c r="I927" s="1286"/>
      <c r="J927" s="1286"/>
      <c r="K927" s="1286"/>
      <c r="L927" s="1286"/>
      <c r="M927" s="1286"/>
      <c r="N927" s="168"/>
      <c r="R927" s="282"/>
      <c r="S927" s="282"/>
      <c r="T927" s="282"/>
      <c r="U927" s="282"/>
      <c r="V927" s="282"/>
      <c r="W927" s="282"/>
      <c r="X927" s="282"/>
      <c r="Y927" s="282"/>
      <c r="Z927" s="282"/>
      <c r="AA927" s="282"/>
    </row>
    <row r="928" spans="1:27" s="428" customFormat="1" outlineLevel="2">
      <c r="A928" s="276">
        <f t="shared" si="334"/>
        <v>479</v>
      </c>
      <c r="B928" s="757">
        <f>$B323</f>
        <v>0</v>
      </c>
      <c r="C928" s="560"/>
      <c r="D928" s="429"/>
      <c r="G928" s="1286">
        <f t="shared" ref="G928:M930" si="345">G323*$C$92</f>
        <v>0</v>
      </c>
      <c r="H928" s="1286">
        <f t="shared" si="345"/>
        <v>0</v>
      </c>
      <c r="I928" s="1286">
        <f t="shared" si="345"/>
        <v>0</v>
      </c>
      <c r="J928" s="1286">
        <f t="shared" si="345"/>
        <v>0</v>
      </c>
      <c r="K928" s="1286">
        <f t="shared" si="345"/>
        <v>0</v>
      </c>
      <c r="L928" s="1286">
        <f t="shared" si="345"/>
        <v>0</v>
      </c>
      <c r="M928" s="1286">
        <f t="shared" si="345"/>
        <v>0</v>
      </c>
      <c r="N928" s="168"/>
      <c r="R928" s="282"/>
      <c r="S928" s="282"/>
      <c r="T928" s="282"/>
      <c r="U928" s="282"/>
      <c r="V928" s="282"/>
      <c r="W928" s="282"/>
      <c r="X928" s="282"/>
      <c r="Y928" s="282"/>
      <c r="Z928" s="282"/>
      <c r="AA928" s="282"/>
    </row>
    <row r="929" spans="1:27" s="428" customFormat="1" outlineLevel="2">
      <c r="A929" s="276">
        <f t="shared" si="334"/>
        <v>480</v>
      </c>
      <c r="B929" s="757">
        <f>$B324</f>
        <v>0</v>
      </c>
      <c r="C929" s="560"/>
      <c r="D929" s="429"/>
      <c r="G929" s="1286">
        <f t="shared" si="345"/>
        <v>0</v>
      </c>
      <c r="H929" s="1286">
        <f t="shared" si="345"/>
        <v>0</v>
      </c>
      <c r="I929" s="1286">
        <f t="shared" si="345"/>
        <v>0</v>
      </c>
      <c r="J929" s="1286">
        <f t="shared" si="345"/>
        <v>0</v>
      </c>
      <c r="K929" s="1286">
        <f t="shared" si="345"/>
        <v>0</v>
      </c>
      <c r="L929" s="1286">
        <f t="shared" si="345"/>
        <v>0</v>
      </c>
      <c r="M929" s="1286">
        <f t="shared" si="345"/>
        <v>0</v>
      </c>
      <c r="N929" s="168"/>
      <c r="R929" s="282"/>
      <c r="S929" s="282"/>
      <c r="T929" s="282"/>
      <c r="U929" s="282"/>
      <c r="V929" s="282"/>
      <c r="W929" s="282"/>
      <c r="X929" s="282"/>
      <c r="Y929" s="282"/>
      <c r="Z929" s="282"/>
      <c r="AA929" s="282"/>
    </row>
    <row r="930" spans="1:27" s="428" customFormat="1" outlineLevel="2">
      <c r="A930" s="276">
        <f t="shared" si="334"/>
        <v>481</v>
      </c>
      <c r="B930" s="757">
        <f>$B325</f>
        <v>0</v>
      </c>
      <c r="C930" s="560"/>
      <c r="D930" s="429"/>
      <c r="G930" s="1286">
        <f t="shared" si="345"/>
        <v>0</v>
      </c>
      <c r="H930" s="1286">
        <f t="shared" si="345"/>
        <v>0</v>
      </c>
      <c r="I930" s="1286">
        <f t="shared" si="345"/>
        <v>0</v>
      </c>
      <c r="J930" s="1286">
        <f t="shared" si="345"/>
        <v>0</v>
      </c>
      <c r="K930" s="1286">
        <f t="shared" si="345"/>
        <v>0</v>
      </c>
      <c r="L930" s="1286">
        <f t="shared" si="345"/>
        <v>0</v>
      </c>
      <c r="M930" s="1286">
        <f t="shared" si="345"/>
        <v>0</v>
      </c>
      <c r="N930" s="168"/>
      <c r="R930" s="282"/>
      <c r="S930" s="282"/>
      <c r="T930" s="282"/>
      <c r="U930" s="282"/>
      <c r="V930" s="282"/>
      <c r="W930" s="282"/>
      <c r="X930" s="282"/>
      <c r="Y930" s="282"/>
      <c r="Z930" s="282"/>
      <c r="AA930" s="282"/>
    </row>
    <row r="931" spans="1:27" s="428" customFormat="1" outlineLevel="2">
      <c r="A931" s="276">
        <f t="shared" si="334"/>
        <v>482</v>
      </c>
      <c r="B931" s="757"/>
      <c r="C931" s="560"/>
      <c r="D931" s="429"/>
      <c r="G931" s="1286"/>
      <c r="H931" s="1286"/>
      <c r="I931" s="1286"/>
      <c r="J931" s="1286"/>
      <c r="K931" s="1286"/>
      <c r="L931" s="1286"/>
      <c r="M931" s="1286"/>
      <c r="N931" s="168"/>
      <c r="R931" s="282"/>
      <c r="S931" s="282"/>
      <c r="T931" s="282"/>
      <c r="U931" s="282"/>
      <c r="V931" s="282"/>
      <c r="W931" s="282"/>
      <c r="X931" s="282"/>
      <c r="Y931" s="282"/>
      <c r="Z931" s="282"/>
      <c r="AA931" s="282"/>
    </row>
    <row r="932" spans="1:27" s="428" customFormat="1" outlineLevel="2">
      <c r="A932" s="276">
        <f t="shared" si="334"/>
        <v>483</v>
      </c>
      <c r="B932" s="757" t="str">
        <f>$B327</f>
        <v>Kindergarten Teacher</v>
      </c>
      <c r="C932" s="560"/>
      <c r="D932" s="429"/>
      <c r="G932" s="1286">
        <f t="shared" ref="G932:M936" si="346">G327*$C$92</f>
        <v>0</v>
      </c>
      <c r="H932" s="1286">
        <f t="shared" si="346"/>
        <v>475</v>
      </c>
      <c r="I932" s="1286">
        <f t="shared" si="346"/>
        <v>489.25</v>
      </c>
      <c r="J932" s="1286">
        <f t="shared" si="346"/>
        <v>503.92750000000001</v>
      </c>
      <c r="K932" s="1286">
        <f t="shared" si="346"/>
        <v>519.04532500000005</v>
      </c>
      <c r="L932" s="1286">
        <f t="shared" si="346"/>
        <v>534.61668474999999</v>
      </c>
      <c r="M932" s="1286">
        <f t="shared" si="346"/>
        <v>550.65518529249994</v>
      </c>
      <c r="N932" s="168"/>
      <c r="R932" s="282"/>
      <c r="S932" s="282"/>
      <c r="T932" s="282"/>
      <c r="U932" s="282"/>
      <c r="V932" s="282"/>
      <c r="W932" s="282"/>
      <c r="X932" s="282"/>
      <c r="Y932" s="282"/>
      <c r="Z932" s="282"/>
      <c r="AA932" s="282"/>
    </row>
    <row r="933" spans="1:27" s="428" customFormat="1" outlineLevel="2">
      <c r="A933" s="276">
        <f t="shared" si="334"/>
        <v>484</v>
      </c>
      <c r="B933" s="757" t="str">
        <f>$B328</f>
        <v>Kindergarten Teacher</v>
      </c>
      <c r="C933" s="560"/>
      <c r="D933" s="429"/>
      <c r="G933" s="1286">
        <f t="shared" si="346"/>
        <v>0</v>
      </c>
      <c r="H933" s="1286">
        <f t="shared" si="346"/>
        <v>475</v>
      </c>
      <c r="I933" s="1286">
        <f t="shared" si="346"/>
        <v>489.25</v>
      </c>
      <c r="J933" s="1286">
        <f t="shared" si="346"/>
        <v>503.92750000000001</v>
      </c>
      <c r="K933" s="1286">
        <f t="shared" si="346"/>
        <v>519.04532500000005</v>
      </c>
      <c r="L933" s="1286">
        <f t="shared" si="346"/>
        <v>534.61668474999999</v>
      </c>
      <c r="M933" s="1286">
        <f t="shared" si="346"/>
        <v>550.65518529249994</v>
      </c>
      <c r="N933" s="168"/>
      <c r="R933" s="282"/>
      <c r="S933" s="282"/>
      <c r="T933" s="282"/>
      <c r="U933" s="282"/>
      <c r="V933" s="282"/>
      <c r="W933" s="282"/>
      <c r="X933" s="282"/>
      <c r="Y933" s="282"/>
      <c r="Z933" s="282"/>
      <c r="AA933" s="282"/>
    </row>
    <row r="934" spans="1:27" s="428" customFormat="1" outlineLevel="2">
      <c r="A934" s="276">
        <f t="shared" si="334"/>
        <v>485</v>
      </c>
      <c r="B934" s="757" t="str">
        <f>$B329</f>
        <v>Kindergarten Teacher</v>
      </c>
      <c r="C934" s="560"/>
      <c r="D934" s="429"/>
      <c r="G934" s="1286">
        <f t="shared" si="346"/>
        <v>0</v>
      </c>
      <c r="H934" s="1286">
        <f t="shared" si="346"/>
        <v>475</v>
      </c>
      <c r="I934" s="1286">
        <f t="shared" si="346"/>
        <v>489.25</v>
      </c>
      <c r="J934" s="1286">
        <f t="shared" si="346"/>
        <v>503.92750000000001</v>
      </c>
      <c r="K934" s="1286">
        <f t="shared" si="346"/>
        <v>519.04532500000005</v>
      </c>
      <c r="L934" s="1286">
        <f t="shared" si="346"/>
        <v>534.61668474999999</v>
      </c>
      <c r="M934" s="1286">
        <f t="shared" si="346"/>
        <v>550.65518529249994</v>
      </c>
      <c r="N934" s="168"/>
      <c r="R934" s="282"/>
      <c r="S934" s="282"/>
      <c r="T934" s="282"/>
      <c r="U934" s="282"/>
      <c r="V934" s="282"/>
      <c r="W934" s="282"/>
      <c r="X934" s="282"/>
      <c r="Y934" s="282"/>
      <c r="Z934" s="282"/>
      <c r="AA934" s="282"/>
    </row>
    <row r="935" spans="1:27" s="428" customFormat="1" outlineLevel="2">
      <c r="A935" s="276">
        <f t="shared" si="334"/>
        <v>486</v>
      </c>
      <c r="B935" s="757">
        <f>$B330</f>
        <v>0</v>
      </c>
      <c r="C935" s="560"/>
      <c r="D935" s="429"/>
      <c r="G935" s="1286">
        <f t="shared" si="346"/>
        <v>0</v>
      </c>
      <c r="H935" s="1286">
        <f t="shared" si="346"/>
        <v>0</v>
      </c>
      <c r="I935" s="1286">
        <f t="shared" si="346"/>
        <v>0</v>
      </c>
      <c r="J935" s="1286">
        <f t="shared" si="346"/>
        <v>0</v>
      </c>
      <c r="K935" s="1286">
        <f t="shared" si="346"/>
        <v>0</v>
      </c>
      <c r="L935" s="1286">
        <f t="shared" si="346"/>
        <v>0</v>
      </c>
      <c r="M935" s="1286">
        <f t="shared" si="346"/>
        <v>0</v>
      </c>
      <c r="N935" s="168"/>
      <c r="R935" s="282"/>
      <c r="S935" s="282"/>
      <c r="T935" s="282"/>
      <c r="U935" s="282"/>
      <c r="V935" s="282"/>
      <c r="W935" s="282"/>
      <c r="X935" s="282"/>
      <c r="Y935" s="282"/>
      <c r="Z935" s="282"/>
      <c r="AA935" s="282"/>
    </row>
    <row r="936" spans="1:27" s="431" customFormat="1" outlineLevel="2">
      <c r="A936" s="276">
        <f t="shared" si="334"/>
        <v>487</v>
      </c>
      <c r="B936" s="757">
        <f>$B331</f>
        <v>0</v>
      </c>
      <c r="C936" s="560"/>
      <c r="D936" s="429"/>
      <c r="G936" s="1286">
        <f t="shared" si="346"/>
        <v>0</v>
      </c>
      <c r="H936" s="1286">
        <f t="shared" si="346"/>
        <v>0</v>
      </c>
      <c r="I936" s="1286">
        <f t="shared" si="346"/>
        <v>0</v>
      </c>
      <c r="J936" s="1286">
        <f t="shared" si="346"/>
        <v>0</v>
      </c>
      <c r="K936" s="1286">
        <f t="shared" si="346"/>
        <v>0</v>
      </c>
      <c r="L936" s="1286">
        <f t="shared" si="346"/>
        <v>0</v>
      </c>
      <c r="M936" s="1286">
        <f t="shared" si="346"/>
        <v>0</v>
      </c>
      <c r="N936" s="141"/>
      <c r="R936" s="282"/>
      <c r="S936" s="282"/>
      <c r="T936" s="282"/>
      <c r="U936" s="282"/>
      <c r="V936" s="282"/>
      <c r="W936" s="282"/>
      <c r="X936" s="282"/>
      <c r="Y936" s="282"/>
      <c r="Z936" s="282"/>
      <c r="AA936" s="282"/>
    </row>
    <row r="937" spans="1:27" s="431" customFormat="1" outlineLevel="2">
      <c r="A937" s="276">
        <f t="shared" si="334"/>
        <v>488</v>
      </c>
      <c r="B937" s="757"/>
      <c r="C937" s="561"/>
      <c r="D937" s="428"/>
      <c r="G937" s="1286"/>
      <c r="H937" s="1286"/>
      <c r="I937" s="1286"/>
      <c r="J937" s="1286"/>
      <c r="K937" s="1286"/>
      <c r="L937" s="1286"/>
      <c r="M937" s="1286"/>
      <c r="N937" s="141"/>
      <c r="R937" s="282"/>
      <c r="S937" s="282"/>
      <c r="T937" s="282"/>
      <c r="U937" s="282"/>
      <c r="V937" s="282"/>
      <c r="W937" s="282"/>
      <c r="X937" s="282"/>
      <c r="Y937" s="282"/>
      <c r="Z937" s="282"/>
      <c r="AA937" s="282"/>
    </row>
    <row r="938" spans="1:27" s="428" customFormat="1" outlineLevel="2">
      <c r="A938" s="276">
        <f t="shared" si="334"/>
        <v>489</v>
      </c>
      <c r="B938" s="757" t="str">
        <f>$B333</f>
        <v>1st Grade Teacher</v>
      </c>
      <c r="C938" s="560"/>
      <c r="D938" s="429"/>
      <c r="G938" s="1286">
        <f t="shared" ref="G938:M942" si="347">G333*$C$92</f>
        <v>0</v>
      </c>
      <c r="H938" s="1286">
        <f t="shared" si="347"/>
        <v>475</v>
      </c>
      <c r="I938" s="1286">
        <f t="shared" si="347"/>
        <v>489.25</v>
      </c>
      <c r="J938" s="1286">
        <f t="shared" si="347"/>
        <v>503.92750000000001</v>
      </c>
      <c r="K938" s="1286">
        <f t="shared" si="347"/>
        <v>519.04532500000005</v>
      </c>
      <c r="L938" s="1286">
        <f t="shared" si="347"/>
        <v>534.61668474999999</v>
      </c>
      <c r="M938" s="1286">
        <f t="shared" si="347"/>
        <v>550.65518529249994</v>
      </c>
      <c r="N938" s="168"/>
      <c r="R938" s="282"/>
      <c r="S938" s="282"/>
      <c r="T938" s="282"/>
      <c r="U938" s="282"/>
      <c r="V938" s="282"/>
      <c r="W938" s="282"/>
      <c r="X938" s="282"/>
      <c r="Y938" s="282"/>
      <c r="Z938" s="282"/>
      <c r="AA938" s="282"/>
    </row>
    <row r="939" spans="1:27" s="428" customFormat="1" outlineLevel="2">
      <c r="A939" s="276">
        <f t="shared" si="334"/>
        <v>490</v>
      </c>
      <c r="B939" s="757" t="str">
        <f>$B334</f>
        <v>1st Grade Teacher</v>
      </c>
      <c r="C939" s="560"/>
      <c r="D939" s="429"/>
      <c r="G939" s="1286">
        <f t="shared" si="347"/>
        <v>0</v>
      </c>
      <c r="H939" s="1286">
        <f t="shared" si="347"/>
        <v>475</v>
      </c>
      <c r="I939" s="1286">
        <f t="shared" si="347"/>
        <v>489.25</v>
      </c>
      <c r="J939" s="1286">
        <f t="shared" si="347"/>
        <v>503.92750000000001</v>
      </c>
      <c r="K939" s="1286">
        <f t="shared" si="347"/>
        <v>519.04532500000005</v>
      </c>
      <c r="L939" s="1286">
        <f t="shared" si="347"/>
        <v>534.61668474999999</v>
      </c>
      <c r="M939" s="1286">
        <f t="shared" si="347"/>
        <v>550.65518529249994</v>
      </c>
      <c r="N939" s="168"/>
      <c r="R939" s="282"/>
      <c r="S939" s="282"/>
      <c r="T939" s="282"/>
      <c r="U939" s="282"/>
      <c r="V939" s="282"/>
      <c r="W939" s="282"/>
      <c r="X939" s="282"/>
      <c r="Y939" s="282"/>
      <c r="Z939" s="282"/>
      <c r="AA939" s="282"/>
    </row>
    <row r="940" spans="1:27" s="428" customFormat="1" outlineLevel="2">
      <c r="A940" s="276">
        <f t="shared" si="334"/>
        <v>491</v>
      </c>
      <c r="B940" s="757" t="str">
        <f>$B335</f>
        <v>1st Grade Teacher</v>
      </c>
      <c r="C940" s="560"/>
      <c r="D940" s="429"/>
      <c r="G940" s="1286">
        <f t="shared" si="347"/>
        <v>0</v>
      </c>
      <c r="H940" s="1286">
        <f t="shared" si="347"/>
        <v>0</v>
      </c>
      <c r="I940" s="1286">
        <f t="shared" si="347"/>
        <v>489.25</v>
      </c>
      <c r="J940" s="1286">
        <f t="shared" si="347"/>
        <v>503.92750000000001</v>
      </c>
      <c r="K940" s="1286">
        <f t="shared" si="347"/>
        <v>519.04532500000005</v>
      </c>
      <c r="L940" s="1286">
        <f t="shared" si="347"/>
        <v>534.61668474999999</v>
      </c>
      <c r="M940" s="1286">
        <f t="shared" si="347"/>
        <v>550.65518529249994</v>
      </c>
      <c r="N940" s="168"/>
      <c r="R940" s="282"/>
      <c r="S940" s="282"/>
      <c r="T940" s="282"/>
      <c r="U940" s="282"/>
      <c r="V940" s="282"/>
      <c r="W940" s="282"/>
      <c r="X940" s="282"/>
      <c r="Y940" s="282"/>
      <c r="Z940" s="282"/>
      <c r="AA940" s="282"/>
    </row>
    <row r="941" spans="1:27" s="428" customFormat="1" outlineLevel="2">
      <c r="A941" s="276">
        <f t="shared" si="334"/>
        <v>492</v>
      </c>
      <c r="B941" s="757">
        <f>$B336</f>
        <v>0</v>
      </c>
      <c r="C941" s="560"/>
      <c r="D941" s="429"/>
      <c r="G941" s="1286">
        <f t="shared" si="347"/>
        <v>0</v>
      </c>
      <c r="H941" s="1286">
        <f t="shared" si="347"/>
        <v>0</v>
      </c>
      <c r="I941" s="1286">
        <f t="shared" si="347"/>
        <v>0</v>
      </c>
      <c r="J941" s="1286">
        <f t="shared" si="347"/>
        <v>0</v>
      </c>
      <c r="K941" s="1286">
        <f t="shared" si="347"/>
        <v>0</v>
      </c>
      <c r="L941" s="1286">
        <f t="shared" si="347"/>
        <v>0</v>
      </c>
      <c r="M941" s="1286">
        <f t="shared" si="347"/>
        <v>0</v>
      </c>
      <c r="N941" s="168"/>
      <c r="R941" s="282"/>
      <c r="S941" s="282"/>
      <c r="T941" s="282"/>
      <c r="U941" s="282"/>
      <c r="V941" s="282"/>
      <c r="W941" s="282"/>
      <c r="X941" s="282"/>
      <c r="Y941" s="282"/>
      <c r="Z941" s="282"/>
      <c r="AA941" s="282"/>
    </row>
    <row r="942" spans="1:27" s="428" customFormat="1" outlineLevel="2">
      <c r="A942" s="276">
        <f t="shared" si="334"/>
        <v>493</v>
      </c>
      <c r="B942" s="757">
        <f>$B337</f>
        <v>0</v>
      </c>
      <c r="C942" s="560"/>
      <c r="D942" s="429"/>
      <c r="G942" s="1286">
        <f t="shared" si="347"/>
        <v>0</v>
      </c>
      <c r="H942" s="1286">
        <f t="shared" si="347"/>
        <v>0</v>
      </c>
      <c r="I942" s="1286">
        <f t="shared" si="347"/>
        <v>0</v>
      </c>
      <c r="J942" s="1286">
        <f t="shared" si="347"/>
        <v>0</v>
      </c>
      <c r="K942" s="1286">
        <f t="shared" si="347"/>
        <v>0</v>
      </c>
      <c r="L942" s="1286">
        <f t="shared" si="347"/>
        <v>0</v>
      </c>
      <c r="M942" s="1286">
        <f t="shared" si="347"/>
        <v>0</v>
      </c>
      <c r="N942" s="168"/>
      <c r="R942" s="282"/>
      <c r="S942" s="282"/>
      <c r="T942" s="282"/>
      <c r="U942" s="282"/>
      <c r="V942" s="282"/>
      <c r="W942" s="282"/>
      <c r="X942" s="282"/>
      <c r="Y942" s="282"/>
      <c r="Z942" s="282"/>
      <c r="AA942" s="282"/>
    </row>
    <row r="943" spans="1:27" s="428" customFormat="1" outlineLevel="2">
      <c r="A943" s="276">
        <f t="shared" si="334"/>
        <v>494</v>
      </c>
      <c r="B943" s="757"/>
      <c r="C943" s="560"/>
      <c r="D943" s="429"/>
      <c r="G943" s="1286"/>
      <c r="H943" s="1286"/>
      <c r="I943" s="1286"/>
      <c r="J943" s="1286"/>
      <c r="K943" s="1286"/>
      <c r="L943" s="1286"/>
      <c r="M943" s="1286"/>
      <c r="N943" s="168"/>
      <c r="R943" s="282"/>
      <c r="S943" s="282"/>
      <c r="T943" s="282"/>
      <c r="U943" s="282"/>
      <c r="V943" s="282"/>
      <c r="W943" s="282"/>
      <c r="X943" s="282"/>
      <c r="Y943" s="282"/>
      <c r="Z943" s="282"/>
      <c r="AA943" s="282"/>
    </row>
    <row r="944" spans="1:27" s="428" customFormat="1" outlineLevel="2">
      <c r="A944" s="276">
        <f t="shared" si="334"/>
        <v>495</v>
      </c>
      <c r="B944" s="757" t="str">
        <f>$B339</f>
        <v>2nd Grade Teacher</v>
      </c>
      <c r="C944" s="560"/>
      <c r="D944" s="429"/>
      <c r="G944" s="1286">
        <f t="shared" ref="G944:M948" si="348">G339*$C$92</f>
        <v>0</v>
      </c>
      <c r="H944" s="1286">
        <f t="shared" si="348"/>
        <v>475</v>
      </c>
      <c r="I944" s="1286">
        <f t="shared" si="348"/>
        <v>489.25</v>
      </c>
      <c r="J944" s="1286">
        <f t="shared" si="348"/>
        <v>503.92750000000001</v>
      </c>
      <c r="K944" s="1286">
        <f t="shared" si="348"/>
        <v>519.04532500000005</v>
      </c>
      <c r="L944" s="1286">
        <f t="shared" si="348"/>
        <v>534.61668474999999</v>
      </c>
      <c r="M944" s="1286">
        <f t="shared" si="348"/>
        <v>550.65518529249994</v>
      </c>
      <c r="N944" s="168"/>
      <c r="R944" s="282"/>
      <c r="S944" s="282"/>
      <c r="T944" s="282"/>
      <c r="U944" s="282"/>
      <c r="V944" s="282"/>
      <c r="W944" s="282"/>
      <c r="X944" s="282"/>
      <c r="Y944" s="282"/>
      <c r="Z944" s="282"/>
      <c r="AA944" s="282"/>
    </row>
    <row r="945" spans="1:27" s="428" customFormat="1" outlineLevel="2">
      <c r="A945" s="276">
        <f t="shared" si="334"/>
        <v>496</v>
      </c>
      <c r="B945" s="757" t="str">
        <f>$B340</f>
        <v>2nd Grade Teacher</v>
      </c>
      <c r="C945" s="560"/>
      <c r="D945" s="429"/>
      <c r="G945" s="1286">
        <f t="shared" si="348"/>
        <v>0</v>
      </c>
      <c r="H945" s="1286">
        <f t="shared" si="348"/>
        <v>0</v>
      </c>
      <c r="I945" s="1286">
        <f t="shared" si="348"/>
        <v>489.25</v>
      </c>
      <c r="J945" s="1286">
        <f t="shared" si="348"/>
        <v>503.92750000000001</v>
      </c>
      <c r="K945" s="1286">
        <f t="shared" si="348"/>
        <v>519.04532500000005</v>
      </c>
      <c r="L945" s="1286">
        <f t="shared" si="348"/>
        <v>534.61668474999999</v>
      </c>
      <c r="M945" s="1286">
        <f t="shared" si="348"/>
        <v>550.65518529249994</v>
      </c>
      <c r="N945" s="168"/>
      <c r="R945" s="282"/>
      <c r="S945" s="282"/>
      <c r="T945" s="282"/>
      <c r="U945" s="282"/>
      <c r="V945" s="282"/>
      <c r="W945" s="282"/>
      <c r="X945" s="282"/>
      <c r="Y945" s="282"/>
      <c r="Z945" s="282"/>
      <c r="AA945" s="282"/>
    </row>
    <row r="946" spans="1:27" s="428" customFormat="1" outlineLevel="2">
      <c r="A946" s="276">
        <f t="shared" si="334"/>
        <v>497</v>
      </c>
      <c r="B946" s="757" t="str">
        <f>$B341</f>
        <v>2nd Grade Teacher</v>
      </c>
      <c r="C946" s="560"/>
      <c r="D946" s="429"/>
      <c r="G946" s="1286">
        <f t="shared" si="348"/>
        <v>0</v>
      </c>
      <c r="H946" s="1286">
        <f t="shared" si="348"/>
        <v>0</v>
      </c>
      <c r="I946" s="1286">
        <f t="shared" si="348"/>
        <v>0</v>
      </c>
      <c r="J946" s="1286">
        <f t="shared" si="348"/>
        <v>503.92750000000001</v>
      </c>
      <c r="K946" s="1286">
        <f t="shared" si="348"/>
        <v>519.04532500000005</v>
      </c>
      <c r="L946" s="1286">
        <f t="shared" si="348"/>
        <v>534.61668474999999</v>
      </c>
      <c r="M946" s="1286">
        <f t="shared" si="348"/>
        <v>550.65518529249994</v>
      </c>
      <c r="N946" s="168"/>
      <c r="R946" s="282"/>
      <c r="S946" s="282"/>
      <c r="T946" s="282"/>
      <c r="U946" s="282"/>
      <c r="V946" s="282"/>
      <c r="W946" s="282"/>
      <c r="X946" s="282"/>
      <c r="Y946" s="282"/>
      <c r="Z946" s="282"/>
      <c r="AA946" s="282"/>
    </row>
    <row r="947" spans="1:27" s="428" customFormat="1" outlineLevel="2">
      <c r="A947" s="276">
        <f t="shared" si="334"/>
        <v>498</v>
      </c>
      <c r="B947" s="757">
        <f>$B342</f>
        <v>0</v>
      </c>
      <c r="C947" s="560"/>
      <c r="D947" s="429"/>
      <c r="G947" s="1286">
        <f t="shared" si="348"/>
        <v>0</v>
      </c>
      <c r="H947" s="1286">
        <f t="shared" si="348"/>
        <v>0</v>
      </c>
      <c r="I947" s="1286">
        <f t="shared" si="348"/>
        <v>0</v>
      </c>
      <c r="J947" s="1286">
        <f t="shared" si="348"/>
        <v>0</v>
      </c>
      <c r="K947" s="1286">
        <f t="shared" si="348"/>
        <v>0</v>
      </c>
      <c r="L947" s="1286">
        <f t="shared" si="348"/>
        <v>0</v>
      </c>
      <c r="M947" s="1286">
        <f t="shared" si="348"/>
        <v>0</v>
      </c>
      <c r="N947" s="168"/>
      <c r="R947" s="282"/>
      <c r="S947" s="282"/>
      <c r="T947" s="282"/>
      <c r="U947" s="282"/>
      <c r="V947" s="282"/>
      <c r="W947" s="282"/>
      <c r="X947" s="282"/>
      <c r="Y947" s="282"/>
      <c r="Z947" s="282"/>
      <c r="AA947" s="282"/>
    </row>
    <row r="948" spans="1:27" s="431" customFormat="1" outlineLevel="2">
      <c r="A948" s="276">
        <f t="shared" ref="A948:A979" si="349">ROW(A499)</f>
        <v>499</v>
      </c>
      <c r="B948" s="757">
        <f>$B343</f>
        <v>0</v>
      </c>
      <c r="C948" s="560"/>
      <c r="D948" s="429"/>
      <c r="G948" s="1286">
        <f t="shared" si="348"/>
        <v>0</v>
      </c>
      <c r="H948" s="1286">
        <f t="shared" si="348"/>
        <v>0</v>
      </c>
      <c r="I948" s="1286">
        <f t="shared" si="348"/>
        <v>0</v>
      </c>
      <c r="J948" s="1286">
        <f t="shared" si="348"/>
        <v>0</v>
      </c>
      <c r="K948" s="1286">
        <f t="shared" si="348"/>
        <v>0</v>
      </c>
      <c r="L948" s="1286">
        <f t="shared" si="348"/>
        <v>0</v>
      </c>
      <c r="M948" s="1286">
        <f t="shared" si="348"/>
        <v>0</v>
      </c>
      <c r="N948" s="141"/>
      <c r="R948" s="282"/>
      <c r="S948" s="282"/>
      <c r="T948" s="282"/>
      <c r="U948" s="282"/>
      <c r="V948" s="282"/>
      <c r="W948" s="282"/>
      <c r="X948" s="282"/>
      <c r="Y948" s="282"/>
      <c r="Z948" s="282"/>
      <c r="AA948" s="282"/>
    </row>
    <row r="949" spans="1:27" s="431" customFormat="1" outlineLevel="2">
      <c r="A949" s="276">
        <f t="shared" si="349"/>
        <v>500</v>
      </c>
      <c r="B949" s="757"/>
      <c r="C949" s="561"/>
      <c r="D949" s="428"/>
      <c r="G949" s="1286"/>
      <c r="H949" s="1286"/>
      <c r="I949" s="1286"/>
      <c r="J949" s="1286"/>
      <c r="K949" s="1286"/>
      <c r="L949" s="1286"/>
      <c r="M949" s="1286"/>
      <c r="N949" s="141"/>
      <c r="R949" s="282"/>
      <c r="S949" s="282"/>
      <c r="T949" s="282"/>
      <c r="U949" s="282"/>
      <c r="V949" s="282"/>
      <c r="W949" s="282"/>
      <c r="X949" s="282"/>
      <c r="Y949" s="282"/>
      <c r="Z949" s="282"/>
      <c r="AA949" s="282"/>
    </row>
    <row r="950" spans="1:27" s="428" customFormat="1" outlineLevel="2">
      <c r="A950" s="276">
        <f t="shared" si="349"/>
        <v>501</v>
      </c>
      <c r="B950" s="757" t="str">
        <f>$B345</f>
        <v>3rd Grade Teacher</v>
      </c>
      <c r="C950" s="560"/>
      <c r="D950" s="429"/>
      <c r="G950" s="1286">
        <f t="shared" ref="G950:M954" si="350">G345*$C$92</f>
        <v>0</v>
      </c>
      <c r="H950" s="1286">
        <f t="shared" si="350"/>
        <v>475</v>
      </c>
      <c r="I950" s="1286">
        <f t="shared" si="350"/>
        <v>489.25</v>
      </c>
      <c r="J950" s="1286">
        <f t="shared" si="350"/>
        <v>503.92750000000001</v>
      </c>
      <c r="K950" s="1286">
        <f t="shared" si="350"/>
        <v>519.04532500000005</v>
      </c>
      <c r="L950" s="1286">
        <f t="shared" si="350"/>
        <v>534.61668474999999</v>
      </c>
      <c r="M950" s="1286">
        <f t="shared" si="350"/>
        <v>550.65518529249994</v>
      </c>
      <c r="N950" s="168"/>
      <c r="R950" s="282"/>
      <c r="S950" s="282"/>
      <c r="T950" s="282"/>
      <c r="U950" s="282"/>
      <c r="V950" s="282"/>
      <c r="W950" s="282"/>
      <c r="X950" s="282"/>
      <c r="Y950" s="282"/>
      <c r="Z950" s="282"/>
      <c r="AA950" s="282"/>
    </row>
    <row r="951" spans="1:27" s="428" customFormat="1" outlineLevel="2">
      <c r="A951" s="276">
        <f t="shared" si="349"/>
        <v>502</v>
      </c>
      <c r="B951" s="757" t="str">
        <f>$B346</f>
        <v>3rd Grade Teacher</v>
      </c>
      <c r="C951" s="560"/>
      <c r="D951" s="429"/>
      <c r="G951" s="1286">
        <f t="shared" si="350"/>
        <v>0</v>
      </c>
      <c r="H951" s="1286">
        <f t="shared" si="350"/>
        <v>0</v>
      </c>
      <c r="I951" s="1286">
        <f t="shared" si="350"/>
        <v>0</v>
      </c>
      <c r="J951" s="1286">
        <f t="shared" si="350"/>
        <v>503.92750000000001</v>
      </c>
      <c r="K951" s="1286">
        <f t="shared" si="350"/>
        <v>519.04532500000005</v>
      </c>
      <c r="L951" s="1286">
        <f t="shared" si="350"/>
        <v>534.61668474999999</v>
      </c>
      <c r="M951" s="1286">
        <f t="shared" si="350"/>
        <v>550.65518529249994</v>
      </c>
      <c r="N951" s="168"/>
      <c r="R951" s="282"/>
      <c r="S951" s="282"/>
      <c r="T951" s="282"/>
      <c r="U951" s="282"/>
      <c r="V951" s="282"/>
      <c r="W951" s="282"/>
      <c r="X951" s="282"/>
      <c r="Y951" s="282"/>
      <c r="Z951" s="282"/>
      <c r="AA951" s="282"/>
    </row>
    <row r="952" spans="1:27" s="428" customFormat="1" outlineLevel="2">
      <c r="A952" s="276">
        <f t="shared" si="349"/>
        <v>503</v>
      </c>
      <c r="B952" s="757" t="str">
        <f>$B347</f>
        <v>3rd Grade Teacher</v>
      </c>
      <c r="C952" s="560"/>
      <c r="D952" s="429"/>
      <c r="G952" s="1286">
        <f t="shared" si="350"/>
        <v>0</v>
      </c>
      <c r="H952" s="1286">
        <f t="shared" si="350"/>
        <v>0</v>
      </c>
      <c r="I952" s="1286">
        <f t="shared" si="350"/>
        <v>0</v>
      </c>
      <c r="J952" s="1286">
        <f t="shared" si="350"/>
        <v>0</v>
      </c>
      <c r="K952" s="1286">
        <f t="shared" si="350"/>
        <v>519.04532500000005</v>
      </c>
      <c r="L952" s="1286">
        <f t="shared" si="350"/>
        <v>534.61668474999999</v>
      </c>
      <c r="M952" s="1286">
        <f t="shared" si="350"/>
        <v>550.65518529249994</v>
      </c>
      <c r="N952" s="168"/>
      <c r="R952" s="282"/>
      <c r="S952" s="282"/>
      <c r="T952" s="282"/>
      <c r="U952" s="282"/>
      <c r="V952" s="282"/>
      <c r="W952" s="282"/>
      <c r="X952" s="282"/>
      <c r="Y952" s="282"/>
      <c r="Z952" s="282"/>
      <c r="AA952" s="282"/>
    </row>
    <row r="953" spans="1:27" s="428" customFormat="1" outlineLevel="2">
      <c r="A953" s="276">
        <f t="shared" si="349"/>
        <v>504</v>
      </c>
      <c r="B953" s="757">
        <f>$B348</f>
        <v>0</v>
      </c>
      <c r="C953" s="560"/>
      <c r="D953" s="429"/>
      <c r="G953" s="1286">
        <f t="shared" si="350"/>
        <v>0</v>
      </c>
      <c r="H953" s="1286">
        <f t="shared" si="350"/>
        <v>0</v>
      </c>
      <c r="I953" s="1286">
        <f t="shared" si="350"/>
        <v>0</v>
      </c>
      <c r="J953" s="1286">
        <f t="shared" si="350"/>
        <v>0</v>
      </c>
      <c r="K953" s="1286">
        <f t="shared" si="350"/>
        <v>0</v>
      </c>
      <c r="L953" s="1286">
        <f t="shared" si="350"/>
        <v>0</v>
      </c>
      <c r="M953" s="1286">
        <f t="shared" si="350"/>
        <v>0</v>
      </c>
      <c r="N953" s="168"/>
      <c r="R953" s="282"/>
      <c r="S953" s="282"/>
      <c r="T953" s="282"/>
      <c r="U953" s="282"/>
      <c r="V953" s="282"/>
      <c r="W953" s="282"/>
      <c r="X953" s="282"/>
      <c r="Y953" s="282"/>
      <c r="Z953" s="282"/>
      <c r="AA953" s="282"/>
    </row>
    <row r="954" spans="1:27" s="428" customFormat="1" outlineLevel="2">
      <c r="A954" s="276">
        <f t="shared" si="349"/>
        <v>505</v>
      </c>
      <c r="B954" s="757">
        <f>$B349</f>
        <v>0</v>
      </c>
      <c r="C954" s="560"/>
      <c r="D954" s="429"/>
      <c r="G954" s="1286">
        <f t="shared" si="350"/>
        <v>0</v>
      </c>
      <c r="H954" s="1286">
        <f t="shared" si="350"/>
        <v>0</v>
      </c>
      <c r="I954" s="1286">
        <f t="shared" si="350"/>
        <v>0</v>
      </c>
      <c r="J954" s="1286">
        <f t="shared" si="350"/>
        <v>0</v>
      </c>
      <c r="K954" s="1286">
        <f t="shared" si="350"/>
        <v>0</v>
      </c>
      <c r="L954" s="1286">
        <f t="shared" si="350"/>
        <v>0</v>
      </c>
      <c r="M954" s="1286">
        <f t="shared" si="350"/>
        <v>0</v>
      </c>
      <c r="N954" s="168"/>
      <c r="R954" s="282"/>
      <c r="S954" s="282"/>
      <c r="T954" s="282"/>
      <c r="U954" s="282"/>
      <c r="V954" s="282"/>
      <c r="W954" s="282"/>
      <c r="X954" s="282"/>
      <c r="Y954" s="282"/>
      <c r="Z954" s="282"/>
      <c r="AA954" s="282"/>
    </row>
    <row r="955" spans="1:27" s="428" customFormat="1" outlineLevel="2">
      <c r="A955" s="276">
        <f t="shared" si="349"/>
        <v>506</v>
      </c>
      <c r="B955" s="757"/>
      <c r="C955" s="560"/>
      <c r="D955" s="429"/>
      <c r="G955" s="1286"/>
      <c r="H955" s="1286"/>
      <c r="I955" s="1286"/>
      <c r="J955" s="1286"/>
      <c r="K955" s="1286"/>
      <c r="L955" s="1286"/>
      <c r="M955" s="1286"/>
      <c r="N955" s="168"/>
      <c r="R955" s="282"/>
      <c r="S955" s="282"/>
      <c r="T955" s="282"/>
      <c r="U955" s="282"/>
      <c r="V955" s="282"/>
      <c r="W955" s="282"/>
      <c r="X955" s="282"/>
      <c r="Y955" s="282"/>
      <c r="Z955" s="282"/>
      <c r="AA955" s="282"/>
    </row>
    <row r="956" spans="1:27" s="428" customFormat="1" outlineLevel="2">
      <c r="A956" s="276">
        <f t="shared" si="349"/>
        <v>507</v>
      </c>
      <c r="B956" s="757" t="str">
        <f>$B351</f>
        <v>4th Grade Teacher</v>
      </c>
      <c r="C956" s="560"/>
      <c r="D956" s="429"/>
      <c r="G956" s="1286">
        <f t="shared" ref="G956:M960" si="351">G351*$C$92</f>
        <v>0</v>
      </c>
      <c r="H956" s="1286">
        <f t="shared" si="351"/>
        <v>475</v>
      </c>
      <c r="I956" s="1286">
        <f t="shared" si="351"/>
        <v>489.25</v>
      </c>
      <c r="J956" s="1286">
        <f t="shared" si="351"/>
        <v>503.92750000000001</v>
      </c>
      <c r="K956" s="1286">
        <f t="shared" si="351"/>
        <v>519.04532500000005</v>
      </c>
      <c r="L956" s="1286">
        <f t="shared" si="351"/>
        <v>534.61668474999999</v>
      </c>
      <c r="M956" s="1286">
        <f t="shared" si="351"/>
        <v>550.65518529249994</v>
      </c>
      <c r="N956" s="168"/>
      <c r="R956" s="282"/>
      <c r="S956" s="282"/>
      <c r="T956" s="282"/>
      <c r="U956" s="282"/>
      <c r="V956" s="282"/>
      <c r="W956" s="282"/>
      <c r="X956" s="282"/>
      <c r="Y956" s="282"/>
      <c r="Z956" s="282"/>
      <c r="AA956" s="282"/>
    </row>
    <row r="957" spans="1:27" s="428" customFormat="1" outlineLevel="2">
      <c r="A957" s="276">
        <f t="shared" si="349"/>
        <v>508</v>
      </c>
      <c r="B957" s="757" t="str">
        <f>$B352</f>
        <v>4th Grade Teacher</v>
      </c>
      <c r="C957" s="560"/>
      <c r="D957" s="429"/>
      <c r="G957" s="1286">
        <f t="shared" si="351"/>
        <v>0</v>
      </c>
      <c r="H957" s="1286">
        <f t="shared" si="351"/>
        <v>0</v>
      </c>
      <c r="I957" s="1286">
        <f t="shared" si="351"/>
        <v>0</v>
      </c>
      <c r="J957" s="1286">
        <f t="shared" si="351"/>
        <v>0</v>
      </c>
      <c r="K957" s="1286">
        <f t="shared" si="351"/>
        <v>519.04532500000005</v>
      </c>
      <c r="L957" s="1286">
        <f t="shared" si="351"/>
        <v>534.61668474999999</v>
      </c>
      <c r="M957" s="1286">
        <f t="shared" si="351"/>
        <v>550.65518529249994</v>
      </c>
      <c r="N957" s="168"/>
      <c r="R957" s="282"/>
      <c r="S957" s="282"/>
      <c r="T957" s="282"/>
      <c r="U957" s="282"/>
      <c r="V957" s="282"/>
      <c r="W957" s="282"/>
      <c r="X957" s="282"/>
      <c r="Y957" s="282"/>
      <c r="Z957" s="282"/>
      <c r="AA957" s="282"/>
    </row>
    <row r="958" spans="1:27" s="428" customFormat="1" outlineLevel="2">
      <c r="A958" s="276">
        <f t="shared" si="349"/>
        <v>509</v>
      </c>
      <c r="B958" s="757" t="str">
        <f>$B353</f>
        <v>4th Grade Teacher</v>
      </c>
      <c r="C958" s="560"/>
      <c r="D958" s="429"/>
      <c r="G958" s="1286">
        <f t="shared" si="351"/>
        <v>0</v>
      </c>
      <c r="H958" s="1286">
        <f t="shared" si="351"/>
        <v>0</v>
      </c>
      <c r="I958" s="1286">
        <f t="shared" si="351"/>
        <v>0</v>
      </c>
      <c r="J958" s="1286">
        <f t="shared" si="351"/>
        <v>0</v>
      </c>
      <c r="K958" s="1286">
        <f t="shared" si="351"/>
        <v>0</v>
      </c>
      <c r="L958" s="1286">
        <f t="shared" si="351"/>
        <v>534.61668474999999</v>
      </c>
      <c r="M958" s="1286">
        <f t="shared" si="351"/>
        <v>550.65518529249994</v>
      </c>
      <c r="N958" s="168"/>
      <c r="R958" s="282"/>
      <c r="S958" s="282"/>
      <c r="T958" s="282"/>
      <c r="U958" s="282"/>
      <c r="V958" s="282"/>
      <c r="W958" s="282"/>
      <c r="X958" s="282"/>
      <c r="Y958" s="282"/>
      <c r="Z958" s="282"/>
      <c r="AA958" s="282"/>
    </row>
    <row r="959" spans="1:27" s="428" customFormat="1" outlineLevel="2">
      <c r="A959" s="276">
        <f t="shared" si="349"/>
        <v>510</v>
      </c>
      <c r="B959" s="757">
        <f>$B354</f>
        <v>0</v>
      </c>
      <c r="C959" s="560"/>
      <c r="D959" s="429"/>
      <c r="G959" s="1286">
        <f t="shared" si="351"/>
        <v>0</v>
      </c>
      <c r="H959" s="1286">
        <f t="shared" si="351"/>
        <v>0</v>
      </c>
      <c r="I959" s="1286">
        <f t="shared" si="351"/>
        <v>0</v>
      </c>
      <c r="J959" s="1286">
        <f t="shared" si="351"/>
        <v>0</v>
      </c>
      <c r="K959" s="1286">
        <f t="shared" si="351"/>
        <v>0</v>
      </c>
      <c r="L959" s="1286">
        <f t="shared" si="351"/>
        <v>0</v>
      </c>
      <c r="M959" s="1286">
        <f t="shared" si="351"/>
        <v>0</v>
      </c>
      <c r="N959" s="168"/>
      <c r="R959" s="282"/>
      <c r="S959" s="282"/>
      <c r="T959" s="282"/>
      <c r="U959" s="282"/>
      <c r="V959" s="282"/>
      <c r="W959" s="282"/>
      <c r="X959" s="282"/>
      <c r="Y959" s="282"/>
      <c r="Z959" s="282"/>
      <c r="AA959" s="282"/>
    </row>
    <row r="960" spans="1:27" s="431" customFormat="1" outlineLevel="2">
      <c r="A960" s="276">
        <f t="shared" si="349"/>
        <v>511</v>
      </c>
      <c r="B960" s="757">
        <f>$B355</f>
        <v>0</v>
      </c>
      <c r="C960" s="560"/>
      <c r="D960" s="429"/>
      <c r="G960" s="1286">
        <f t="shared" si="351"/>
        <v>0</v>
      </c>
      <c r="H960" s="1286">
        <f t="shared" si="351"/>
        <v>0</v>
      </c>
      <c r="I960" s="1286">
        <f t="shared" si="351"/>
        <v>0</v>
      </c>
      <c r="J960" s="1286">
        <f t="shared" si="351"/>
        <v>0</v>
      </c>
      <c r="K960" s="1286">
        <f t="shared" si="351"/>
        <v>0</v>
      </c>
      <c r="L960" s="1286">
        <f t="shared" si="351"/>
        <v>0</v>
      </c>
      <c r="M960" s="1286">
        <f t="shared" si="351"/>
        <v>0</v>
      </c>
      <c r="N960" s="141"/>
      <c r="R960" s="282"/>
      <c r="S960" s="282"/>
      <c r="T960" s="282"/>
      <c r="U960" s="282"/>
      <c r="V960" s="282"/>
      <c r="W960" s="282"/>
      <c r="X960" s="282"/>
      <c r="Y960" s="282"/>
      <c r="Z960" s="282"/>
      <c r="AA960" s="282"/>
    </row>
    <row r="961" spans="1:27" s="431" customFormat="1" outlineLevel="2">
      <c r="A961" s="276">
        <f t="shared" si="349"/>
        <v>512</v>
      </c>
      <c r="B961" s="757"/>
      <c r="C961" s="561"/>
      <c r="D961" s="428"/>
      <c r="G961" s="1286"/>
      <c r="H961" s="1286"/>
      <c r="I961" s="1286"/>
      <c r="J961" s="1286"/>
      <c r="K961" s="1286"/>
      <c r="L961" s="1286"/>
      <c r="M961" s="1286"/>
      <c r="N961" s="141"/>
      <c r="R961" s="282"/>
      <c r="S961" s="282"/>
      <c r="T961" s="282"/>
      <c r="U961" s="282"/>
      <c r="V961" s="282"/>
      <c r="W961" s="282"/>
      <c r="X961" s="282"/>
      <c r="Y961" s="282"/>
      <c r="Z961" s="282"/>
      <c r="AA961" s="282"/>
    </row>
    <row r="962" spans="1:27" s="428" customFormat="1" outlineLevel="2">
      <c r="A962" s="276">
        <f t="shared" si="349"/>
        <v>513</v>
      </c>
      <c r="B962" s="757" t="str">
        <f>$B357</f>
        <v>5th Grade Teacher</v>
      </c>
      <c r="C962" s="560"/>
      <c r="D962" s="429"/>
      <c r="G962" s="1286">
        <f t="shared" ref="G962:M966" si="352">G357*$C$92</f>
        <v>0</v>
      </c>
      <c r="H962" s="1286">
        <f t="shared" si="352"/>
        <v>475</v>
      </c>
      <c r="I962" s="1286">
        <f t="shared" si="352"/>
        <v>489.25</v>
      </c>
      <c r="J962" s="1286">
        <f t="shared" si="352"/>
        <v>503.92750000000001</v>
      </c>
      <c r="K962" s="1286">
        <f t="shared" si="352"/>
        <v>519.04532500000005</v>
      </c>
      <c r="L962" s="1286">
        <f t="shared" si="352"/>
        <v>534.61668474999999</v>
      </c>
      <c r="M962" s="1286">
        <f t="shared" si="352"/>
        <v>550.65518529249994</v>
      </c>
      <c r="N962" s="168"/>
      <c r="R962" s="282"/>
      <c r="S962" s="282"/>
      <c r="T962" s="282"/>
      <c r="U962" s="282"/>
      <c r="V962" s="282"/>
      <c r="W962" s="282"/>
      <c r="X962" s="282"/>
      <c r="Y962" s="282"/>
      <c r="Z962" s="282"/>
      <c r="AA962" s="282"/>
    </row>
    <row r="963" spans="1:27" s="428" customFormat="1" outlineLevel="2">
      <c r="A963" s="276">
        <f t="shared" si="349"/>
        <v>514</v>
      </c>
      <c r="B963" s="757" t="str">
        <f>$B358</f>
        <v>5th Grade Teacher</v>
      </c>
      <c r="C963" s="560"/>
      <c r="D963" s="429"/>
      <c r="G963" s="1286">
        <f t="shared" si="352"/>
        <v>0</v>
      </c>
      <c r="H963" s="1286">
        <f t="shared" si="352"/>
        <v>0</v>
      </c>
      <c r="I963" s="1286">
        <f t="shared" si="352"/>
        <v>0</v>
      </c>
      <c r="J963" s="1286">
        <f t="shared" si="352"/>
        <v>0</v>
      </c>
      <c r="K963" s="1286">
        <f t="shared" si="352"/>
        <v>0</v>
      </c>
      <c r="L963" s="1286">
        <f t="shared" si="352"/>
        <v>534.61668474999999</v>
      </c>
      <c r="M963" s="1286">
        <f t="shared" si="352"/>
        <v>550.65518529249994</v>
      </c>
      <c r="N963" s="168"/>
      <c r="R963" s="282"/>
      <c r="S963" s="282"/>
      <c r="T963" s="282"/>
      <c r="U963" s="282"/>
      <c r="V963" s="282"/>
      <c r="W963" s="282"/>
      <c r="X963" s="282"/>
      <c r="Y963" s="282"/>
      <c r="Z963" s="282"/>
      <c r="AA963" s="282"/>
    </row>
    <row r="964" spans="1:27" s="428" customFormat="1" outlineLevel="2">
      <c r="A964" s="276">
        <f t="shared" si="349"/>
        <v>515</v>
      </c>
      <c r="B964" s="757" t="str">
        <f>$B359</f>
        <v>5th Grade Teacher</v>
      </c>
      <c r="C964" s="560"/>
      <c r="D964" s="429"/>
      <c r="G964" s="1286">
        <f t="shared" si="352"/>
        <v>0</v>
      </c>
      <c r="H964" s="1286">
        <f t="shared" si="352"/>
        <v>0</v>
      </c>
      <c r="I964" s="1286">
        <f t="shared" si="352"/>
        <v>0</v>
      </c>
      <c r="J964" s="1286">
        <f t="shared" si="352"/>
        <v>0</v>
      </c>
      <c r="K964" s="1286">
        <f t="shared" si="352"/>
        <v>0</v>
      </c>
      <c r="L964" s="1286">
        <f t="shared" si="352"/>
        <v>0</v>
      </c>
      <c r="M964" s="1286">
        <f t="shared" si="352"/>
        <v>550.65518529249994</v>
      </c>
      <c r="N964" s="168"/>
      <c r="R964" s="282"/>
      <c r="S964" s="282"/>
      <c r="T964" s="282"/>
      <c r="U964" s="282"/>
      <c r="V964" s="282"/>
      <c r="W964" s="282"/>
      <c r="X964" s="282"/>
      <c r="Y964" s="282"/>
      <c r="Z964" s="282"/>
      <c r="AA964" s="282"/>
    </row>
    <row r="965" spans="1:27" s="428" customFormat="1" outlineLevel="2">
      <c r="A965" s="276">
        <f t="shared" si="349"/>
        <v>516</v>
      </c>
      <c r="B965" s="757">
        <f>$B360</f>
        <v>0</v>
      </c>
      <c r="C965" s="560"/>
      <c r="D965" s="429"/>
      <c r="G965" s="1286">
        <f t="shared" si="352"/>
        <v>0</v>
      </c>
      <c r="H965" s="1286">
        <f t="shared" si="352"/>
        <v>0</v>
      </c>
      <c r="I965" s="1286">
        <f t="shared" si="352"/>
        <v>0</v>
      </c>
      <c r="J965" s="1286">
        <f t="shared" si="352"/>
        <v>0</v>
      </c>
      <c r="K965" s="1286">
        <f t="shared" si="352"/>
        <v>0</v>
      </c>
      <c r="L965" s="1286">
        <f t="shared" si="352"/>
        <v>0</v>
      </c>
      <c r="M965" s="1286">
        <f t="shared" si="352"/>
        <v>0</v>
      </c>
      <c r="N965" s="168"/>
      <c r="R965" s="282"/>
      <c r="S965" s="282"/>
      <c r="T965" s="282"/>
      <c r="U965" s="282"/>
      <c r="V965" s="282"/>
      <c r="W965" s="282"/>
      <c r="X965" s="282"/>
      <c r="Y965" s="282"/>
      <c r="Z965" s="282"/>
      <c r="AA965" s="282"/>
    </row>
    <row r="966" spans="1:27" s="428" customFormat="1" outlineLevel="2">
      <c r="A966" s="276">
        <f t="shared" si="349"/>
        <v>517</v>
      </c>
      <c r="B966" s="757">
        <f>$B361</f>
        <v>0</v>
      </c>
      <c r="C966" s="560"/>
      <c r="D966" s="429"/>
      <c r="G966" s="1286">
        <f t="shared" si="352"/>
        <v>0</v>
      </c>
      <c r="H966" s="1286">
        <f t="shared" si="352"/>
        <v>0</v>
      </c>
      <c r="I966" s="1286">
        <f t="shared" si="352"/>
        <v>0</v>
      </c>
      <c r="J966" s="1286">
        <f t="shared" si="352"/>
        <v>0</v>
      </c>
      <c r="K966" s="1286">
        <f t="shared" si="352"/>
        <v>0</v>
      </c>
      <c r="L966" s="1286">
        <f t="shared" si="352"/>
        <v>0</v>
      </c>
      <c r="M966" s="1286">
        <f t="shared" si="352"/>
        <v>0</v>
      </c>
      <c r="N966" s="168"/>
      <c r="R966" s="282"/>
      <c r="S966" s="282"/>
      <c r="T966" s="282"/>
      <c r="U966" s="282"/>
      <c r="V966" s="282"/>
      <c r="W966" s="282"/>
      <c r="X966" s="282"/>
      <c r="Y966" s="282"/>
      <c r="Z966" s="282"/>
      <c r="AA966" s="282"/>
    </row>
    <row r="967" spans="1:27" s="428" customFormat="1" outlineLevel="2">
      <c r="A967" s="276">
        <f t="shared" si="349"/>
        <v>518</v>
      </c>
      <c r="B967" s="757"/>
      <c r="C967" s="560"/>
      <c r="D967" s="429"/>
      <c r="G967" s="1286"/>
      <c r="H967" s="1286"/>
      <c r="I967" s="1286"/>
      <c r="J967" s="1286"/>
      <c r="K967" s="1286"/>
      <c r="L967" s="1286"/>
      <c r="M967" s="1286"/>
      <c r="N967" s="168"/>
      <c r="R967" s="282"/>
      <c r="S967" s="282"/>
      <c r="T967" s="282"/>
      <c r="U967" s="282"/>
      <c r="V967" s="282"/>
      <c r="W967" s="282"/>
      <c r="X967" s="282"/>
      <c r="Y967" s="282"/>
      <c r="Z967" s="282"/>
      <c r="AA967" s="282"/>
    </row>
    <row r="968" spans="1:27" s="428" customFormat="1" outlineLevel="2">
      <c r="A968" s="276">
        <f t="shared" si="349"/>
        <v>519</v>
      </c>
      <c r="B968" s="757" t="str">
        <f>$B363</f>
        <v>6th Grade Teacher</v>
      </c>
      <c r="C968" s="560"/>
      <c r="D968" s="429"/>
      <c r="G968" s="1286">
        <f t="shared" ref="G968:M972" si="353">G363*$C$92</f>
        <v>0</v>
      </c>
      <c r="H968" s="1286">
        <f t="shared" si="353"/>
        <v>475</v>
      </c>
      <c r="I968" s="1286">
        <f t="shared" si="353"/>
        <v>489.25</v>
      </c>
      <c r="J968" s="1286">
        <f t="shared" si="353"/>
        <v>503.92750000000001</v>
      </c>
      <c r="K968" s="1286">
        <f t="shared" si="353"/>
        <v>519.04532500000005</v>
      </c>
      <c r="L968" s="1286">
        <f t="shared" si="353"/>
        <v>534.61668474999999</v>
      </c>
      <c r="M968" s="1286">
        <f t="shared" si="353"/>
        <v>550.65518529249994</v>
      </c>
      <c r="N968" s="168"/>
      <c r="R968" s="282"/>
      <c r="S968" s="282"/>
      <c r="T968" s="282"/>
      <c r="U968" s="282"/>
      <c r="V968" s="282"/>
      <c r="W968" s="282"/>
      <c r="X968" s="282"/>
      <c r="Y968" s="282"/>
      <c r="Z968" s="282"/>
      <c r="AA968" s="282"/>
    </row>
    <row r="969" spans="1:27" s="428" customFormat="1" outlineLevel="2">
      <c r="A969" s="276">
        <f t="shared" si="349"/>
        <v>520</v>
      </c>
      <c r="B969" s="757" t="str">
        <f>$B364</f>
        <v>6th Grade Teacher</v>
      </c>
      <c r="C969" s="560"/>
      <c r="D969" s="429"/>
      <c r="G969" s="1286">
        <f t="shared" si="353"/>
        <v>0</v>
      </c>
      <c r="H969" s="1286">
        <f t="shared" si="353"/>
        <v>475</v>
      </c>
      <c r="I969" s="1286">
        <f t="shared" si="353"/>
        <v>489.25</v>
      </c>
      <c r="J969" s="1286">
        <f t="shared" si="353"/>
        <v>503.92750000000001</v>
      </c>
      <c r="K969" s="1286">
        <f t="shared" si="353"/>
        <v>519.04532500000005</v>
      </c>
      <c r="L969" s="1286">
        <f t="shared" si="353"/>
        <v>534.61668474999999</v>
      </c>
      <c r="M969" s="1286">
        <f t="shared" si="353"/>
        <v>550.65518529249994</v>
      </c>
      <c r="N969" s="168"/>
      <c r="R969" s="282"/>
      <c r="S969" s="282"/>
      <c r="T969" s="282"/>
      <c r="U969" s="282"/>
      <c r="V969" s="282"/>
      <c r="W969" s="282"/>
      <c r="X969" s="282"/>
      <c r="Y969" s="282"/>
      <c r="Z969" s="282"/>
      <c r="AA969" s="282"/>
    </row>
    <row r="970" spans="1:27" s="428" customFormat="1" outlineLevel="2">
      <c r="A970" s="276">
        <f t="shared" si="349"/>
        <v>521</v>
      </c>
      <c r="B970" s="757" t="str">
        <f>$B365</f>
        <v>6th Grade Teacher</v>
      </c>
      <c r="C970" s="560"/>
      <c r="D970" s="429"/>
      <c r="G970" s="1286">
        <f t="shared" si="353"/>
        <v>0</v>
      </c>
      <c r="H970" s="1286">
        <f t="shared" si="353"/>
        <v>0</v>
      </c>
      <c r="I970" s="1286">
        <f t="shared" si="353"/>
        <v>0</v>
      </c>
      <c r="J970" s="1286">
        <f t="shared" si="353"/>
        <v>0</v>
      </c>
      <c r="K970" s="1286">
        <f t="shared" si="353"/>
        <v>0</v>
      </c>
      <c r="L970" s="1286">
        <f t="shared" si="353"/>
        <v>0</v>
      </c>
      <c r="M970" s="1286">
        <f t="shared" si="353"/>
        <v>550.65518529249994</v>
      </c>
      <c r="N970" s="168"/>
      <c r="R970" s="282"/>
      <c r="S970" s="282"/>
      <c r="T970" s="282"/>
      <c r="U970" s="282"/>
      <c r="V970" s="282"/>
      <c r="W970" s="282"/>
      <c r="X970" s="282"/>
      <c r="Y970" s="282"/>
      <c r="Z970" s="282"/>
      <c r="AA970" s="282"/>
    </row>
    <row r="971" spans="1:27" s="428" customFormat="1" outlineLevel="2">
      <c r="A971" s="276">
        <f t="shared" si="349"/>
        <v>522</v>
      </c>
      <c r="B971" s="757">
        <f>$B366</f>
        <v>0</v>
      </c>
      <c r="C971" s="560"/>
      <c r="D971" s="429"/>
      <c r="G971" s="1286">
        <f t="shared" si="353"/>
        <v>0</v>
      </c>
      <c r="H971" s="1286">
        <f t="shared" si="353"/>
        <v>0</v>
      </c>
      <c r="I971" s="1286">
        <f t="shared" si="353"/>
        <v>0</v>
      </c>
      <c r="J971" s="1286">
        <f t="shared" si="353"/>
        <v>0</v>
      </c>
      <c r="K971" s="1286">
        <f t="shared" si="353"/>
        <v>0</v>
      </c>
      <c r="L971" s="1286">
        <f t="shared" si="353"/>
        <v>0</v>
      </c>
      <c r="M971" s="1286">
        <f t="shared" si="353"/>
        <v>0</v>
      </c>
      <c r="N971" s="168"/>
      <c r="R971" s="282"/>
      <c r="S971" s="282"/>
      <c r="T971" s="282"/>
      <c r="U971" s="282"/>
      <c r="V971" s="282"/>
      <c r="W971" s="282"/>
      <c r="X971" s="282"/>
      <c r="Y971" s="282"/>
      <c r="Z971" s="282"/>
      <c r="AA971" s="282"/>
    </row>
    <row r="972" spans="1:27" s="431" customFormat="1" outlineLevel="2">
      <c r="A972" s="276">
        <f t="shared" si="349"/>
        <v>523</v>
      </c>
      <c r="B972" s="757">
        <f>$B367</f>
        <v>0</v>
      </c>
      <c r="C972" s="560"/>
      <c r="D972" s="429"/>
      <c r="G972" s="1286">
        <f t="shared" si="353"/>
        <v>0</v>
      </c>
      <c r="H972" s="1286">
        <f t="shared" si="353"/>
        <v>0</v>
      </c>
      <c r="I972" s="1286">
        <f t="shared" si="353"/>
        <v>0</v>
      </c>
      <c r="J972" s="1286">
        <f t="shared" si="353"/>
        <v>0</v>
      </c>
      <c r="K972" s="1286">
        <f t="shared" si="353"/>
        <v>0</v>
      </c>
      <c r="L972" s="1286">
        <f t="shared" si="353"/>
        <v>0</v>
      </c>
      <c r="M972" s="1286">
        <f t="shared" si="353"/>
        <v>0</v>
      </c>
      <c r="N972" s="141"/>
      <c r="R972" s="282"/>
      <c r="S972" s="282"/>
      <c r="T972" s="282"/>
      <c r="U972" s="282"/>
      <c r="V972" s="282"/>
      <c r="W972" s="282"/>
      <c r="X972" s="282"/>
      <c r="Y972" s="282"/>
      <c r="Z972" s="282"/>
      <c r="AA972" s="282"/>
    </row>
    <row r="973" spans="1:27" s="431" customFormat="1" outlineLevel="2">
      <c r="A973" s="276">
        <f t="shared" si="349"/>
        <v>524</v>
      </c>
      <c r="B973" s="757"/>
      <c r="C973" s="561"/>
      <c r="D973" s="428"/>
      <c r="G973" s="1286"/>
      <c r="H973" s="1286"/>
      <c r="I973" s="1286"/>
      <c r="J973" s="1286"/>
      <c r="K973" s="1286"/>
      <c r="L973" s="1286"/>
      <c r="M973" s="1286"/>
      <c r="N973" s="141"/>
      <c r="R973" s="282"/>
      <c r="S973" s="282"/>
      <c r="T973" s="282"/>
      <c r="U973" s="282"/>
      <c r="V973" s="282"/>
      <c r="W973" s="282"/>
      <c r="X973" s="282"/>
      <c r="Y973" s="282"/>
      <c r="Z973" s="282"/>
      <c r="AA973" s="282"/>
    </row>
    <row r="974" spans="1:27" s="428" customFormat="1" outlineLevel="2">
      <c r="A974" s="276">
        <f t="shared" si="349"/>
        <v>525</v>
      </c>
      <c r="B974" s="757" t="str">
        <f t="shared" ref="B974:B979" si="354">$B369</f>
        <v>7th Grade Teacher</v>
      </c>
      <c r="C974" s="560"/>
      <c r="D974" s="429"/>
      <c r="G974" s="1286">
        <f t="shared" ref="G974:M979" si="355">G369*$C$92</f>
        <v>0</v>
      </c>
      <c r="H974" s="1286">
        <f t="shared" si="355"/>
        <v>475</v>
      </c>
      <c r="I974" s="1286">
        <f t="shared" si="355"/>
        <v>489.25</v>
      </c>
      <c r="J974" s="1286">
        <f t="shared" si="355"/>
        <v>503.92750000000001</v>
      </c>
      <c r="K974" s="1286">
        <f t="shared" si="355"/>
        <v>519.04532500000005</v>
      </c>
      <c r="L974" s="1286">
        <f t="shared" si="355"/>
        <v>534.61668474999999</v>
      </c>
      <c r="M974" s="1286">
        <f t="shared" si="355"/>
        <v>550.65518529249994</v>
      </c>
      <c r="N974" s="168"/>
      <c r="R974" s="282"/>
      <c r="S974" s="282"/>
      <c r="T974" s="282"/>
      <c r="U974" s="282"/>
      <c r="V974" s="282"/>
      <c r="W974" s="282"/>
      <c r="X974" s="282"/>
      <c r="Y974" s="282"/>
      <c r="Z974" s="282"/>
      <c r="AA974" s="282"/>
    </row>
    <row r="975" spans="1:27" s="428" customFormat="1" outlineLevel="2">
      <c r="A975" s="276">
        <f t="shared" si="349"/>
        <v>526</v>
      </c>
      <c r="B975" s="757" t="str">
        <f t="shared" si="354"/>
        <v>7th Grade Teacher</v>
      </c>
      <c r="C975" s="560"/>
      <c r="D975" s="429"/>
      <c r="G975" s="1286">
        <f t="shared" si="355"/>
        <v>0</v>
      </c>
      <c r="H975" s="1286">
        <f t="shared" si="355"/>
        <v>475</v>
      </c>
      <c r="I975" s="1286">
        <f t="shared" si="355"/>
        <v>489.25</v>
      </c>
      <c r="J975" s="1286">
        <f t="shared" si="355"/>
        <v>503.92750000000001</v>
      </c>
      <c r="K975" s="1286">
        <f t="shared" si="355"/>
        <v>519.04532500000005</v>
      </c>
      <c r="L975" s="1286">
        <f t="shared" si="355"/>
        <v>534.61668474999999</v>
      </c>
      <c r="M975" s="1286">
        <f t="shared" si="355"/>
        <v>550.65518529249994</v>
      </c>
      <c r="N975" s="168"/>
      <c r="R975" s="282"/>
      <c r="S975" s="282"/>
      <c r="T975" s="282"/>
      <c r="U975" s="282"/>
      <c r="V975" s="282"/>
      <c r="W975" s="282"/>
      <c r="X975" s="282"/>
      <c r="Y975" s="282"/>
      <c r="Z975" s="282"/>
      <c r="AA975" s="282"/>
    </row>
    <row r="976" spans="1:27" s="428" customFormat="1" outlineLevel="2">
      <c r="A976" s="276">
        <f t="shared" si="349"/>
        <v>527</v>
      </c>
      <c r="B976" s="757" t="str">
        <f t="shared" si="354"/>
        <v>7th Grade Teacher</v>
      </c>
      <c r="C976" s="560"/>
      <c r="D976" s="429"/>
      <c r="G976" s="1286">
        <f t="shared" si="355"/>
        <v>0</v>
      </c>
      <c r="H976" s="1286">
        <f t="shared" si="355"/>
        <v>0</v>
      </c>
      <c r="I976" s="1286">
        <f t="shared" si="355"/>
        <v>0</v>
      </c>
      <c r="J976" s="1286">
        <f t="shared" si="355"/>
        <v>0</v>
      </c>
      <c r="K976" s="1286">
        <f t="shared" si="355"/>
        <v>0</v>
      </c>
      <c r="L976" s="1286">
        <f t="shared" si="355"/>
        <v>0</v>
      </c>
      <c r="M976" s="1286">
        <f t="shared" si="355"/>
        <v>550.65518529249994</v>
      </c>
      <c r="N976" s="168"/>
      <c r="R976" s="282"/>
      <c r="S976" s="282"/>
      <c r="T976" s="282"/>
      <c r="U976" s="282"/>
      <c r="V976" s="282"/>
      <c r="W976" s="282"/>
      <c r="X976" s="282"/>
      <c r="Y976" s="282"/>
      <c r="Z976" s="282"/>
      <c r="AA976" s="282"/>
    </row>
    <row r="977" spans="1:27" s="428" customFormat="1" outlineLevel="2">
      <c r="A977" s="276">
        <f t="shared" si="349"/>
        <v>528</v>
      </c>
      <c r="B977" s="757">
        <f t="shared" si="354"/>
        <v>0</v>
      </c>
      <c r="C977" s="560"/>
      <c r="D977" s="429"/>
      <c r="G977" s="1286">
        <f t="shared" si="355"/>
        <v>0</v>
      </c>
      <c r="H977" s="1286">
        <f t="shared" si="355"/>
        <v>0</v>
      </c>
      <c r="I977" s="1286">
        <f t="shared" si="355"/>
        <v>0</v>
      </c>
      <c r="J977" s="1286">
        <f t="shared" si="355"/>
        <v>0</v>
      </c>
      <c r="K977" s="1286">
        <f t="shared" si="355"/>
        <v>0</v>
      </c>
      <c r="L977" s="1286">
        <f t="shared" si="355"/>
        <v>0</v>
      </c>
      <c r="M977" s="1286">
        <f t="shared" si="355"/>
        <v>0</v>
      </c>
      <c r="N977" s="168"/>
      <c r="R977" s="282"/>
      <c r="S977" s="282"/>
      <c r="T977" s="282"/>
      <c r="U977" s="282"/>
      <c r="V977" s="282"/>
      <c r="W977" s="282"/>
      <c r="X977" s="282"/>
      <c r="Y977" s="282"/>
      <c r="Z977" s="282"/>
      <c r="AA977" s="282"/>
    </row>
    <row r="978" spans="1:27" s="428" customFormat="1" outlineLevel="2">
      <c r="A978" s="276">
        <f t="shared" si="349"/>
        <v>529</v>
      </c>
      <c r="B978" s="757">
        <f t="shared" si="354"/>
        <v>0</v>
      </c>
      <c r="C978" s="560"/>
      <c r="D978" s="429"/>
      <c r="G978" s="1286">
        <f t="shared" si="355"/>
        <v>0</v>
      </c>
      <c r="H978" s="1286">
        <f t="shared" si="355"/>
        <v>0</v>
      </c>
      <c r="I978" s="1286">
        <f t="shared" si="355"/>
        <v>0</v>
      </c>
      <c r="J978" s="1286">
        <f t="shared" si="355"/>
        <v>0</v>
      </c>
      <c r="K978" s="1286">
        <f t="shared" si="355"/>
        <v>0</v>
      </c>
      <c r="L978" s="1286">
        <f t="shared" si="355"/>
        <v>0</v>
      </c>
      <c r="M978" s="1286">
        <f t="shared" si="355"/>
        <v>0</v>
      </c>
      <c r="N978" s="168"/>
      <c r="R978" s="282"/>
      <c r="S978" s="282"/>
      <c r="T978" s="282"/>
      <c r="U978" s="282"/>
      <c r="V978" s="282"/>
      <c r="W978" s="282"/>
      <c r="X978" s="282"/>
      <c r="Y978" s="282"/>
      <c r="Z978" s="282"/>
      <c r="AA978" s="282"/>
    </row>
    <row r="979" spans="1:27" s="428" customFormat="1" outlineLevel="2">
      <c r="A979" s="276">
        <f t="shared" si="349"/>
        <v>530</v>
      </c>
      <c r="B979" s="757">
        <f t="shared" si="354"/>
        <v>0</v>
      </c>
      <c r="C979" s="560"/>
      <c r="D979" s="429"/>
      <c r="G979" s="1286">
        <f t="shared" si="355"/>
        <v>0</v>
      </c>
      <c r="H979" s="1286">
        <f t="shared" si="355"/>
        <v>0</v>
      </c>
      <c r="I979" s="1286">
        <f t="shared" si="355"/>
        <v>0</v>
      </c>
      <c r="J979" s="1286">
        <f t="shared" si="355"/>
        <v>0</v>
      </c>
      <c r="K979" s="1286">
        <f t="shared" si="355"/>
        <v>0</v>
      </c>
      <c r="L979" s="1286">
        <f t="shared" si="355"/>
        <v>0</v>
      </c>
      <c r="M979" s="1286">
        <f t="shared" si="355"/>
        <v>0</v>
      </c>
      <c r="N979" s="168"/>
      <c r="R979" s="282"/>
      <c r="S979" s="282"/>
      <c r="T979" s="282"/>
      <c r="U979" s="282"/>
      <c r="V979" s="282"/>
      <c r="W979" s="282"/>
      <c r="X979" s="282"/>
      <c r="Y979" s="282"/>
      <c r="Z979" s="282"/>
      <c r="AA979" s="282"/>
    </row>
    <row r="980" spans="1:27" s="431" customFormat="1" outlineLevel="2">
      <c r="A980" s="276">
        <f t="shared" ref="A980:A1011" si="356">ROW(A531)</f>
        <v>531</v>
      </c>
      <c r="B980" s="757"/>
      <c r="C980" s="561"/>
      <c r="D980" s="428"/>
      <c r="G980" s="1286"/>
      <c r="H980" s="1286"/>
      <c r="I980" s="1286"/>
      <c r="J980" s="1286"/>
      <c r="K980" s="1286"/>
      <c r="L980" s="1286"/>
      <c r="M980" s="1286"/>
      <c r="N980" s="141"/>
      <c r="R980" s="282"/>
      <c r="S980" s="282"/>
      <c r="T980" s="282"/>
      <c r="U980" s="282"/>
      <c r="V980" s="282"/>
      <c r="W980" s="282"/>
      <c r="X980" s="282"/>
      <c r="Y980" s="282"/>
      <c r="Z980" s="282"/>
      <c r="AA980" s="282"/>
    </row>
    <row r="981" spans="1:27" s="428" customFormat="1" outlineLevel="2">
      <c r="A981" s="276">
        <f t="shared" si="356"/>
        <v>532</v>
      </c>
      <c r="B981" s="757" t="str">
        <f>$B376</f>
        <v>8th Grade Teacher</v>
      </c>
      <c r="C981" s="560"/>
      <c r="D981" s="429"/>
      <c r="G981" s="1286">
        <f t="shared" ref="G981:M985" si="357">G376*$C$92</f>
        <v>0</v>
      </c>
      <c r="H981" s="1286">
        <f t="shared" si="357"/>
        <v>0</v>
      </c>
      <c r="I981" s="1286">
        <f t="shared" si="357"/>
        <v>489.25</v>
      </c>
      <c r="J981" s="1286">
        <f t="shared" si="357"/>
        <v>503.92750000000001</v>
      </c>
      <c r="K981" s="1286">
        <f t="shared" si="357"/>
        <v>519.04532500000005</v>
      </c>
      <c r="L981" s="1286">
        <f t="shared" si="357"/>
        <v>534.61668474999999</v>
      </c>
      <c r="M981" s="1286">
        <f t="shared" si="357"/>
        <v>550.65518529249994</v>
      </c>
      <c r="N981" s="168"/>
      <c r="R981" s="282"/>
      <c r="S981" s="282"/>
      <c r="T981" s="282"/>
      <c r="U981" s="282"/>
      <c r="V981" s="282"/>
      <c r="W981" s="282"/>
      <c r="X981" s="282"/>
      <c r="Y981" s="282"/>
      <c r="Z981" s="282"/>
      <c r="AA981" s="282"/>
    </row>
    <row r="982" spans="1:27" s="428" customFormat="1" outlineLevel="2">
      <c r="A982" s="276">
        <f t="shared" si="356"/>
        <v>533</v>
      </c>
      <c r="B982" s="757" t="str">
        <f>$B377</f>
        <v>8th Grade Teacher</v>
      </c>
      <c r="C982" s="560"/>
      <c r="D982" s="429"/>
      <c r="G982" s="1286">
        <f t="shared" si="357"/>
        <v>0</v>
      </c>
      <c r="H982" s="1286">
        <f t="shared" si="357"/>
        <v>0</v>
      </c>
      <c r="I982" s="1286">
        <f t="shared" si="357"/>
        <v>489.25</v>
      </c>
      <c r="J982" s="1286">
        <f t="shared" si="357"/>
        <v>503.92750000000001</v>
      </c>
      <c r="K982" s="1286">
        <f t="shared" si="357"/>
        <v>519.04532500000005</v>
      </c>
      <c r="L982" s="1286">
        <f t="shared" si="357"/>
        <v>534.61668474999999</v>
      </c>
      <c r="M982" s="1286">
        <f t="shared" si="357"/>
        <v>550.65518529249994</v>
      </c>
      <c r="N982" s="168"/>
      <c r="R982" s="282"/>
      <c r="S982" s="282"/>
      <c r="T982" s="282"/>
      <c r="U982" s="282"/>
      <c r="V982" s="282"/>
      <c r="W982" s="282"/>
      <c r="X982" s="282"/>
      <c r="Y982" s="282"/>
      <c r="Z982" s="282"/>
      <c r="AA982" s="282"/>
    </row>
    <row r="983" spans="1:27" s="428" customFormat="1" outlineLevel="2">
      <c r="A983" s="276">
        <f t="shared" si="356"/>
        <v>534</v>
      </c>
      <c r="B983" s="757" t="str">
        <f>$B378</f>
        <v>8th Grade Teacher</v>
      </c>
      <c r="C983" s="560"/>
      <c r="D983" s="429"/>
      <c r="G983" s="1286">
        <f t="shared" si="357"/>
        <v>0</v>
      </c>
      <c r="H983" s="1286">
        <f t="shared" si="357"/>
        <v>0</v>
      </c>
      <c r="I983" s="1286">
        <f t="shared" si="357"/>
        <v>0</v>
      </c>
      <c r="J983" s="1286">
        <f t="shared" si="357"/>
        <v>0</v>
      </c>
      <c r="K983" s="1286">
        <f t="shared" si="357"/>
        <v>0</v>
      </c>
      <c r="L983" s="1286">
        <f t="shared" si="357"/>
        <v>0</v>
      </c>
      <c r="M983" s="1286">
        <f t="shared" si="357"/>
        <v>550.65518529249994</v>
      </c>
      <c r="N983" s="168"/>
      <c r="R983" s="282"/>
      <c r="S983" s="282"/>
      <c r="T983" s="282"/>
      <c r="U983" s="282"/>
      <c r="V983" s="282"/>
      <c r="W983" s="282"/>
      <c r="X983" s="282"/>
      <c r="Y983" s="282"/>
      <c r="Z983" s="282"/>
      <c r="AA983" s="282"/>
    </row>
    <row r="984" spans="1:27" s="428" customFormat="1" outlineLevel="2">
      <c r="A984" s="276">
        <f t="shared" si="356"/>
        <v>535</v>
      </c>
      <c r="B984" s="757">
        <f>$B379</f>
        <v>0</v>
      </c>
      <c r="C984" s="560"/>
      <c r="D984" s="429"/>
      <c r="G984" s="1286">
        <f t="shared" si="357"/>
        <v>0</v>
      </c>
      <c r="H984" s="1286">
        <f t="shared" si="357"/>
        <v>0</v>
      </c>
      <c r="I984" s="1286">
        <f t="shared" si="357"/>
        <v>0</v>
      </c>
      <c r="J984" s="1286">
        <f t="shared" si="357"/>
        <v>0</v>
      </c>
      <c r="K984" s="1286">
        <f t="shared" si="357"/>
        <v>0</v>
      </c>
      <c r="L984" s="1286">
        <f t="shared" si="357"/>
        <v>0</v>
      </c>
      <c r="M984" s="1286">
        <f t="shared" si="357"/>
        <v>0</v>
      </c>
      <c r="N984" s="168"/>
      <c r="R984" s="282"/>
      <c r="S984" s="282"/>
      <c r="T984" s="282"/>
      <c r="U984" s="282"/>
      <c r="V984" s="282"/>
      <c r="W984" s="282"/>
      <c r="X984" s="282"/>
      <c r="Y984" s="282"/>
      <c r="Z984" s="282"/>
      <c r="AA984" s="282"/>
    </row>
    <row r="985" spans="1:27" s="428" customFormat="1" outlineLevel="2">
      <c r="A985" s="276">
        <f t="shared" si="356"/>
        <v>536</v>
      </c>
      <c r="B985" s="757">
        <f>$B380</f>
        <v>0</v>
      </c>
      <c r="C985" s="560"/>
      <c r="D985" s="429"/>
      <c r="G985" s="1286">
        <f t="shared" si="357"/>
        <v>0</v>
      </c>
      <c r="H985" s="1286">
        <f t="shared" si="357"/>
        <v>0</v>
      </c>
      <c r="I985" s="1286">
        <f t="shared" si="357"/>
        <v>0</v>
      </c>
      <c r="J985" s="1286">
        <f t="shared" si="357"/>
        <v>0</v>
      </c>
      <c r="K985" s="1286">
        <f t="shared" si="357"/>
        <v>0</v>
      </c>
      <c r="L985" s="1286">
        <f t="shared" si="357"/>
        <v>0</v>
      </c>
      <c r="M985" s="1286">
        <f t="shared" si="357"/>
        <v>0</v>
      </c>
      <c r="N985" s="168"/>
      <c r="R985" s="282"/>
      <c r="S985" s="282"/>
      <c r="T985" s="282"/>
      <c r="U985" s="282"/>
      <c r="V985" s="282"/>
      <c r="W985" s="282"/>
      <c r="X985" s="282"/>
      <c r="Y985" s="282"/>
      <c r="Z985" s="282"/>
      <c r="AA985" s="282"/>
    </row>
    <row r="986" spans="1:27" s="428" customFormat="1" outlineLevel="2">
      <c r="A986" s="276">
        <f t="shared" si="356"/>
        <v>537</v>
      </c>
      <c r="B986" s="757"/>
      <c r="C986" s="560"/>
      <c r="D986" s="429"/>
      <c r="G986" s="1286"/>
      <c r="H986" s="1286"/>
      <c r="I986" s="1286"/>
      <c r="J986" s="1286"/>
      <c r="K986" s="1286"/>
      <c r="L986" s="1286"/>
      <c r="M986" s="1286"/>
      <c r="N986" s="168"/>
      <c r="R986" s="282"/>
      <c r="S986" s="282"/>
      <c r="T986" s="282"/>
      <c r="U986" s="282"/>
      <c r="V986" s="282"/>
      <c r="W986" s="282"/>
      <c r="X986" s="282"/>
      <c r="Y986" s="282"/>
      <c r="Z986" s="282"/>
      <c r="AA986" s="282"/>
    </row>
    <row r="987" spans="1:27" s="428" customFormat="1" outlineLevel="2">
      <c r="A987" s="276">
        <f t="shared" si="356"/>
        <v>538</v>
      </c>
      <c r="B987" s="757" t="str">
        <f>$B382</f>
        <v>9th Grade Teacher</v>
      </c>
      <c r="C987" s="560"/>
      <c r="D987" s="429"/>
      <c r="G987" s="1286">
        <f t="shared" ref="G987:M991" si="358">G382*$C$92</f>
        <v>0</v>
      </c>
      <c r="H987" s="1286">
        <f t="shared" si="358"/>
        <v>0</v>
      </c>
      <c r="I987" s="1286">
        <f t="shared" si="358"/>
        <v>0</v>
      </c>
      <c r="J987" s="1286">
        <f t="shared" si="358"/>
        <v>503.92750000000001</v>
      </c>
      <c r="K987" s="1286">
        <f t="shared" si="358"/>
        <v>519.04532500000005</v>
      </c>
      <c r="L987" s="1286">
        <f t="shared" si="358"/>
        <v>534.61668474999999</v>
      </c>
      <c r="M987" s="1286">
        <f t="shared" si="358"/>
        <v>550.65518529249994</v>
      </c>
      <c r="N987" s="168"/>
      <c r="R987" s="282"/>
      <c r="S987" s="282"/>
      <c r="T987" s="282"/>
      <c r="U987" s="282"/>
      <c r="V987" s="282"/>
      <c r="W987" s="282"/>
      <c r="X987" s="282"/>
      <c r="Y987" s="282"/>
      <c r="Z987" s="282"/>
      <c r="AA987" s="282"/>
    </row>
    <row r="988" spans="1:27" s="428" customFormat="1" outlineLevel="2">
      <c r="A988" s="276">
        <f t="shared" si="356"/>
        <v>539</v>
      </c>
      <c r="B988" s="757" t="str">
        <f>$B383</f>
        <v>9th Grade Teacher</v>
      </c>
      <c r="C988" s="560"/>
      <c r="D988" s="429"/>
      <c r="G988" s="1286">
        <f t="shared" si="358"/>
        <v>0</v>
      </c>
      <c r="H988" s="1286">
        <f t="shared" si="358"/>
        <v>0</v>
      </c>
      <c r="I988" s="1286">
        <f t="shared" si="358"/>
        <v>0</v>
      </c>
      <c r="J988" s="1286">
        <f t="shared" si="358"/>
        <v>503.92750000000001</v>
      </c>
      <c r="K988" s="1286">
        <f t="shared" si="358"/>
        <v>519.04532500000005</v>
      </c>
      <c r="L988" s="1286">
        <f t="shared" si="358"/>
        <v>534.61668474999999</v>
      </c>
      <c r="M988" s="1286">
        <f t="shared" si="358"/>
        <v>550.65518529249994</v>
      </c>
      <c r="N988" s="168"/>
      <c r="R988" s="282"/>
      <c r="S988" s="282"/>
      <c r="T988" s="282"/>
      <c r="U988" s="282"/>
      <c r="V988" s="282"/>
      <c r="W988" s="282"/>
      <c r="X988" s="282"/>
      <c r="Y988" s="282"/>
      <c r="Z988" s="282"/>
      <c r="AA988" s="282"/>
    </row>
    <row r="989" spans="1:27" s="428" customFormat="1" outlineLevel="2">
      <c r="A989" s="276">
        <f t="shared" si="356"/>
        <v>540</v>
      </c>
      <c r="B989" s="757" t="str">
        <f>$B384</f>
        <v>9th Grade Teacher</v>
      </c>
      <c r="C989" s="560"/>
      <c r="D989" s="429"/>
      <c r="G989" s="1286">
        <f t="shared" si="358"/>
        <v>0</v>
      </c>
      <c r="H989" s="1286">
        <f t="shared" si="358"/>
        <v>0</v>
      </c>
      <c r="I989" s="1286">
        <f t="shared" si="358"/>
        <v>0</v>
      </c>
      <c r="J989" s="1286">
        <f t="shared" si="358"/>
        <v>503.92750000000001</v>
      </c>
      <c r="K989" s="1286">
        <f t="shared" si="358"/>
        <v>519.04532500000005</v>
      </c>
      <c r="L989" s="1286">
        <f t="shared" si="358"/>
        <v>534.61668474999999</v>
      </c>
      <c r="M989" s="1286">
        <f t="shared" si="358"/>
        <v>550.65518529249994</v>
      </c>
      <c r="N989" s="168"/>
      <c r="R989" s="282"/>
      <c r="S989" s="282"/>
      <c r="T989" s="282"/>
      <c r="U989" s="282"/>
      <c r="V989" s="282"/>
      <c r="W989" s="282"/>
      <c r="X989" s="282"/>
      <c r="Y989" s="282"/>
      <c r="Z989" s="282"/>
      <c r="AA989" s="282"/>
    </row>
    <row r="990" spans="1:27" s="428" customFormat="1" outlineLevel="2">
      <c r="A990" s="276">
        <f t="shared" si="356"/>
        <v>541</v>
      </c>
      <c r="B990" s="757">
        <f>$B385</f>
        <v>0</v>
      </c>
      <c r="C990" s="560"/>
      <c r="D990" s="429"/>
      <c r="G990" s="1286">
        <f t="shared" si="358"/>
        <v>0</v>
      </c>
      <c r="H990" s="1286">
        <f t="shared" si="358"/>
        <v>0</v>
      </c>
      <c r="I990" s="1286">
        <f t="shared" si="358"/>
        <v>0</v>
      </c>
      <c r="J990" s="1286">
        <f t="shared" si="358"/>
        <v>0</v>
      </c>
      <c r="K990" s="1286">
        <f t="shared" si="358"/>
        <v>0</v>
      </c>
      <c r="L990" s="1286">
        <f t="shared" si="358"/>
        <v>0</v>
      </c>
      <c r="M990" s="1286">
        <f t="shared" si="358"/>
        <v>0</v>
      </c>
      <c r="N990" s="168"/>
      <c r="R990" s="282"/>
      <c r="S990" s="282"/>
      <c r="T990" s="282"/>
      <c r="U990" s="282"/>
      <c r="V990" s="282"/>
      <c r="W990" s="282"/>
      <c r="X990" s="282"/>
      <c r="Y990" s="282"/>
      <c r="Z990" s="282"/>
      <c r="AA990" s="282"/>
    </row>
    <row r="991" spans="1:27" s="428" customFormat="1" outlineLevel="2">
      <c r="A991" s="276">
        <f t="shared" si="356"/>
        <v>542</v>
      </c>
      <c r="B991" s="757">
        <f>$B386</f>
        <v>0</v>
      </c>
      <c r="C991" s="560"/>
      <c r="D991" s="429"/>
      <c r="G991" s="1286">
        <f t="shared" si="358"/>
        <v>0</v>
      </c>
      <c r="H991" s="1286">
        <f t="shared" si="358"/>
        <v>0</v>
      </c>
      <c r="I991" s="1286">
        <f t="shared" si="358"/>
        <v>0</v>
      </c>
      <c r="J991" s="1286">
        <f t="shared" si="358"/>
        <v>0</v>
      </c>
      <c r="K991" s="1286">
        <f t="shared" si="358"/>
        <v>0</v>
      </c>
      <c r="L991" s="1286">
        <f t="shared" si="358"/>
        <v>0</v>
      </c>
      <c r="M991" s="1286">
        <f t="shared" si="358"/>
        <v>0</v>
      </c>
      <c r="N991" s="168"/>
      <c r="R991" s="282"/>
      <c r="S991" s="282"/>
      <c r="T991" s="282"/>
      <c r="U991" s="282"/>
      <c r="V991" s="282"/>
      <c r="W991" s="282"/>
      <c r="X991" s="282"/>
      <c r="Y991" s="282"/>
      <c r="Z991" s="282"/>
      <c r="AA991" s="282"/>
    </row>
    <row r="992" spans="1:27" s="428" customFormat="1" outlineLevel="2">
      <c r="A992" s="276">
        <f t="shared" si="356"/>
        <v>543</v>
      </c>
      <c r="B992" s="757"/>
      <c r="C992" s="560"/>
      <c r="D992" s="429"/>
      <c r="G992" s="1286"/>
      <c r="H992" s="1286"/>
      <c r="I992" s="1286"/>
      <c r="J992" s="1286"/>
      <c r="K992" s="1286"/>
      <c r="L992" s="1286"/>
      <c r="M992" s="1286"/>
      <c r="N992" s="168"/>
      <c r="R992" s="282"/>
      <c r="S992" s="282"/>
      <c r="T992" s="282"/>
      <c r="U992" s="282"/>
      <c r="V992" s="282"/>
      <c r="W992" s="282"/>
      <c r="X992" s="282"/>
      <c r="Y992" s="282"/>
      <c r="Z992" s="282"/>
      <c r="AA992" s="282"/>
    </row>
    <row r="993" spans="1:27" s="428" customFormat="1" outlineLevel="2">
      <c r="A993" s="276">
        <f t="shared" si="356"/>
        <v>544</v>
      </c>
      <c r="B993" s="757" t="str">
        <f>$B388</f>
        <v>10th Grade Teacher</v>
      </c>
      <c r="C993" s="560"/>
      <c r="D993" s="429"/>
      <c r="G993" s="1286">
        <f t="shared" ref="G993:M997" si="359">G388*$C$92</f>
        <v>0</v>
      </c>
      <c r="H993" s="1286">
        <f t="shared" si="359"/>
        <v>0</v>
      </c>
      <c r="I993" s="1286">
        <f t="shared" si="359"/>
        <v>0</v>
      </c>
      <c r="J993" s="1286">
        <f t="shared" si="359"/>
        <v>0</v>
      </c>
      <c r="K993" s="1286">
        <f t="shared" si="359"/>
        <v>519.04532500000005</v>
      </c>
      <c r="L993" s="1286">
        <f t="shared" si="359"/>
        <v>534.61668474999999</v>
      </c>
      <c r="M993" s="1286">
        <f t="shared" si="359"/>
        <v>550.65518529249994</v>
      </c>
      <c r="N993" s="168"/>
      <c r="R993" s="282"/>
      <c r="S993" s="282"/>
      <c r="T993" s="282"/>
      <c r="U993" s="282"/>
      <c r="V993" s="282"/>
      <c r="W993" s="282"/>
      <c r="X993" s="282"/>
      <c r="Y993" s="282"/>
      <c r="Z993" s="282"/>
      <c r="AA993" s="282"/>
    </row>
    <row r="994" spans="1:27" s="428" customFormat="1" outlineLevel="2">
      <c r="A994" s="276">
        <f t="shared" si="356"/>
        <v>545</v>
      </c>
      <c r="B994" s="757" t="str">
        <f>$B389</f>
        <v>10th Grade Teacher</v>
      </c>
      <c r="C994" s="560"/>
      <c r="D994" s="429"/>
      <c r="G994" s="1286">
        <f t="shared" si="359"/>
        <v>0</v>
      </c>
      <c r="H994" s="1286">
        <f t="shared" si="359"/>
        <v>0</v>
      </c>
      <c r="I994" s="1286">
        <f t="shared" si="359"/>
        <v>0</v>
      </c>
      <c r="J994" s="1286">
        <f t="shared" si="359"/>
        <v>0</v>
      </c>
      <c r="K994" s="1286">
        <f t="shared" si="359"/>
        <v>519.04532500000005</v>
      </c>
      <c r="L994" s="1286">
        <f t="shared" si="359"/>
        <v>534.61668474999999</v>
      </c>
      <c r="M994" s="1286">
        <f t="shared" si="359"/>
        <v>550.65518529249994</v>
      </c>
      <c r="N994" s="168"/>
      <c r="R994" s="282"/>
      <c r="S994" s="282"/>
      <c r="T994" s="282"/>
      <c r="U994" s="282"/>
      <c r="V994" s="282"/>
      <c r="W994" s="282"/>
      <c r="X994" s="282"/>
      <c r="Y994" s="282"/>
      <c r="Z994" s="282"/>
      <c r="AA994" s="282"/>
    </row>
    <row r="995" spans="1:27" s="428" customFormat="1" outlineLevel="2">
      <c r="A995" s="276">
        <f t="shared" si="356"/>
        <v>546</v>
      </c>
      <c r="B995" s="757" t="str">
        <f>$B390</f>
        <v>10th Grade Teacher</v>
      </c>
      <c r="C995" s="560"/>
      <c r="D995" s="429"/>
      <c r="G995" s="1286">
        <f t="shared" si="359"/>
        <v>0</v>
      </c>
      <c r="H995" s="1286">
        <f t="shared" si="359"/>
        <v>0</v>
      </c>
      <c r="I995" s="1286">
        <f t="shared" si="359"/>
        <v>0</v>
      </c>
      <c r="J995" s="1286">
        <f t="shared" si="359"/>
        <v>0</v>
      </c>
      <c r="K995" s="1286">
        <f t="shared" si="359"/>
        <v>519.04532500000005</v>
      </c>
      <c r="L995" s="1286">
        <f t="shared" si="359"/>
        <v>534.61668474999999</v>
      </c>
      <c r="M995" s="1286">
        <f t="shared" si="359"/>
        <v>550.65518529249994</v>
      </c>
      <c r="N995" s="168"/>
      <c r="R995" s="282"/>
      <c r="S995" s="282"/>
      <c r="T995" s="282"/>
      <c r="U995" s="282"/>
      <c r="V995" s="282"/>
      <c r="W995" s="282"/>
      <c r="X995" s="282"/>
      <c r="Y995" s="282"/>
      <c r="Z995" s="282"/>
      <c r="AA995" s="282"/>
    </row>
    <row r="996" spans="1:27" s="428" customFormat="1" outlineLevel="2">
      <c r="A996" s="276">
        <f t="shared" si="356"/>
        <v>547</v>
      </c>
      <c r="B996" s="757">
        <f>$B391</f>
        <v>0</v>
      </c>
      <c r="C996" s="560"/>
      <c r="D996" s="429"/>
      <c r="G996" s="1286">
        <f t="shared" si="359"/>
        <v>0</v>
      </c>
      <c r="H996" s="1286">
        <f t="shared" si="359"/>
        <v>0</v>
      </c>
      <c r="I996" s="1286">
        <f t="shared" si="359"/>
        <v>0</v>
      </c>
      <c r="J996" s="1286">
        <f t="shared" si="359"/>
        <v>0</v>
      </c>
      <c r="K996" s="1286">
        <f t="shared" si="359"/>
        <v>0</v>
      </c>
      <c r="L996" s="1286">
        <f t="shared" si="359"/>
        <v>0</v>
      </c>
      <c r="M996" s="1286">
        <f t="shared" si="359"/>
        <v>0</v>
      </c>
      <c r="N996" s="168"/>
      <c r="R996" s="282"/>
      <c r="S996" s="282"/>
      <c r="T996" s="282"/>
      <c r="U996" s="282"/>
      <c r="V996" s="282"/>
      <c r="W996" s="282"/>
      <c r="X996" s="282"/>
      <c r="Y996" s="282"/>
      <c r="Z996" s="282"/>
      <c r="AA996" s="282"/>
    </row>
    <row r="997" spans="1:27" s="428" customFormat="1" outlineLevel="2">
      <c r="A997" s="276">
        <f t="shared" si="356"/>
        <v>548</v>
      </c>
      <c r="B997" s="757">
        <f>$B392</f>
        <v>0</v>
      </c>
      <c r="C997" s="560"/>
      <c r="D997" s="429"/>
      <c r="G997" s="1286">
        <f t="shared" si="359"/>
        <v>0</v>
      </c>
      <c r="H997" s="1286">
        <f t="shared" si="359"/>
        <v>0</v>
      </c>
      <c r="I997" s="1286">
        <f t="shared" si="359"/>
        <v>0</v>
      </c>
      <c r="J997" s="1286">
        <f t="shared" si="359"/>
        <v>0</v>
      </c>
      <c r="K997" s="1286">
        <f t="shared" si="359"/>
        <v>0</v>
      </c>
      <c r="L997" s="1286">
        <f t="shared" si="359"/>
        <v>0</v>
      </c>
      <c r="M997" s="1286">
        <f t="shared" si="359"/>
        <v>0</v>
      </c>
      <c r="N997" s="168"/>
      <c r="R997" s="282"/>
      <c r="S997" s="282"/>
      <c r="T997" s="282"/>
      <c r="U997" s="282"/>
      <c r="V997" s="282"/>
      <c r="W997" s="282"/>
      <c r="X997" s="282"/>
      <c r="Y997" s="282"/>
      <c r="Z997" s="282"/>
      <c r="AA997" s="282"/>
    </row>
    <row r="998" spans="1:27" s="431" customFormat="1" outlineLevel="2">
      <c r="A998" s="276">
        <f t="shared" si="356"/>
        <v>549</v>
      </c>
      <c r="B998" s="757"/>
      <c r="C998" s="561"/>
      <c r="D998" s="428"/>
      <c r="G998" s="1286"/>
      <c r="H998" s="1286"/>
      <c r="I998" s="1286"/>
      <c r="J998" s="1286"/>
      <c r="K998" s="1286"/>
      <c r="L998" s="1286"/>
      <c r="M998" s="1286"/>
      <c r="N998" s="141"/>
      <c r="R998" s="282"/>
      <c r="S998" s="282"/>
      <c r="T998" s="282"/>
      <c r="U998" s="282"/>
      <c r="V998" s="282"/>
      <c r="W998" s="282"/>
      <c r="X998" s="282"/>
      <c r="Y998" s="282"/>
      <c r="Z998" s="282"/>
      <c r="AA998" s="282"/>
    </row>
    <row r="999" spans="1:27" s="428" customFormat="1" outlineLevel="2">
      <c r="A999" s="276">
        <f t="shared" si="356"/>
        <v>550</v>
      </c>
      <c r="B999" s="757" t="str">
        <f>$B394</f>
        <v>11th Grade Teacher</v>
      </c>
      <c r="C999" s="560"/>
      <c r="D999" s="429"/>
      <c r="G999" s="1286">
        <f t="shared" ref="G999:M1003" si="360">G394*$C$92</f>
        <v>0</v>
      </c>
      <c r="H999" s="1286">
        <f t="shared" si="360"/>
        <v>0</v>
      </c>
      <c r="I999" s="1286">
        <f t="shared" si="360"/>
        <v>0</v>
      </c>
      <c r="J999" s="1286">
        <f t="shared" si="360"/>
        <v>0</v>
      </c>
      <c r="K999" s="1286">
        <f t="shared" si="360"/>
        <v>0</v>
      </c>
      <c r="L999" s="1286">
        <f t="shared" si="360"/>
        <v>534.61668474999999</v>
      </c>
      <c r="M999" s="1286">
        <f t="shared" si="360"/>
        <v>550.65518529249994</v>
      </c>
      <c r="N999" s="168"/>
      <c r="R999" s="282"/>
      <c r="S999" s="282"/>
      <c r="T999" s="282"/>
      <c r="U999" s="282"/>
      <c r="V999" s="282"/>
      <c r="W999" s="282"/>
      <c r="X999" s="282"/>
      <c r="Y999" s="282"/>
      <c r="Z999" s="282"/>
      <c r="AA999" s="282"/>
    </row>
    <row r="1000" spans="1:27" s="428" customFormat="1" outlineLevel="2">
      <c r="A1000" s="276">
        <f t="shared" si="356"/>
        <v>551</v>
      </c>
      <c r="B1000" s="757" t="str">
        <f>$B395</f>
        <v>11th Grade Teacher</v>
      </c>
      <c r="C1000" s="560"/>
      <c r="D1000" s="429"/>
      <c r="G1000" s="1286">
        <f t="shared" si="360"/>
        <v>0</v>
      </c>
      <c r="H1000" s="1286">
        <f t="shared" si="360"/>
        <v>0</v>
      </c>
      <c r="I1000" s="1286">
        <f t="shared" si="360"/>
        <v>0</v>
      </c>
      <c r="J1000" s="1286">
        <f t="shared" si="360"/>
        <v>0</v>
      </c>
      <c r="K1000" s="1286">
        <f t="shared" si="360"/>
        <v>0</v>
      </c>
      <c r="L1000" s="1286">
        <f t="shared" si="360"/>
        <v>534.61668474999999</v>
      </c>
      <c r="M1000" s="1286">
        <f t="shared" si="360"/>
        <v>550.65518529249994</v>
      </c>
      <c r="N1000" s="168"/>
      <c r="R1000" s="282"/>
      <c r="S1000" s="282"/>
      <c r="T1000" s="282"/>
      <c r="U1000" s="282"/>
      <c r="V1000" s="282"/>
      <c r="W1000" s="282"/>
      <c r="X1000" s="282"/>
      <c r="Y1000" s="282"/>
      <c r="Z1000" s="282"/>
      <c r="AA1000" s="282"/>
    </row>
    <row r="1001" spans="1:27" s="428" customFormat="1" outlineLevel="2">
      <c r="A1001" s="276">
        <f t="shared" si="356"/>
        <v>552</v>
      </c>
      <c r="B1001" s="757" t="str">
        <f>$B396</f>
        <v>11th Grade Teacher</v>
      </c>
      <c r="C1001" s="560"/>
      <c r="D1001" s="429"/>
      <c r="G1001" s="1286">
        <f t="shared" si="360"/>
        <v>0</v>
      </c>
      <c r="H1001" s="1286">
        <f t="shared" si="360"/>
        <v>0</v>
      </c>
      <c r="I1001" s="1286">
        <f t="shared" si="360"/>
        <v>0</v>
      </c>
      <c r="J1001" s="1286">
        <f t="shared" si="360"/>
        <v>0</v>
      </c>
      <c r="K1001" s="1286">
        <f t="shared" si="360"/>
        <v>0</v>
      </c>
      <c r="L1001" s="1286">
        <f t="shared" si="360"/>
        <v>534.61668474999999</v>
      </c>
      <c r="M1001" s="1286">
        <f t="shared" si="360"/>
        <v>550.65518529249994</v>
      </c>
      <c r="N1001" s="168"/>
      <c r="R1001" s="282"/>
      <c r="S1001" s="282"/>
      <c r="T1001" s="282"/>
      <c r="U1001" s="282"/>
      <c r="V1001" s="282"/>
      <c r="W1001" s="282"/>
      <c r="X1001" s="282"/>
      <c r="Y1001" s="282"/>
      <c r="Z1001" s="282"/>
      <c r="AA1001" s="282"/>
    </row>
    <row r="1002" spans="1:27" s="428" customFormat="1" outlineLevel="2">
      <c r="A1002" s="276">
        <f t="shared" si="356"/>
        <v>553</v>
      </c>
      <c r="B1002" s="757">
        <f>$B397</f>
        <v>0</v>
      </c>
      <c r="C1002" s="560"/>
      <c r="D1002" s="429"/>
      <c r="G1002" s="1286">
        <f t="shared" si="360"/>
        <v>0</v>
      </c>
      <c r="H1002" s="1286">
        <f t="shared" si="360"/>
        <v>0</v>
      </c>
      <c r="I1002" s="1286">
        <f t="shared" si="360"/>
        <v>0</v>
      </c>
      <c r="J1002" s="1286">
        <f t="shared" si="360"/>
        <v>0</v>
      </c>
      <c r="K1002" s="1286">
        <f t="shared" si="360"/>
        <v>0</v>
      </c>
      <c r="L1002" s="1286">
        <f t="shared" si="360"/>
        <v>0</v>
      </c>
      <c r="M1002" s="1286">
        <f t="shared" si="360"/>
        <v>0</v>
      </c>
      <c r="N1002" s="168"/>
      <c r="R1002" s="282"/>
      <c r="S1002" s="282"/>
      <c r="T1002" s="282"/>
      <c r="U1002" s="282"/>
      <c r="V1002" s="282"/>
      <c r="W1002" s="282"/>
      <c r="X1002" s="282"/>
      <c r="Y1002" s="282"/>
      <c r="Z1002" s="282"/>
      <c r="AA1002" s="282"/>
    </row>
    <row r="1003" spans="1:27" s="428" customFormat="1" outlineLevel="2">
      <c r="A1003" s="276">
        <f t="shared" si="356"/>
        <v>554</v>
      </c>
      <c r="B1003" s="757">
        <f>$B398</f>
        <v>0</v>
      </c>
      <c r="C1003" s="560"/>
      <c r="D1003" s="429"/>
      <c r="G1003" s="1286">
        <f t="shared" si="360"/>
        <v>0</v>
      </c>
      <c r="H1003" s="1286">
        <f t="shared" si="360"/>
        <v>0</v>
      </c>
      <c r="I1003" s="1286">
        <f t="shared" si="360"/>
        <v>0</v>
      </c>
      <c r="J1003" s="1286">
        <f t="shared" si="360"/>
        <v>0</v>
      </c>
      <c r="K1003" s="1286">
        <f t="shared" si="360"/>
        <v>0</v>
      </c>
      <c r="L1003" s="1286">
        <f t="shared" si="360"/>
        <v>0</v>
      </c>
      <c r="M1003" s="1286">
        <f t="shared" si="360"/>
        <v>0</v>
      </c>
      <c r="N1003" s="168"/>
      <c r="R1003" s="282"/>
      <c r="S1003" s="282"/>
      <c r="T1003" s="282"/>
      <c r="U1003" s="282"/>
      <c r="V1003" s="282"/>
      <c r="W1003" s="282"/>
      <c r="X1003" s="282"/>
      <c r="Y1003" s="282"/>
      <c r="Z1003" s="282"/>
      <c r="AA1003" s="282"/>
    </row>
    <row r="1004" spans="1:27" s="431" customFormat="1" outlineLevel="2">
      <c r="A1004" s="276">
        <f t="shared" si="356"/>
        <v>555</v>
      </c>
      <c r="B1004" s="757"/>
      <c r="C1004" s="561"/>
      <c r="D1004" s="428"/>
      <c r="G1004" s="1286"/>
      <c r="H1004" s="1286"/>
      <c r="I1004" s="1286"/>
      <c r="J1004" s="1286"/>
      <c r="K1004" s="1286"/>
      <c r="L1004" s="1286"/>
      <c r="M1004" s="1286"/>
      <c r="N1004" s="141"/>
      <c r="R1004" s="282"/>
      <c r="S1004" s="282"/>
      <c r="T1004" s="282"/>
      <c r="U1004" s="282"/>
      <c r="V1004" s="282"/>
      <c r="W1004" s="282"/>
      <c r="X1004" s="282"/>
      <c r="Y1004" s="282"/>
      <c r="Z1004" s="282"/>
      <c r="AA1004" s="282"/>
    </row>
    <row r="1005" spans="1:27" s="428" customFormat="1" outlineLevel="2">
      <c r="A1005" s="276">
        <f t="shared" si="356"/>
        <v>556</v>
      </c>
      <c r="B1005" s="757" t="str">
        <f>$B400</f>
        <v>12th Grade Teacher</v>
      </c>
      <c r="C1005" s="560"/>
      <c r="D1005" s="429"/>
      <c r="G1005" s="1286">
        <f t="shared" ref="G1005:M1009" si="361">G400*$C$92</f>
        <v>0</v>
      </c>
      <c r="H1005" s="1286">
        <f t="shared" si="361"/>
        <v>0</v>
      </c>
      <c r="I1005" s="1286">
        <f t="shared" si="361"/>
        <v>0</v>
      </c>
      <c r="J1005" s="1286">
        <f t="shared" si="361"/>
        <v>0</v>
      </c>
      <c r="K1005" s="1286">
        <f t="shared" si="361"/>
        <v>0</v>
      </c>
      <c r="L1005" s="1286">
        <f t="shared" si="361"/>
        <v>0</v>
      </c>
      <c r="M1005" s="1286">
        <f t="shared" si="361"/>
        <v>550.65518529249994</v>
      </c>
      <c r="N1005" s="168"/>
      <c r="R1005" s="282"/>
      <c r="S1005" s="282"/>
      <c r="T1005" s="282"/>
      <c r="U1005" s="282"/>
      <c r="V1005" s="282"/>
      <c r="W1005" s="282"/>
      <c r="X1005" s="282"/>
      <c r="Y1005" s="282"/>
      <c r="Z1005" s="282"/>
      <c r="AA1005" s="282"/>
    </row>
    <row r="1006" spans="1:27" s="428" customFormat="1" outlineLevel="2">
      <c r="A1006" s="276">
        <f t="shared" si="356"/>
        <v>557</v>
      </c>
      <c r="B1006" s="757" t="str">
        <f>$B401</f>
        <v>12th Grade Teacher</v>
      </c>
      <c r="C1006" s="560"/>
      <c r="D1006" s="429"/>
      <c r="G1006" s="1286">
        <f t="shared" si="361"/>
        <v>0</v>
      </c>
      <c r="H1006" s="1286">
        <f t="shared" si="361"/>
        <v>0</v>
      </c>
      <c r="I1006" s="1286">
        <f t="shared" si="361"/>
        <v>0</v>
      </c>
      <c r="J1006" s="1286">
        <f t="shared" si="361"/>
        <v>0</v>
      </c>
      <c r="K1006" s="1286">
        <f t="shared" si="361"/>
        <v>0</v>
      </c>
      <c r="L1006" s="1286">
        <f t="shared" si="361"/>
        <v>0</v>
      </c>
      <c r="M1006" s="1286">
        <f t="shared" si="361"/>
        <v>550.65518529249994</v>
      </c>
      <c r="N1006" s="168"/>
      <c r="R1006" s="282"/>
      <c r="S1006" s="282"/>
      <c r="T1006" s="282"/>
      <c r="U1006" s="282"/>
      <c r="V1006" s="282"/>
      <c r="W1006" s="282"/>
      <c r="X1006" s="282"/>
      <c r="Y1006" s="282"/>
      <c r="Z1006" s="282"/>
      <c r="AA1006" s="282"/>
    </row>
    <row r="1007" spans="1:27" s="428" customFormat="1" outlineLevel="2">
      <c r="A1007" s="276">
        <f t="shared" si="356"/>
        <v>558</v>
      </c>
      <c r="B1007" s="757" t="str">
        <f>$B402</f>
        <v>12th Grade Teacher</v>
      </c>
      <c r="C1007" s="560"/>
      <c r="D1007" s="429"/>
      <c r="G1007" s="1286">
        <f t="shared" si="361"/>
        <v>0</v>
      </c>
      <c r="H1007" s="1286">
        <f t="shared" si="361"/>
        <v>0</v>
      </c>
      <c r="I1007" s="1286">
        <f t="shared" si="361"/>
        <v>0</v>
      </c>
      <c r="J1007" s="1286">
        <f t="shared" si="361"/>
        <v>0</v>
      </c>
      <c r="K1007" s="1286">
        <f t="shared" si="361"/>
        <v>0</v>
      </c>
      <c r="L1007" s="1286">
        <f t="shared" si="361"/>
        <v>0</v>
      </c>
      <c r="M1007" s="1286">
        <f t="shared" si="361"/>
        <v>550.65518529249994</v>
      </c>
      <c r="N1007" s="168"/>
      <c r="R1007" s="282"/>
      <c r="S1007" s="282"/>
      <c r="T1007" s="282"/>
      <c r="U1007" s="282"/>
      <c r="V1007" s="282"/>
      <c r="W1007" s="282"/>
      <c r="X1007" s="282"/>
      <c r="Y1007" s="282"/>
      <c r="Z1007" s="282"/>
      <c r="AA1007" s="282"/>
    </row>
    <row r="1008" spans="1:27" s="428" customFormat="1" outlineLevel="2">
      <c r="A1008" s="276">
        <f t="shared" si="356"/>
        <v>559</v>
      </c>
      <c r="B1008" s="757">
        <f>$B403</f>
        <v>0</v>
      </c>
      <c r="C1008" s="560"/>
      <c r="D1008" s="429"/>
      <c r="G1008" s="1286">
        <f t="shared" si="361"/>
        <v>0</v>
      </c>
      <c r="H1008" s="1286">
        <f t="shared" si="361"/>
        <v>0</v>
      </c>
      <c r="I1008" s="1286">
        <f t="shared" si="361"/>
        <v>0</v>
      </c>
      <c r="J1008" s="1286">
        <f t="shared" si="361"/>
        <v>0</v>
      </c>
      <c r="K1008" s="1286">
        <f t="shared" si="361"/>
        <v>0</v>
      </c>
      <c r="L1008" s="1286">
        <f t="shared" si="361"/>
        <v>0</v>
      </c>
      <c r="M1008" s="1286">
        <f t="shared" si="361"/>
        <v>0</v>
      </c>
      <c r="N1008" s="168"/>
      <c r="R1008" s="282"/>
      <c r="S1008" s="282"/>
      <c r="T1008" s="282"/>
      <c r="U1008" s="282"/>
      <c r="V1008" s="282"/>
      <c r="W1008" s="282"/>
      <c r="X1008" s="282"/>
      <c r="Y1008" s="282"/>
      <c r="Z1008" s="282"/>
      <c r="AA1008" s="282"/>
    </row>
    <row r="1009" spans="1:27" s="428" customFormat="1" outlineLevel="2">
      <c r="A1009" s="276">
        <f t="shared" si="356"/>
        <v>560</v>
      </c>
      <c r="B1009" s="757">
        <f>$B404</f>
        <v>0</v>
      </c>
      <c r="C1009" s="560"/>
      <c r="D1009" s="429"/>
      <c r="G1009" s="1286">
        <f t="shared" si="361"/>
        <v>0</v>
      </c>
      <c r="H1009" s="1286">
        <f t="shared" si="361"/>
        <v>0</v>
      </c>
      <c r="I1009" s="1286">
        <f t="shared" si="361"/>
        <v>0</v>
      </c>
      <c r="J1009" s="1286">
        <f t="shared" si="361"/>
        <v>0</v>
      </c>
      <c r="K1009" s="1286">
        <f t="shared" si="361"/>
        <v>0</v>
      </c>
      <c r="L1009" s="1286">
        <f t="shared" si="361"/>
        <v>0</v>
      </c>
      <c r="M1009" s="1286">
        <f t="shared" si="361"/>
        <v>0</v>
      </c>
      <c r="N1009" s="168"/>
      <c r="R1009" s="282"/>
      <c r="S1009" s="282"/>
      <c r="T1009" s="282"/>
      <c r="U1009" s="282"/>
      <c r="V1009" s="282"/>
      <c r="W1009" s="282"/>
      <c r="X1009" s="282"/>
      <c r="Y1009" s="282"/>
      <c r="Z1009" s="282"/>
      <c r="AA1009" s="282"/>
    </row>
    <row r="1010" spans="1:27" s="428" customFormat="1" outlineLevel="2">
      <c r="A1010" s="276">
        <f t="shared" si="356"/>
        <v>561</v>
      </c>
      <c r="B1010" s="757"/>
      <c r="C1010" s="560"/>
      <c r="D1010" s="429"/>
      <c r="G1010" s="1286"/>
      <c r="H1010" s="1286"/>
      <c r="I1010" s="1286"/>
      <c r="J1010" s="1286"/>
      <c r="K1010" s="1286"/>
      <c r="L1010" s="1286"/>
      <c r="M1010" s="1286"/>
      <c r="N1010" s="168"/>
      <c r="R1010" s="282"/>
      <c r="S1010" s="282"/>
      <c r="T1010" s="282"/>
      <c r="U1010" s="282"/>
      <c r="V1010" s="282"/>
      <c r="W1010" s="282"/>
      <c r="X1010" s="282"/>
      <c r="Y1010" s="282"/>
      <c r="Z1010" s="282"/>
      <c r="AA1010" s="282"/>
    </row>
    <row r="1011" spans="1:27" s="428" customFormat="1" outlineLevel="2">
      <c r="A1011" s="276">
        <f t="shared" si="356"/>
        <v>562</v>
      </c>
      <c r="B1011" s="757" t="str">
        <f>$B406</f>
        <v>Instructional Aide</v>
      </c>
      <c r="C1011" s="560"/>
      <c r="D1011" s="429"/>
      <c r="G1011" s="1286">
        <f t="shared" ref="G1011:M1015" si="362">G406*$C$92</f>
        <v>0</v>
      </c>
      <c r="H1011" s="1286">
        <f t="shared" si="362"/>
        <v>300</v>
      </c>
      <c r="I1011" s="1286">
        <f t="shared" si="362"/>
        <v>309</v>
      </c>
      <c r="J1011" s="1286">
        <f t="shared" si="362"/>
        <v>318.27</v>
      </c>
      <c r="K1011" s="1286">
        <f t="shared" si="362"/>
        <v>327.81809999999996</v>
      </c>
      <c r="L1011" s="1286">
        <f t="shared" si="362"/>
        <v>337.65264299999996</v>
      </c>
      <c r="M1011" s="1286">
        <f t="shared" si="362"/>
        <v>347.78222228999994</v>
      </c>
      <c r="N1011" s="168"/>
      <c r="R1011" s="282"/>
      <c r="S1011" s="282"/>
      <c r="T1011" s="282"/>
      <c r="U1011" s="282"/>
      <c r="V1011" s="282"/>
      <c r="W1011" s="282"/>
      <c r="X1011" s="282"/>
      <c r="Y1011" s="282"/>
      <c r="Z1011" s="282"/>
      <c r="AA1011" s="282"/>
    </row>
    <row r="1012" spans="1:27" s="428" customFormat="1" outlineLevel="2">
      <c r="A1012" s="276">
        <f t="shared" ref="A1012:A1027" si="363">ROW(A563)</f>
        <v>563</v>
      </c>
      <c r="B1012" s="757" t="str">
        <f>$B407</f>
        <v>Instructional Aide</v>
      </c>
      <c r="C1012" s="560"/>
      <c r="D1012" s="429"/>
      <c r="G1012" s="1286">
        <f t="shared" si="362"/>
        <v>0</v>
      </c>
      <c r="H1012" s="1286">
        <f t="shared" si="362"/>
        <v>0</v>
      </c>
      <c r="I1012" s="1286">
        <f t="shared" si="362"/>
        <v>309</v>
      </c>
      <c r="J1012" s="1286">
        <f t="shared" si="362"/>
        <v>318.27</v>
      </c>
      <c r="K1012" s="1286">
        <f t="shared" si="362"/>
        <v>327.81809999999996</v>
      </c>
      <c r="L1012" s="1286">
        <f t="shared" si="362"/>
        <v>337.65264299999996</v>
      </c>
      <c r="M1012" s="1286">
        <f t="shared" si="362"/>
        <v>347.78222228999994</v>
      </c>
      <c r="N1012" s="168"/>
      <c r="R1012" s="282"/>
      <c r="S1012" s="282"/>
      <c r="T1012" s="282"/>
      <c r="U1012" s="282"/>
      <c r="V1012" s="282"/>
      <c r="W1012" s="282"/>
      <c r="X1012" s="282"/>
      <c r="Y1012" s="282"/>
      <c r="Z1012" s="282"/>
      <c r="AA1012" s="282"/>
    </row>
    <row r="1013" spans="1:27" s="428" customFormat="1" outlineLevel="2">
      <c r="A1013" s="276">
        <f t="shared" si="363"/>
        <v>564</v>
      </c>
      <c r="B1013" s="757" t="str">
        <f>$B408</f>
        <v>Instructional Aide</v>
      </c>
      <c r="C1013" s="560"/>
      <c r="D1013" s="429"/>
      <c r="G1013" s="1286">
        <f t="shared" si="362"/>
        <v>0</v>
      </c>
      <c r="H1013" s="1286">
        <f t="shared" si="362"/>
        <v>0</v>
      </c>
      <c r="I1013" s="1286">
        <f t="shared" si="362"/>
        <v>309</v>
      </c>
      <c r="J1013" s="1286">
        <f t="shared" si="362"/>
        <v>318.27</v>
      </c>
      <c r="K1013" s="1286">
        <f t="shared" si="362"/>
        <v>327.81809999999996</v>
      </c>
      <c r="L1013" s="1286">
        <f t="shared" si="362"/>
        <v>337.65264299999996</v>
      </c>
      <c r="M1013" s="1286">
        <f t="shared" si="362"/>
        <v>347.78222228999994</v>
      </c>
      <c r="N1013" s="168"/>
      <c r="R1013" s="282"/>
      <c r="S1013" s="282"/>
      <c r="T1013" s="282"/>
      <c r="U1013" s="282"/>
      <c r="V1013" s="282"/>
      <c r="W1013" s="282"/>
      <c r="X1013" s="282"/>
      <c r="Y1013" s="282"/>
      <c r="Z1013" s="282"/>
      <c r="AA1013" s="282"/>
    </row>
    <row r="1014" spans="1:27" s="428" customFormat="1" outlineLevel="2">
      <c r="A1014" s="276">
        <f t="shared" si="363"/>
        <v>565</v>
      </c>
      <c r="B1014" s="757" t="str">
        <f>$B409</f>
        <v>Instructional Aide</v>
      </c>
      <c r="C1014" s="560"/>
      <c r="D1014" s="429"/>
      <c r="G1014" s="1286">
        <f t="shared" si="362"/>
        <v>0</v>
      </c>
      <c r="H1014" s="1286">
        <f t="shared" si="362"/>
        <v>0</v>
      </c>
      <c r="I1014" s="1286">
        <f t="shared" si="362"/>
        <v>0</v>
      </c>
      <c r="J1014" s="1286">
        <f t="shared" si="362"/>
        <v>318.27</v>
      </c>
      <c r="K1014" s="1286">
        <f t="shared" si="362"/>
        <v>327.81809999999996</v>
      </c>
      <c r="L1014" s="1286">
        <f t="shared" si="362"/>
        <v>337.65264299999996</v>
      </c>
      <c r="M1014" s="1286">
        <f t="shared" si="362"/>
        <v>347.78222228999994</v>
      </c>
      <c r="N1014" s="168"/>
      <c r="R1014" s="282"/>
      <c r="S1014" s="282"/>
      <c r="T1014" s="282"/>
      <c r="U1014" s="282"/>
      <c r="V1014" s="282"/>
      <c r="W1014" s="282"/>
      <c r="X1014" s="282"/>
      <c r="Y1014" s="282"/>
      <c r="Z1014" s="282"/>
      <c r="AA1014" s="282"/>
    </row>
    <row r="1015" spans="1:27" s="428" customFormat="1" outlineLevel="2">
      <c r="A1015" s="276">
        <f t="shared" si="363"/>
        <v>566</v>
      </c>
      <c r="B1015" s="757" t="str">
        <f>$B410</f>
        <v>Instructional Aide</v>
      </c>
      <c r="C1015" s="560"/>
      <c r="D1015" s="429"/>
      <c r="G1015" s="1286">
        <f t="shared" si="362"/>
        <v>0</v>
      </c>
      <c r="H1015" s="1286">
        <f t="shared" si="362"/>
        <v>0</v>
      </c>
      <c r="I1015" s="1286">
        <f t="shared" si="362"/>
        <v>0</v>
      </c>
      <c r="J1015" s="1286">
        <f t="shared" si="362"/>
        <v>318.27</v>
      </c>
      <c r="K1015" s="1286">
        <f t="shared" si="362"/>
        <v>327.81809999999996</v>
      </c>
      <c r="L1015" s="1286">
        <f t="shared" si="362"/>
        <v>337.65264299999996</v>
      </c>
      <c r="M1015" s="1286">
        <f t="shared" si="362"/>
        <v>347.78222228999994</v>
      </c>
      <c r="N1015" s="168"/>
      <c r="R1015" s="282"/>
      <c r="S1015" s="282"/>
      <c r="T1015" s="282"/>
      <c r="U1015" s="282"/>
      <c r="V1015" s="282"/>
      <c r="W1015" s="282"/>
      <c r="X1015" s="282"/>
      <c r="Y1015" s="282"/>
      <c r="Z1015" s="282"/>
      <c r="AA1015" s="282"/>
    </row>
    <row r="1016" spans="1:27" s="428" customFormat="1" outlineLevel="2">
      <c r="A1016" s="276">
        <f t="shared" si="363"/>
        <v>567</v>
      </c>
      <c r="B1016" s="757"/>
      <c r="C1016" s="560"/>
      <c r="D1016" s="429"/>
      <c r="G1016" s="1286"/>
      <c r="H1016" s="1286"/>
      <c r="I1016" s="1286"/>
      <c r="J1016" s="1286"/>
      <c r="K1016" s="1286"/>
      <c r="L1016" s="1286"/>
      <c r="M1016" s="1286"/>
      <c r="N1016" s="168"/>
      <c r="R1016" s="282"/>
      <c r="S1016" s="282"/>
      <c r="T1016" s="282"/>
      <c r="U1016" s="282"/>
      <c r="V1016" s="282"/>
      <c r="W1016" s="282"/>
      <c r="X1016" s="282"/>
      <c r="Y1016" s="282"/>
      <c r="Z1016" s="282"/>
      <c r="AA1016" s="282"/>
    </row>
    <row r="1017" spans="1:27" s="428" customFormat="1" outlineLevel="2">
      <c r="A1017" s="276">
        <f t="shared" si="363"/>
        <v>568</v>
      </c>
      <c r="B1017" s="757" t="str">
        <f>$B412</f>
        <v>Instructional Aide</v>
      </c>
      <c r="C1017" s="560"/>
      <c r="D1017" s="429"/>
      <c r="G1017" s="1286">
        <f t="shared" ref="G1017:M1021" si="364">G412*$C$92</f>
        <v>0</v>
      </c>
      <c r="H1017" s="1286">
        <f t="shared" si="364"/>
        <v>0</v>
      </c>
      <c r="I1017" s="1286">
        <f t="shared" si="364"/>
        <v>0</v>
      </c>
      <c r="J1017" s="1286">
        <f t="shared" si="364"/>
        <v>0</v>
      </c>
      <c r="K1017" s="1286">
        <f t="shared" si="364"/>
        <v>327.81809999999996</v>
      </c>
      <c r="L1017" s="1286">
        <f t="shared" si="364"/>
        <v>337.65264299999996</v>
      </c>
      <c r="M1017" s="1286">
        <f t="shared" si="364"/>
        <v>347.78222228999994</v>
      </c>
      <c r="N1017" s="168"/>
      <c r="R1017" s="282"/>
      <c r="S1017" s="282"/>
      <c r="T1017" s="282"/>
      <c r="U1017" s="282"/>
      <c r="V1017" s="282"/>
      <c r="W1017" s="282"/>
      <c r="X1017" s="282"/>
      <c r="Y1017" s="282"/>
      <c r="Z1017" s="282"/>
      <c r="AA1017" s="282"/>
    </row>
    <row r="1018" spans="1:27" s="428" customFormat="1" outlineLevel="2">
      <c r="A1018" s="276">
        <f t="shared" si="363"/>
        <v>569</v>
      </c>
      <c r="B1018" s="757" t="str">
        <f>$B413</f>
        <v>Instructional Aide</v>
      </c>
      <c r="C1018" s="560"/>
      <c r="D1018" s="429"/>
      <c r="G1018" s="1286">
        <f t="shared" si="364"/>
        <v>0</v>
      </c>
      <c r="H1018" s="1286">
        <f t="shared" si="364"/>
        <v>0</v>
      </c>
      <c r="I1018" s="1286">
        <f t="shared" si="364"/>
        <v>0</v>
      </c>
      <c r="J1018" s="1286">
        <f t="shared" si="364"/>
        <v>0</v>
      </c>
      <c r="K1018" s="1286">
        <f t="shared" si="364"/>
        <v>327.81809999999996</v>
      </c>
      <c r="L1018" s="1286">
        <f t="shared" si="364"/>
        <v>337.65264299999996</v>
      </c>
      <c r="M1018" s="1286">
        <f t="shared" si="364"/>
        <v>347.78222228999994</v>
      </c>
      <c r="N1018" s="168"/>
      <c r="R1018" s="282"/>
      <c r="S1018" s="282"/>
      <c r="T1018" s="282"/>
      <c r="U1018" s="282"/>
      <c r="V1018" s="282"/>
      <c r="W1018" s="282"/>
      <c r="X1018" s="282"/>
      <c r="Y1018" s="282"/>
      <c r="Z1018" s="282"/>
      <c r="AA1018" s="282"/>
    </row>
    <row r="1019" spans="1:27" s="428" customFormat="1" outlineLevel="2">
      <c r="A1019" s="276">
        <f t="shared" si="363"/>
        <v>570</v>
      </c>
      <c r="B1019" s="757" t="str">
        <f>$B414</f>
        <v>Instructional Aide</v>
      </c>
      <c r="C1019" s="560"/>
      <c r="D1019" s="429"/>
      <c r="G1019" s="1286">
        <f t="shared" si="364"/>
        <v>0</v>
      </c>
      <c r="H1019" s="1286">
        <f t="shared" si="364"/>
        <v>0</v>
      </c>
      <c r="I1019" s="1286">
        <f t="shared" si="364"/>
        <v>0</v>
      </c>
      <c r="J1019" s="1286">
        <f t="shared" si="364"/>
        <v>0</v>
      </c>
      <c r="K1019" s="1286">
        <f t="shared" si="364"/>
        <v>0</v>
      </c>
      <c r="L1019" s="1286">
        <f t="shared" si="364"/>
        <v>337.65264299999996</v>
      </c>
      <c r="M1019" s="1286">
        <f t="shared" si="364"/>
        <v>347.78222228999994</v>
      </c>
      <c r="N1019" s="168"/>
      <c r="R1019" s="282"/>
      <c r="S1019" s="282"/>
      <c r="T1019" s="282"/>
      <c r="U1019" s="282"/>
      <c r="V1019" s="282"/>
      <c r="W1019" s="282"/>
      <c r="X1019" s="282"/>
      <c r="Y1019" s="282"/>
      <c r="Z1019" s="282"/>
      <c r="AA1019" s="282"/>
    </row>
    <row r="1020" spans="1:27" s="428" customFormat="1" outlineLevel="2">
      <c r="A1020" s="276">
        <f t="shared" si="363"/>
        <v>571</v>
      </c>
      <c r="B1020" s="757" t="str">
        <f>$B415</f>
        <v>Instructional Aide</v>
      </c>
      <c r="C1020" s="560"/>
      <c r="D1020" s="429"/>
      <c r="G1020" s="1286">
        <f t="shared" si="364"/>
        <v>0</v>
      </c>
      <c r="H1020" s="1286">
        <f t="shared" si="364"/>
        <v>0</v>
      </c>
      <c r="I1020" s="1286">
        <f t="shared" si="364"/>
        <v>0</v>
      </c>
      <c r="J1020" s="1286">
        <f t="shared" si="364"/>
        <v>0</v>
      </c>
      <c r="K1020" s="1286">
        <f t="shared" si="364"/>
        <v>0</v>
      </c>
      <c r="L1020" s="1286">
        <f t="shared" si="364"/>
        <v>337.65264299999996</v>
      </c>
      <c r="M1020" s="1286">
        <f t="shared" si="364"/>
        <v>347.78222228999994</v>
      </c>
      <c r="N1020" s="168"/>
      <c r="R1020" s="282"/>
      <c r="S1020" s="282"/>
      <c r="T1020" s="282"/>
      <c r="U1020" s="282"/>
      <c r="V1020" s="282"/>
      <c r="W1020" s="282"/>
      <c r="X1020" s="282"/>
      <c r="Y1020" s="282"/>
      <c r="Z1020" s="282"/>
      <c r="AA1020" s="282"/>
    </row>
    <row r="1021" spans="1:27" s="428" customFormat="1" outlineLevel="2">
      <c r="A1021" s="276">
        <f t="shared" si="363"/>
        <v>572</v>
      </c>
      <c r="B1021" s="757" t="str">
        <f>$B416</f>
        <v>Instructional Aide</v>
      </c>
      <c r="C1021" s="560"/>
      <c r="D1021" s="429"/>
      <c r="G1021" s="1286">
        <f t="shared" si="364"/>
        <v>0</v>
      </c>
      <c r="H1021" s="1286">
        <f t="shared" si="364"/>
        <v>0</v>
      </c>
      <c r="I1021" s="1286">
        <f t="shared" si="364"/>
        <v>0</v>
      </c>
      <c r="J1021" s="1286">
        <f t="shared" si="364"/>
        <v>0</v>
      </c>
      <c r="K1021" s="1286">
        <f t="shared" si="364"/>
        <v>0</v>
      </c>
      <c r="L1021" s="1286">
        <f t="shared" si="364"/>
        <v>0</v>
      </c>
      <c r="M1021" s="1286">
        <f t="shared" si="364"/>
        <v>347.78222228999994</v>
      </c>
      <c r="N1021" s="168"/>
      <c r="R1021" s="282"/>
      <c r="S1021" s="282"/>
      <c r="T1021" s="282"/>
      <c r="U1021" s="282"/>
      <c r="V1021" s="282"/>
      <c r="W1021" s="282"/>
      <c r="X1021" s="282"/>
      <c r="Y1021" s="282"/>
      <c r="Z1021" s="282"/>
      <c r="AA1021" s="282"/>
    </row>
    <row r="1022" spans="1:27" s="431" customFormat="1" outlineLevel="2">
      <c r="A1022" s="276">
        <f t="shared" si="363"/>
        <v>573</v>
      </c>
      <c r="B1022" s="428"/>
      <c r="C1022" s="561"/>
      <c r="D1022" s="428"/>
      <c r="G1022" s="1286"/>
      <c r="H1022" s="1286"/>
      <c r="I1022" s="1286"/>
      <c r="J1022" s="1286"/>
      <c r="K1022" s="1286"/>
      <c r="L1022" s="1286"/>
      <c r="M1022" s="1286"/>
      <c r="N1022" s="141"/>
      <c r="R1022" s="282"/>
      <c r="S1022" s="282"/>
      <c r="T1022" s="282"/>
      <c r="U1022" s="282"/>
      <c r="V1022" s="282"/>
      <c r="W1022" s="282"/>
      <c r="X1022" s="282"/>
      <c r="Y1022" s="282"/>
      <c r="Z1022" s="282"/>
      <c r="AA1022" s="282"/>
    </row>
    <row r="1023" spans="1:27" s="431" customFormat="1" outlineLevel="2">
      <c r="A1023" s="276">
        <f t="shared" si="363"/>
        <v>574</v>
      </c>
      <c r="B1023" s="700" t="s">
        <v>101</v>
      </c>
      <c r="C1023" s="732"/>
      <c r="D1023" s="700"/>
      <c r="E1023" s="749"/>
      <c r="F1023" s="749"/>
      <c r="G1023" s="1287">
        <f t="shared" ref="G1023:M1023" si="365">SUM(G916:G1021)</f>
        <v>0</v>
      </c>
      <c r="H1023" s="1287">
        <f t="shared" si="365"/>
        <v>7675</v>
      </c>
      <c r="I1023" s="1287">
        <f t="shared" si="365"/>
        <v>12231.25</v>
      </c>
      <c r="J1023" s="1287">
        <f t="shared" si="365"/>
        <v>18088.344999999998</v>
      </c>
      <c r="K1023" s="1287">
        <f t="shared" si="365"/>
        <v>21881.858174999987</v>
      </c>
      <c r="L1023" s="1287">
        <f t="shared" si="365"/>
        <v>25886.702630000011</v>
      </c>
      <c r="M1023" s="1287">
        <f t="shared" si="365"/>
        <v>32024.946302537508</v>
      </c>
      <c r="N1023" s="141"/>
      <c r="R1023" s="282"/>
      <c r="S1023" s="282"/>
      <c r="T1023" s="282"/>
      <c r="U1023" s="282"/>
      <c r="V1023" s="282"/>
      <c r="W1023" s="282"/>
      <c r="X1023" s="282"/>
      <c r="Y1023" s="282"/>
      <c r="Z1023" s="282"/>
      <c r="AA1023" s="282"/>
    </row>
    <row r="1024" spans="1:27" s="431" customFormat="1" outlineLevel="2">
      <c r="A1024" s="276">
        <f t="shared" si="363"/>
        <v>575</v>
      </c>
      <c r="B1024" s="428"/>
      <c r="C1024" s="561"/>
      <c r="D1024" s="428"/>
      <c r="G1024" s="1286"/>
      <c r="H1024" s="1286"/>
      <c r="I1024" s="1286"/>
      <c r="J1024" s="1286"/>
      <c r="K1024" s="1286"/>
      <c r="L1024" s="1286"/>
      <c r="M1024" s="1286"/>
      <c r="N1024" s="141"/>
      <c r="R1024" s="282"/>
      <c r="S1024" s="282"/>
      <c r="T1024" s="282"/>
      <c r="U1024" s="282"/>
      <c r="V1024" s="282"/>
      <c r="W1024" s="282"/>
      <c r="X1024" s="282"/>
      <c r="Y1024" s="282"/>
      <c r="Z1024" s="282"/>
      <c r="AA1024" s="282"/>
    </row>
    <row r="1025" spans="1:27" s="431" customFormat="1" outlineLevel="2">
      <c r="A1025" s="276">
        <f t="shared" si="363"/>
        <v>576</v>
      </c>
      <c r="B1025" s="428"/>
      <c r="C1025" s="561"/>
      <c r="D1025" s="428"/>
      <c r="G1025" s="1286"/>
      <c r="H1025" s="1286"/>
      <c r="I1025" s="1286"/>
      <c r="J1025" s="1286"/>
      <c r="K1025" s="1286"/>
      <c r="L1025" s="1286"/>
      <c r="M1025" s="1286"/>
      <c r="N1025" s="141"/>
      <c r="R1025" s="282"/>
      <c r="S1025" s="282"/>
      <c r="T1025" s="282"/>
      <c r="U1025" s="282"/>
      <c r="V1025" s="282"/>
      <c r="W1025" s="282"/>
      <c r="X1025" s="282"/>
      <c r="Y1025" s="282"/>
      <c r="Z1025" s="282"/>
      <c r="AA1025" s="282"/>
    </row>
    <row r="1026" spans="1:27" s="431" customFormat="1" outlineLevel="1">
      <c r="A1026" s="276">
        <f t="shared" si="363"/>
        <v>577</v>
      </c>
      <c r="B1026" s="747" t="s">
        <v>732</v>
      </c>
      <c r="C1026" s="748"/>
      <c r="D1026" s="747"/>
      <c r="E1026" s="749"/>
      <c r="F1026" s="749"/>
      <c r="G1026" s="1288">
        <f t="shared" ref="G1026:M1026" si="366">G1023+G914+G890</f>
        <v>0</v>
      </c>
      <c r="H1026" s="1288">
        <f t="shared" si="366"/>
        <v>10665</v>
      </c>
      <c r="I1026" s="1288">
        <f t="shared" si="366"/>
        <v>16958.95</v>
      </c>
      <c r="J1026" s="1288">
        <f t="shared" si="366"/>
        <v>23795.986999999997</v>
      </c>
      <c r="K1026" s="1288">
        <f t="shared" si="366"/>
        <v>29509.092634999986</v>
      </c>
      <c r="L1026" s="1288">
        <f t="shared" si="366"/>
        <v>35149.640136300011</v>
      </c>
      <c r="M1026" s="1288">
        <f t="shared" si="366"/>
        <v>43420.610452906505</v>
      </c>
      <c r="N1026" s="141"/>
      <c r="R1026" s="282"/>
      <c r="S1026" s="282"/>
      <c r="T1026" s="282"/>
      <c r="U1026" s="282"/>
      <c r="V1026" s="282"/>
      <c r="W1026" s="282"/>
      <c r="X1026" s="282"/>
      <c r="Y1026" s="282"/>
      <c r="Z1026" s="282"/>
      <c r="AA1026" s="282"/>
    </row>
    <row r="1027" spans="1:27" s="221" customFormat="1" outlineLevel="1">
      <c r="A1027" s="276">
        <f t="shared" si="363"/>
        <v>578</v>
      </c>
      <c r="B1027" s="244"/>
      <c r="C1027" s="563"/>
      <c r="D1027" s="244"/>
      <c r="G1027" s="150"/>
      <c r="H1027" s="1289"/>
      <c r="I1027" s="1289"/>
      <c r="J1027" s="1289"/>
      <c r="K1027" s="1289"/>
      <c r="L1027" s="1289"/>
      <c r="M1027" s="1289"/>
      <c r="N1027" s="150"/>
      <c r="R1027" s="282"/>
      <c r="S1027" s="282"/>
      <c r="T1027" s="282"/>
      <c r="U1027" s="282"/>
      <c r="V1027" s="282"/>
      <c r="W1027" s="282"/>
      <c r="X1027" s="282"/>
      <c r="Y1027" s="282"/>
      <c r="Z1027" s="282"/>
      <c r="AA1027" s="282"/>
    </row>
    <row r="1028" spans="1:27" s="282" customFormat="1" outlineLevel="2">
      <c r="A1028" s="276">
        <f>ROW()</f>
        <v>1028</v>
      </c>
      <c r="B1028" s="511" t="s">
        <v>231</v>
      </c>
      <c r="C1028" s="1379"/>
      <c r="D1028" s="1380"/>
      <c r="E1028" s="1381"/>
      <c r="F1028" s="1381"/>
      <c r="G1028" s="1378"/>
      <c r="H1028" s="1378"/>
      <c r="I1028" s="1378"/>
      <c r="J1028" s="1378"/>
      <c r="K1028" s="1378"/>
      <c r="L1028" s="1378"/>
      <c r="M1028" s="1378"/>
      <c r="N1028" s="168"/>
    </row>
    <row r="1029" spans="1:27" s="282" customFormat="1" outlineLevel="2">
      <c r="A1029" s="276">
        <f>ROW()</f>
        <v>1029</v>
      </c>
      <c r="C1029" s="563"/>
      <c r="D1029" s="421"/>
      <c r="G1029" s="1290"/>
      <c r="H1029" s="1051"/>
      <c r="I1029" s="1051"/>
      <c r="J1029" s="1051"/>
      <c r="K1029" s="1051"/>
      <c r="L1029" s="1051"/>
      <c r="M1029" s="1051"/>
      <c r="N1029" s="168"/>
    </row>
    <row r="1030" spans="1:27" outlineLevel="2">
      <c r="A1030" s="276">
        <f>ROW()</f>
        <v>1030</v>
      </c>
      <c r="B1030" s="596" t="str">
        <f>$B$113</f>
        <v>Administrators</v>
      </c>
      <c r="C1030" s="722"/>
      <c r="D1030" s="289"/>
      <c r="E1030" s="289"/>
      <c r="F1030" s="289"/>
      <c r="G1030" s="1291"/>
      <c r="H1030" s="1291"/>
      <c r="I1030" s="1291"/>
      <c r="J1030" s="1291"/>
      <c r="K1030" s="1291"/>
      <c r="L1030" s="1291"/>
      <c r="M1030" s="1291"/>
      <c r="N1030" s="141"/>
      <c r="R1030" s="282"/>
      <c r="S1030" s="282"/>
      <c r="T1030" s="282"/>
      <c r="U1030" s="282"/>
      <c r="V1030" s="282"/>
      <c r="W1030" s="282"/>
      <c r="X1030" s="282"/>
      <c r="Y1030" s="282"/>
      <c r="Z1030" s="282"/>
      <c r="AA1030" s="282"/>
    </row>
    <row r="1031" spans="1:27" outlineLevel="2">
      <c r="A1031" s="276">
        <f>ROW()</f>
        <v>1031</v>
      </c>
      <c r="B1031" s="282" t="str">
        <f>$B$114</f>
        <v>Executive Director</v>
      </c>
      <c r="C1031" s="564" t="s">
        <v>231</v>
      </c>
      <c r="D1031" s="282"/>
      <c r="E1031" s="282"/>
      <c r="F1031" s="282"/>
      <c r="G1031" s="1286">
        <f t="shared" ref="G1031:M1035" si="367">G114*$C$93</f>
        <v>0</v>
      </c>
      <c r="H1031" s="1286">
        <f t="shared" si="367"/>
        <v>0</v>
      </c>
      <c r="I1031" s="1286">
        <f t="shared" si="367"/>
        <v>0</v>
      </c>
      <c r="J1031" s="1286">
        <f t="shared" si="367"/>
        <v>0</v>
      </c>
      <c r="K1031" s="1286">
        <f t="shared" si="367"/>
        <v>0</v>
      </c>
      <c r="L1031" s="1286">
        <f t="shared" si="367"/>
        <v>0</v>
      </c>
      <c r="M1031" s="1286">
        <f t="shared" si="367"/>
        <v>0</v>
      </c>
      <c r="N1031" s="141"/>
      <c r="R1031" s="282"/>
      <c r="S1031" s="282"/>
      <c r="T1031" s="282"/>
      <c r="U1031" s="282"/>
      <c r="V1031" s="282"/>
      <c r="W1031" s="282"/>
      <c r="X1031" s="282"/>
      <c r="Y1031" s="282"/>
      <c r="Z1031" s="282"/>
      <c r="AA1031" s="282"/>
    </row>
    <row r="1032" spans="1:27" outlineLevel="2">
      <c r="A1032" s="276">
        <f>ROW()</f>
        <v>1032</v>
      </c>
      <c r="B1032" s="282" t="str">
        <f>$B$115</f>
        <v>Director of Data, Instruction, Asses.</v>
      </c>
      <c r="C1032" s="564" t="s">
        <v>231</v>
      </c>
      <c r="D1032" s="282"/>
      <c r="E1032" s="282"/>
      <c r="F1032" s="282"/>
      <c r="G1032" s="1286">
        <f t="shared" si="367"/>
        <v>0</v>
      </c>
      <c r="H1032" s="1286">
        <f t="shared" si="367"/>
        <v>0</v>
      </c>
      <c r="I1032" s="1286">
        <f t="shared" si="367"/>
        <v>0</v>
      </c>
      <c r="J1032" s="1286">
        <f t="shared" si="367"/>
        <v>0</v>
      </c>
      <c r="K1032" s="1286">
        <f t="shared" si="367"/>
        <v>0</v>
      </c>
      <c r="L1032" s="1286">
        <f t="shared" si="367"/>
        <v>0</v>
      </c>
      <c r="M1032" s="1286">
        <f t="shared" si="367"/>
        <v>0</v>
      </c>
      <c r="N1032" s="141"/>
      <c r="R1032" s="282"/>
      <c r="S1032" s="282"/>
      <c r="T1032" s="282"/>
      <c r="U1032" s="282"/>
      <c r="V1032" s="282"/>
      <c r="W1032" s="282"/>
      <c r="X1032" s="282"/>
      <c r="Y1032" s="282"/>
      <c r="Z1032" s="282"/>
      <c r="AA1032" s="282"/>
    </row>
    <row r="1033" spans="1:27" outlineLevel="2">
      <c r="A1033" s="276">
        <f>ROW()</f>
        <v>1033</v>
      </c>
      <c r="B1033" s="282" t="str">
        <f>$B$116</f>
        <v>Director of Data, Instruction, Asses.</v>
      </c>
      <c r="C1033" s="564" t="s">
        <v>231</v>
      </c>
      <c r="D1033" s="282"/>
      <c r="E1033" s="282"/>
      <c r="F1033" s="282"/>
      <c r="G1033" s="1286">
        <f t="shared" si="367"/>
        <v>0</v>
      </c>
      <c r="H1033" s="1286">
        <f t="shared" si="367"/>
        <v>0</v>
      </c>
      <c r="I1033" s="1286">
        <f t="shared" si="367"/>
        <v>0</v>
      </c>
      <c r="J1033" s="1286">
        <f t="shared" si="367"/>
        <v>0</v>
      </c>
      <c r="K1033" s="1286">
        <f t="shared" si="367"/>
        <v>0</v>
      </c>
      <c r="L1033" s="1286">
        <f t="shared" si="367"/>
        <v>0</v>
      </c>
      <c r="M1033" s="1286">
        <f t="shared" si="367"/>
        <v>0</v>
      </c>
      <c r="N1033" s="141"/>
      <c r="R1033" s="282"/>
      <c r="S1033" s="282"/>
      <c r="T1033" s="282"/>
      <c r="U1033" s="282"/>
      <c r="V1033" s="282"/>
      <c r="W1033" s="282"/>
      <c r="X1033" s="282"/>
      <c r="Y1033" s="282"/>
      <c r="Z1033" s="282"/>
      <c r="AA1033" s="282"/>
    </row>
    <row r="1034" spans="1:27" outlineLevel="2">
      <c r="A1034" s="276">
        <f>ROW()</f>
        <v>1034</v>
      </c>
      <c r="B1034" s="282" t="str">
        <f>$B$117</f>
        <v>Director of Data, Instruction, Asses.</v>
      </c>
      <c r="C1034" s="564" t="s">
        <v>231</v>
      </c>
      <c r="D1034" s="282"/>
      <c r="E1034" s="282"/>
      <c r="F1034" s="282"/>
      <c r="G1034" s="1286">
        <f t="shared" si="367"/>
        <v>0</v>
      </c>
      <c r="H1034" s="1286">
        <f t="shared" si="367"/>
        <v>0</v>
      </c>
      <c r="I1034" s="1286">
        <f t="shared" si="367"/>
        <v>0</v>
      </c>
      <c r="J1034" s="1286">
        <f t="shared" si="367"/>
        <v>0</v>
      </c>
      <c r="K1034" s="1286">
        <f t="shared" si="367"/>
        <v>0</v>
      </c>
      <c r="L1034" s="1286">
        <f t="shared" si="367"/>
        <v>0</v>
      </c>
      <c r="M1034" s="1286">
        <f t="shared" si="367"/>
        <v>0</v>
      </c>
      <c r="N1034" s="141"/>
      <c r="R1034" s="282"/>
      <c r="S1034" s="282"/>
      <c r="T1034" s="282"/>
      <c r="U1034" s="282"/>
      <c r="V1034" s="282"/>
      <c r="W1034" s="282"/>
      <c r="X1034" s="282"/>
      <c r="Y1034" s="282"/>
      <c r="Z1034" s="282"/>
      <c r="AA1034" s="282"/>
    </row>
    <row r="1035" spans="1:27" outlineLevel="2">
      <c r="A1035" s="276">
        <f>ROW()</f>
        <v>1035</v>
      </c>
      <c r="B1035" s="282" t="str">
        <f>$B$118</f>
        <v>Superintendent</v>
      </c>
      <c r="C1035" s="564" t="s">
        <v>231</v>
      </c>
      <c r="D1035" s="282"/>
      <c r="E1035" s="282"/>
      <c r="F1035" s="282"/>
      <c r="G1035" s="1286">
        <f t="shared" si="367"/>
        <v>0</v>
      </c>
      <c r="H1035" s="1286">
        <f t="shared" si="367"/>
        <v>0</v>
      </c>
      <c r="I1035" s="1286">
        <f t="shared" si="367"/>
        <v>0</v>
      </c>
      <c r="J1035" s="1286">
        <f t="shared" si="367"/>
        <v>0</v>
      </c>
      <c r="K1035" s="1286">
        <f t="shared" si="367"/>
        <v>0</v>
      </c>
      <c r="L1035" s="1286">
        <f t="shared" si="367"/>
        <v>0</v>
      </c>
      <c r="M1035" s="1286">
        <f t="shared" si="367"/>
        <v>0</v>
      </c>
      <c r="N1035" s="141"/>
      <c r="R1035" s="282"/>
      <c r="S1035" s="282"/>
      <c r="T1035" s="282"/>
      <c r="U1035" s="282"/>
      <c r="V1035" s="282"/>
      <c r="W1035" s="282"/>
      <c r="X1035" s="282"/>
      <c r="Y1035" s="282"/>
      <c r="Z1035" s="282"/>
      <c r="AA1035" s="282"/>
    </row>
    <row r="1036" spans="1:27" outlineLevel="2">
      <c r="A1036" s="276">
        <f>ROW()</f>
        <v>1036</v>
      </c>
      <c r="B1036" s="282"/>
      <c r="C1036" s="564"/>
      <c r="D1036" s="564"/>
      <c r="E1036" s="564"/>
      <c r="F1036" s="564"/>
      <c r="G1036" s="1290"/>
      <c r="H1036" s="1290"/>
      <c r="I1036" s="1286"/>
      <c r="J1036" s="1286"/>
      <c r="K1036" s="1286"/>
      <c r="L1036" s="1286"/>
      <c r="M1036" s="1286"/>
      <c r="N1036" s="141"/>
      <c r="R1036" s="282"/>
      <c r="S1036" s="282"/>
      <c r="T1036" s="282"/>
      <c r="U1036" s="282"/>
      <c r="V1036" s="282"/>
      <c r="W1036" s="282"/>
      <c r="X1036" s="282"/>
      <c r="Y1036" s="282"/>
      <c r="Z1036" s="282"/>
      <c r="AA1036" s="282"/>
    </row>
    <row r="1037" spans="1:27" outlineLevel="2">
      <c r="A1037" s="276">
        <f>ROW()</f>
        <v>1037</v>
      </c>
      <c r="B1037" s="596" t="str">
        <f>$B$122</f>
        <v>Office Staff</v>
      </c>
      <c r="C1037" s="722"/>
      <c r="D1037" s="289"/>
      <c r="E1037" s="289"/>
      <c r="F1037" s="289"/>
      <c r="G1037" s="1291"/>
      <c r="H1037" s="1291"/>
      <c r="I1037" s="1291"/>
      <c r="J1037" s="1291"/>
      <c r="K1037" s="1291"/>
      <c r="L1037" s="1291"/>
      <c r="M1037" s="1291"/>
      <c r="N1037" s="141"/>
      <c r="R1037" s="282"/>
      <c r="S1037" s="282"/>
      <c r="T1037" s="282"/>
      <c r="U1037" s="282"/>
      <c r="V1037" s="282"/>
      <c r="W1037" s="282"/>
      <c r="X1037" s="282"/>
      <c r="Y1037" s="282"/>
      <c r="Z1037" s="282"/>
      <c r="AA1037" s="282"/>
    </row>
    <row r="1038" spans="1:27" outlineLevel="2">
      <c r="A1038" s="276">
        <f>ROW()</f>
        <v>1038</v>
      </c>
      <c r="B1038" s="282" t="str">
        <f>$B$123</f>
        <v>Office Manager</v>
      </c>
      <c r="C1038" s="564" t="s">
        <v>231</v>
      </c>
      <c r="D1038" s="282"/>
      <c r="E1038" s="282"/>
      <c r="F1038" s="282"/>
      <c r="G1038" s="1286">
        <f t="shared" ref="G1038:M1040" si="368">G123*$C$93</f>
        <v>0</v>
      </c>
      <c r="H1038" s="1286">
        <f t="shared" si="368"/>
        <v>0</v>
      </c>
      <c r="I1038" s="1286">
        <f t="shared" si="368"/>
        <v>0</v>
      </c>
      <c r="J1038" s="1286">
        <f t="shared" si="368"/>
        <v>0</v>
      </c>
      <c r="K1038" s="1286">
        <f t="shared" si="368"/>
        <v>0</v>
      </c>
      <c r="L1038" s="1286">
        <f t="shared" si="368"/>
        <v>0</v>
      </c>
      <c r="M1038" s="1286">
        <f t="shared" si="368"/>
        <v>0</v>
      </c>
      <c r="N1038" s="141"/>
      <c r="R1038" s="282"/>
      <c r="S1038" s="282"/>
      <c r="T1038" s="282"/>
      <c r="U1038" s="282"/>
      <c r="V1038" s="282"/>
      <c r="W1038" s="282"/>
      <c r="X1038" s="282"/>
      <c r="Y1038" s="282"/>
      <c r="Z1038" s="282"/>
      <c r="AA1038" s="282"/>
    </row>
    <row r="1039" spans="1:27" outlineLevel="2">
      <c r="A1039" s="276">
        <f>ROW()</f>
        <v>1039</v>
      </c>
      <c r="B1039" s="282" t="str">
        <f>$B$124</f>
        <v>Office Technician</v>
      </c>
      <c r="C1039" s="564" t="s">
        <v>231</v>
      </c>
      <c r="D1039" s="282"/>
      <c r="E1039" s="282"/>
      <c r="F1039" s="282"/>
      <c r="G1039" s="1286">
        <f t="shared" si="368"/>
        <v>0</v>
      </c>
      <c r="H1039" s="1286">
        <f t="shared" si="368"/>
        <v>0</v>
      </c>
      <c r="I1039" s="1286">
        <f t="shared" si="368"/>
        <v>0</v>
      </c>
      <c r="J1039" s="1286">
        <f t="shared" si="368"/>
        <v>0</v>
      </c>
      <c r="K1039" s="1286">
        <f t="shared" si="368"/>
        <v>0</v>
      </c>
      <c r="L1039" s="1286">
        <f t="shared" si="368"/>
        <v>0</v>
      </c>
      <c r="M1039" s="1286">
        <f t="shared" si="368"/>
        <v>0</v>
      </c>
      <c r="N1039" s="141"/>
      <c r="R1039" s="282"/>
      <c r="S1039" s="282"/>
      <c r="T1039" s="282"/>
      <c r="U1039" s="282"/>
      <c r="V1039" s="282"/>
      <c r="W1039" s="282"/>
      <c r="X1039" s="282"/>
      <c r="Y1039" s="282"/>
      <c r="Z1039" s="282"/>
      <c r="AA1039" s="282"/>
    </row>
    <row r="1040" spans="1:27" outlineLevel="2">
      <c r="A1040" s="276">
        <f>ROW()</f>
        <v>1040</v>
      </c>
      <c r="B1040" s="282" t="str">
        <f>$B$125</f>
        <v>Office Technician</v>
      </c>
      <c r="C1040" s="564" t="s">
        <v>231</v>
      </c>
      <c r="D1040" s="282"/>
      <c r="G1040" s="1286">
        <f t="shared" si="368"/>
        <v>0</v>
      </c>
      <c r="H1040" s="1286">
        <f t="shared" si="368"/>
        <v>0</v>
      </c>
      <c r="I1040" s="1286">
        <f t="shared" si="368"/>
        <v>0</v>
      </c>
      <c r="J1040" s="1286">
        <f t="shared" si="368"/>
        <v>0</v>
      </c>
      <c r="K1040" s="1286">
        <f t="shared" si="368"/>
        <v>0</v>
      </c>
      <c r="L1040" s="1286">
        <f t="shared" si="368"/>
        <v>0</v>
      </c>
      <c r="M1040" s="1286">
        <f t="shared" si="368"/>
        <v>0</v>
      </c>
      <c r="N1040" s="141"/>
      <c r="R1040" s="282"/>
      <c r="S1040" s="282"/>
      <c r="T1040" s="282"/>
      <c r="U1040" s="282"/>
      <c r="V1040" s="282"/>
      <c r="W1040" s="282"/>
      <c r="X1040" s="282"/>
      <c r="Y1040" s="282"/>
      <c r="Z1040" s="282"/>
      <c r="AA1040" s="282"/>
    </row>
    <row r="1041" spans="1:27" outlineLevel="2">
      <c r="A1041" s="276">
        <f>ROW()</f>
        <v>1041</v>
      </c>
      <c r="B1041" s="282"/>
      <c r="C1041" s="564"/>
      <c r="D1041" s="282"/>
      <c r="G1041" s="1286"/>
      <c r="H1041" s="1286"/>
      <c r="I1041" s="1286"/>
      <c r="J1041" s="1286"/>
      <c r="K1041" s="1286"/>
      <c r="L1041" s="1286"/>
      <c r="M1041" s="1286"/>
      <c r="N1041" s="141"/>
      <c r="R1041" s="282"/>
      <c r="S1041" s="282"/>
      <c r="T1041" s="282"/>
      <c r="U1041" s="282"/>
      <c r="V1041" s="282"/>
      <c r="W1041" s="282"/>
      <c r="X1041" s="282"/>
      <c r="Y1041" s="282"/>
      <c r="Z1041" s="282"/>
      <c r="AA1041" s="282"/>
    </row>
    <row r="1042" spans="1:27" outlineLevel="2">
      <c r="A1042" s="276">
        <f>ROW()</f>
        <v>1042</v>
      </c>
      <c r="B1042" s="244"/>
      <c r="C1042" s="564"/>
      <c r="D1042" s="282"/>
      <c r="G1042" s="1286"/>
      <c r="H1042" s="1286"/>
      <c r="I1042" s="1286"/>
      <c r="J1042" s="1286"/>
      <c r="K1042" s="1286"/>
      <c r="L1042" s="1286"/>
      <c r="M1042" s="1286"/>
      <c r="N1042" s="141"/>
      <c r="R1042" s="282"/>
      <c r="S1042" s="282"/>
      <c r="T1042" s="282"/>
      <c r="U1042" s="282"/>
      <c r="V1042" s="282"/>
      <c r="W1042" s="282"/>
      <c r="X1042" s="282"/>
      <c r="Y1042" s="282"/>
      <c r="Z1042" s="282"/>
      <c r="AA1042" s="282"/>
    </row>
    <row r="1043" spans="1:27" outlineLevel="2">
      <c r="A1043" s="276">
        <f>ROW()</f>
        <v>1043</v>
      </c>
      <c r="B1043" s="545" t="str">
        <f>$B$128</f>
        <v>Total Administrators and Office Staff</v>
      </c>
      <c r="C1043" s="707"/>
      <c r="D1043" s="545"/>
      <c r="E1043" s="517"/>
      <c r="F1043" s="517"/>
      <c r="G1043" s="1287">
        <f t="shared" ref="G1043:M1043" si="369">SUM(G1031:G1041)</f>
        <v>0</v>
      </c>
      <c r="H1043" s="1287">
        <f t="shared" si="369"/>
        <v>0</v>
      </c>
      <c r="I1043" s="1287">
        <f t="shared" si="369"/>
        <v>0</v>
      </c>
      <c r="J1043" s="1287">
        <f t="shared" si="369"/>
        <v>0</v>
      </c>
      <c r="K1043" s="1287">
        <f t="shared" si="369"/>
        <v>0</v>
      </c>
      <c r="L1043" s="1287">
        <f t="shared" si="369"/>
        <v>0</v>
      </c>
      <c r="M1043" s="1287">
        <f t="shared" si="369"/>
        <v>0</v>
      </c>
      <c r="N1043" s="141"/>
      <c r="R1043" s="282"/>
      <c r="S1043" s="282"/>
      <c r="T1043" s="282"/>
      <c r="U1043" s="282"/>
      <c r="V1043" s="282"/>
      <c r="W1043" s="282"/>
      <c r="X1043" s="282"/>
      <c r="Y1043" s="282"/>
      <c r="Z1043" s="282"/>
      <c r="AA1043" s="282"/>
    </row>
    <row r="1044" spans="1:27" outlineLevel="2">
      <c r="A1044" s="276">
        <f>ROW()</f>
        <v>1044</v>
      </c>
      <c r="B1044" s="244"/>
      <c r="C1044" s="564"/>
      <c r="D1044" s="282"/>
      <c r="G1044" s="1286"/>
      <c r="H1044" s="1286"/>
      <c r="I1044" s="1286"/>
      <c r="J1044" s="1286"/>
      <c r="K1044" s="1286"/>
      <c r="L1044" s="1286"/>
      <c r="M1044" s="1286"/>
      <c r="N1044" s="141"/>
      <c r="R1044" s="282"/>
      <c r="S1044" s="282"/>
      <c r="T1044" s="282"/>
      <c r="U1044" s="282"/>
      <c r="V1044" s="282"/>
      <c r="W1044" s="282"/>
      <c r="X1044" s="282"/>
      <c r="Y1044" s="282"/>
      <c r="Z1044" s="282"/>
      <c r="AA1044" s="282"/>
    </row>
    <row r="1045" spans="1:27" outlineLevel="2">
      <c r="A1045" s="276"/>
      <c r="B1045" s="596" t="str">
        <f>$B$130</f>
        <v>Special Education (SPED) Teachers</v>
      </c>
      <c r="C1045" s="722"/>
      <c r="D1045" s="289"/>
      <c r="E1045" s="289"/>
      <c r="F1045" s="289"/>
      <c r="G1045" s="1291"/>
      <c r="H1045" s="1291"/>
      <c r="I1045" s="1291"/>
      <c r="J1045" s="1291"/>
      <c r="K1045" s="1291"/>
      <c r="L1045" s="1291"/>
      <c r="M1045" s="1291"/>
      <c r="N1045" s="141"/>
      <c r="R1045" s="282"/>
      <c r="S1045" s="282"/>
      <c r="T1045" s="282"/>
      <c r="U1045" s="282"/>
      <c r="V1045" s="282"/>
      <c r="W1045" s="282"/>
      <c r="X1045" s="282"/>
      <c r="Y1045" s="282"/>
      <c r="Z1045" s="282"/>
      <c r="AA1045" s="282"/>
    </row>
    <row r="1046" spans="1:27" outlineLevel="2">
      <c r="A1046" s="276">
        <f t="shared" ref="A1046:A1082" si="370">ROW(A131)</f>
        <v>131</v>
      </c>
      <c r="B1046" s="282" t="str">
        <f>$B$131</f>
        <v>Special Education Teacher</v>
      </c>
      <c r="C1046" s="564" t="s">
        <v>231</v>
      </c>
      <c r="D1046" s="282"/>
      <c r="E1046" s="282"/>
      <c r="F1046" s="282"/>
      <c r="G1046" s="1286">
        <f t="shared" ref="G1046:M1053" si="371">G131*$C$93</f>
        <v>0</v>
      </c>
      <c r="H1046" s="1286">
        <f t="shared" si="371"/>
        <v>0</v>
      </c>
      <c r="I1046" s="1286">
        <f t="shared" si="371"/>
        <v>0</v>
      </c>
      <c r="J1046" s="1286">
        <f t="shared" si="371"/>
        <v>0</v>
      </c>
      <c r="K1046" s="1286">
        <f t="shared" si="371"/>
        <v>0</v>
      </c>
      <c r="L1046" s="1286">
        <f t="shared" si="371"/>
        <v>0</v>
      </c>
      <c r="M1046" s="1286">
        <f t="shared" si="371"/>
        <v>0</v>
      </c>
      <c r="N1046" s="141"/>
      <c r="R1046" s="282"/>
      <c r="S1046" s="282"/>
      <c r="T1046" s="282"/>
      <c r="U1046" s="282"/>
      <c r="V1046" s="282"/>
      <c r="W1046" s="282"/>
      <c r="X1046" s="282"/>
      <c r="Y1046" s="282"/>
      <c r="Z1046" s="282"/>
      <c r="AA1046" s="282"/>
    </row>
    <row r="1047" spans="1:27" outlineLevel="2">
      <c r="A1047" s="276">
        <f t="shared" si="370"/>
        <v>132</v>
      </c>
      <c r="B1047" s="282" t="str">
        <f>$B$132</f>
        <v>Special Education Teacher</v>
      </c>
      <c r="C1047" s="564" t="s">
        <v>231</v>
      </c>
      <c r="D1047" s="282"/>
      <c r="E1047" s="282"/>
      <c r="F1047" s="282"/>
      <c r="G1047" s="1286">
        <f t="shared" si="371"/>
        <v>0</v>
      </c>
      <c r="H1047" s="1286">
        <f t="shared" si="371"/>
        <v>0</v>
      </c>
      <c r="I1047" s="1286">
        <f t="shared" si="371"/>
        <v>0</v>
      </c>
      <c r="J1047" s="1286">
        <f t="shared" si="371"/>
        <v>0</v>
      </c>
      <c r="K1047" s="1286">
        <f t="shared" si="371"/>
        <v>0</v>
      </c>
      <c r="L1047" s="1286">
        <f t="shared" si="371"/>
        <v>0</v>
      </c>
      <c r="M1047" s="1286">
        <f t="shared" si="371"/>
        <v>0</v>
      </c>
      <c r="N1047" s="141"/>
      <c r="R1047" s="282"/>
      <c r="S1047" s="282"/>
      <c r="T1047" s="282"/>
      <c r="U1047" s="282"/>
      <c r="V1047" s="282"/>
      <c r="W1047" s="282"/>
      <c r="X1047" s="282"/>
      <c r="Y1047" s="282"/>
      <c r="Z1047" s="282"/>
      <c r="AA1047" s="282"/>
    </row>
    <row r="1048" spans="1:27" outlineLevel="2">
      <c r="A1048" s="276">
        <f t="shared" si="370"/>
        <v>133</v>
      </c>
      <c r="B1048" s="282" t="str">
        <f>$B$133</f>
        <v>Special Education Teacher</v>
      </c>
      <c r="C1048" s="564" t="s">
        <v>231</v>
      </c>
      <c r="D1048" s="282"/>
      <c r="E1048" s="282"/>
      <c r="F1048" s="282"/>
      <c r="G1048" s="1286">
        <f t="shared" si="371"/>
        <v>0</v>
      </c>
      <c r="H1048" s="1286">
        <f t="shared" si="371"/>
        <v>0</v>
      </c>
      <c r="I1048" s="1286">
        <f t="shared" si="371"/>
        <v>0</v>
      </c>
      <c r="J1048" s="1286">
        <f t="shared" si="371"/>
        <v>0</v>
      </c>
      <c r="K1048" s="1286">
        <f t="shared" si="371"/>
        <v>0</v>
      </c>
      <c r="L1048" s="1286">
        <f t="shared" si="371"/>
        <v>0</v>
      </c>
      <c r="M1048" s="1286">
        <f t="shared" si="371"/>
        <v>0</v>
      </c>
      <c r="N1048" s="141"/>
      <c r="R1048" s="282"/>
      <c r="S1048" s="282"/>
      <c r="T1048" s="282"/>
      <c r="U1048" s="282"/>
      <c r="V1048" s="282"/>
      <c r="W1048" s="282"/>
      <c r="X1048" s="282"/>
      <c r="Y1048" s="282"/>
      <c r="Z1048" s="282"/>
      <c r="AA1048" s="282"/>
    </row>
    <row r="1049" spans="1:27" outlineLevel="2">
      <c r="A1049" s="276">
        <f t="shared" si="370"/>
        <v>134</v>
      </c>
      <c r="B1049" s="282" t="str">
        <f>$B$134</f>
        <v>Special Education Teacher</v>
      </c>
      <c r="C1049" s="564" t="s">
        <v>231</v>
      </c>
      <c r="D1049" s="282"/>
      <c r="E1049" s="282"/>
      <c r="F1049" s="282"/>
      <c r="G1049" s="1286">
        <f t="shared" si="371"/>
        <v>0</v>
      </c>
      <c r="H1049" s="1286">
        <f t="shared" si="371"/>
        <v>0</v>
      </c>
      <c r="I1049" s="1286">
        <f t="shared" si="371"/>
        <v>0</v>
      </c>
      <c r="J1049" s="1286">
        <f t="shared" si="371"/>
        <v>0</v>
      </c>
      <c r="K1049" s="1286">
        <f t="shared" si="371"/>
        <v>0</v>
      </c>
      <c r="L1049" s="1286">
        <f t="shared" si="371"/>
        <v>0</v>
      </c>
      <c r="M1049" s="1286">
        <f t="shared" si="371"/>
        <v>0</v>
      </c>
      <c r="N1049" s="141"/>
      <c r="R1049" s="282"/>
      <c r="S1049" s="282"/>
      <c r="T1049" s="282"/>
      <c r="U1049" s="282"/>
      <c r="V1049" s="282"/>
      <c r="W1049" s="282"/>
      <c r="X1049" s="282"/>
      <c r="Y1049" s="282"/>
      <c r="Z1049" s="282"/>
      <c r="AA1049" s="282"/>
    </row>
    <row r="1050" spans="1:27" outlineLevel="2">
      <c r="A1050" s="276">
        <f t="shared" si="370"/>
        <v>135</v>
      </c>
      <c r="B1050" s="282">
        <f>$B$135</f>
        <v>0</v>
      </c>
      <c r="C1050" s="564" t="s">
        <v>231</v>
      </c>
      <c r="D1050" s="282"/>
      <c r="E1050" s="282"/>
      <c r="F1050" s="282"/>
      <c r="G1050" s="1286">
        <f t="shared" si="371"/>
        <v>0</v>
      </c>
      <c r="H1050" s="1286">
        <f t="shared" si="371"/>
        <v>0</v>
      </c>
      <c r="I1050" s="1286">
        <f t="shared" si="371"/>
        <v>0</v>
      </c>
      <c r="J1050" s="1286">
        <f t="shared" si="371"/>
        <v>0</v>
      </c>
      <c r="K1050" s="1286">
        <f t="shared" si="371"/>
        <v>0</v>
      </c>
      <c r="L1050" s="1286">
        <f t="shared" si="371"/>
        <v>0</v>
      </c>
      <c r="M1050" s="1286">
        <f t="shared" si="371"/>
        <v>0</v>
      </c>
      <c r="N1050" s="141"/>
      <c r="R1050" s="282"/>
      <c r="S1050" s="282"/>
      <c r="T1050" s="282"/>
      <c r="U1050" s="282"/>
      <c r="V1050" s="282"/>
      <c r="W1050" s="282"/>
      <c r="X1050" s="282"/>
      <c r="Y1050" s="282"/>
      <c r="Z1050" s="282"/>
      <c r="AA1050" s="282"/>
    </row>
    <row r="1051" spans="1:27" outlineLevel="2">
      <c r="A1051" s="276">
        <f t="shared" si="370"/>
        <v>136</v>
      </c>
      <c r="B1051" s="282">
        <f>$B$136</f>
        <v>0</v>
      </c>
      <c r="C1051" s="564" t="s">
        <v>231</v>
      </c>
      <c r="D1051" s="282"/>
      <c r="E1051" s="282"/>
      <c r="F1051" s="282"/>
      <c r="G1051" s="1286">
        <f t="shared" si="371"/>
        <v>0</v>
      </c>
      <c r="H1051" s="1286">
        <f t="shared" si="371"/>
        <v>0</v>
      </c>
      <c r="I1051" s="1286">
        <f t="shared" si="371"/>
        <v>0</v>
      </c>
      <c r="J1051" s="1286">
        <f t="shared" si="371"/>
        <v>0</v>
      </c>
      <c r="K1051" s="1286">
        <f t="shared" si="371"/>
        <v>0</v>
      </c>
      <c r="L1051" s="1286">
        <f t="shared" si="371"/>
        <v>0</v>
      </c>
      <c r="M1051" s="1286">
        <f t="shared" si="371"/>
        <v>0</v>
      </c>
      <c r="N1051" s="141"/>
      <c r="R1051" s="282"/>
      <c r="S1051" s="282"/>
      <c r="T1051" s="282"/>
      <c r="U1051" s="282"/>
      <c r="V1051" s="282"/>
      <c r="W1051" s="282"/>
      <c r="X1051" s="282"/>
      <c r="Y1051" s="282"/>
      <c r="Z1051" s="282"/>
      <c r="AA1051" s="282"/>
    </row>
    <row r="1052" spans="1:27" outlineLevel="2">
      <c r="A1052" s="276">
        <f t="shared" si="370"/>
        <v>137</v>
      </c>
      <c r="B1052" s="282">
        <f>$B$137</f>
        <v>0</v>
      </c>
      <c r="C1052" s="564" t="s">
        <v>231</v>
      </c>
      <c r="D1052" s="282"/>
      <c r="E1052" s="282"/>
      <c r="F1052" s="282"/>
      <c r="G1052" s="1286">
        <f t="shared" si="371"/>
        <v>0</v>
      </c>
      <c r="H1052" s="1286">
        <f t="shared" si="371"/>
        <v>0</v>
      </c>
      <c r="I1052" s="1286">
        <f t="shared" si="371"/>
        <v>0</v>
      </c>
      <c r="J1052" s="1286">
        <f t="shared" si="371"/>
        <v>0</v>
      </c>
      <c r="K1052" s="1286">
        <f t="shared" si="371"/>
        <v>0</v>
      </c>
      <c r="L1052" s="1286">
        <f t="shared" si="371"/>
        <v>0</v>
      </c>
      <c r="M1052" s="1286">
        <f t="shared" si="371"/>
        <v>0</v>
      </c>
      <c r="N1052" s="141"/>
      <c r="R1052" s="282"/>
      <c r="S1052" s="282"/>
      <c r="T1052" s="282"/>
      <c r="U1052" s="282"/>
      <c r="V1052" s="282"/>
      <c r="W1052" s="282"/>
      <c r="X1052" s="282"/>
      <c r="Y1052" s="282"/>
      <c r="Z1052" s="282"/>
      <c r="AA1052" s="282"/>
    </row>
    <row r="1053" spans="1:27" outlineLevel="2">
      <c r="A1053" s="276">
        <f t="shared" si="370"/>
        <v>138</v>
      </c>
      <c r="B1053" s="724">
        <f>$B138</f>
        <v>0</v>
      </c>
      <c r="C1053" s="564" t="s">
        <v>231</v>
      </c>
      <c r="D1053" s="282"/>
      <c r="E1053" s="282"/>
      <c r="F1053" s="282"/>
      <c r="G1053" s="1286">
        <f t="shared" si="371"/>
        <v>0</v>
      </c>
      <c r="H1053" s="1286">
        <f t="shared" si="371"/>
        <v>0</v>
      </c>
      <c r="I1053" s="1286">
        <f t="shared" si="371"/>
        <v>0</v>
      </c>
      <c r="J1053" s="1286">
        <f t="shared" si="371"/>
        <v>0</v>
      </c>
      <c r="K1053" s="1286">
        <f t="shared" si="371"/>
        <v>0</v>
      </c>
      <c r="L1053" s="1286">
        <f t="shared" si="371"/>
        <v>0</v>
      </c>
      <c r="M1053" s="1286">
        <f t="shared" si="371"/>
        <v>0</v>
      </c>
      <c r="N1053" s="141"/>
      <c r="R1053" s="282"/>
      <c r="S1053" s="282"/>
      <c r="T1053" s="282"/>
      <c r="U1053" s="282"/>
      <c r="V1053" s="282"/>
      <c r="W1053" s="282"/>
      <c r="X1053" s="282"/>
      <c r="Y1053" s="282"/>
      <c r="Z1053" s="282"/>
      <c r="AA1053" s="282"/>
    </row>
    <row r="1054" spans="1:27" outlineLevel="2">
      <c r="A1054" s="276">
        <f t="shared" si="370"/>
        <v>139</v>
      </c>
      <c r="B1054" s="724">
        <f>$B139</f>
        <v>0</v>
      </c>
      <c r="C1054" s="564" t="s">
        <v>231</v>
      </c>
      <c r="D1054" s="282"/>
      <c r="E1054" s="282"/>
      <c r="F1054" s="282"/>
      <c r="G1054" s="1286"/>
      <c r="H1054" s="1286"/>
      <c r="I1054" s="1286"/>
      <c r="J1054" s="1286"/>
      <c r="K1054" s="1286"/>
      <c r="L1054" s="1286"/>
      <c r="M1054" s="1286"/>
      <c r="N1054" s="141"/>
      <c r="R1054" s="282"/>
      <c r="S1054" s="282"/>
      <c r="T1054" s="282"/>
      <c r="U1054" s="282"/>
      <c r="V1054" s="282"/>
      <c r="W1054" s="282"/>
      <c r="X1054" s="282"/>
      <c r="Y1054" s="282"/>
      <c r="Z1054" s="282"/>
      <c r="AA1054" s="282"/>
    </row>
    <row r="1055" spans="1:27" outlineLevel="2">
      <c r="A1055" s="276">
        <f t="shared" si="370"/>
        <v>140</v>
      </c>
      <c r="B1055" s="545" t="str">
        <f>$B140</f>
        <v xml:space="preserve">Total Special EducationTeachers </v>
      </c>
      <c r="C1055" s="706"/>
      <c r="D1055" s="723"/>
      <c r="E1055" s="723"/>
      <c r="F1055" s="723"/>
      <c r="G1055" s="1292"/>
      <c r="H1055" s="1292"/>
      <c r="I1055" s="1292"/>
      <c r="J1055" s="1292"/>
      <c r="K1055" s="1292"/>
      <c r="L1055" s="1292"/>
      <c r="M1055" s="1292"/>
      <c r="N1055" s="141"/>
      <c r="R1055" s="282"/>
      <c r="S1055" s="282"/>
      <c r="T1055" s="282"/>
      <c r="U1055" s="282"/>
      <c r="V1055" s="282"/>
      <c r="W1055" s="282"/>
      <c r="X1055" s="282"/>
      <c r="Y1055" s="282"/>
      <c r="Z1055" s="282"/>
      <c r="AA1055" s="282"/>
    </row>
    <row r="1056" spans="1:27" outlineLevel="2">
      <c r="A1056" s="276">
        <f t="shared" si="370"/>
        <v>141</v>
      </c>
      <c r="B1056" s="282"/>
      <c r="C1056" s="564"/>
      <c r="D1056" s="282"/>
      <c r="E1056" s="282"/>
      <c r="F1056" s="282"/>
      <c r="G1056" s="1286"/>
      <c r="H1056" s="1286"/>
      <c r="I1056" s="1286"/>
      <c r="J1056" s="1286"/>
      <c r="K1056" s="1286"/>
      <c r="L1056" s="1286"/>
      <c r="M1056" s="1286"/>
      <c r="N1056" s="141"/>
      <c r="R1056" s="282"/>
      <c r="S1056" s="282"/>
      <c r="T1056" s="282"/>
      <c r="U1056" s="282"/>
      <c r="V1056" s="282"/>
      <c r="W1056" s="282"/>
      <c r="X1056" s="282"/>
      <c r="Y1056" s="282"/>
      <c r="Z1056" s="282"/>
      <c r="AA1056" s="282"/>
    </row>
    <row r="1057" spans="1:27" outlineLevel="2">
      <c r="A1057" s="276">
        <f t="shared" si="370"/>
        <v>142</v>
      </c>
      <c r="B1057" s="596" t="str">
        <f t="shared" ref="B1057:B1067" si="372">$B142</f>
        <v>English Language Learner (ELL) Teachers</v>
      </c>
      <c r="C1057" s="722"/>
      <c r="D1057" s="289"/>
      <c r="E1057" s="289"/>
      <c r="F1057" s="289"/>
      <c r="G1057" s="1291"/>
      <c r="H1057" s="1291"/>
      <c r="I1057" s="1291"/>
      <c r="J1057" s="1291"/>
      <c r="K1057" s="1291"/>
      <c r="L1057" s="1291"/>
      <c r="M1057" s="1291"/>
      <c r="N1057" s="141"/>
      <c r="R1057" s="282"/>
      <c r="S1057" s="282"/>
      <c r="T1057" s="282"/>
      <c r="U1057" s="282"/>
      <c r="V1057" s="282"/>
      <c r="W1057" s="282"/>
      <c r="X1057" s="282"/>
      <c r="Y1057" s="282"/>
      <c r="Z1057" s="282"/>
      <c r="AA1057" s="282"/>
    </row>
    <row r="1058" spans="1:27" outlineLevel="2">
      <c r="A1058" s="276">
        <f t="shared" si="370"/>
        <v>143</v>
      </c>
      <c r="B1058" s="724" t="str">
        <f t="shared" si="372"/>
        <v xml:space="preserve">EL Coordinator </v>
      </c>
      <c r="C1058" s="564" t="s">
        <v>231</v>
      </c>
      <c r="D1058" s="282"/>
      <c r="E1058" s="282"/>
      <c r="F1058" s="282"/>
      <c r="G1058" s="1286">
        <f t="shared" ref="G1058:M1067" si="373">G143*$C$93</f>
        <v>0</v>
      </c>
      <c r="H1058" s="1286">
        <f t="shared" si="373"/>
        <v>0</v>
      </c>
      <c r="I1058" s="1286">
        <f t="shared" si="373"/>
        <v>0</v>
      </c>
      <c r="J1058" s="1286">
        <f t="shared" si="373"/>
        <v>0</v>
      </c>
      <c r="K1058" s="1286">
        <f t="shared" si="373"/>
        <v>0</v>
      </c>
      <c r="L1058" s="1286">
        <f t="shared" si="373"/>
        <v>0</v>
      </c>
      <c r="M1058" s="1286">
        <f t="shared" si="373"/>
        <v>0</v>
      </c>
      <c r="N1058" s="141"/>
      <c r="R1058" s="282"/>
      <c r="S1058" s="282"/>
      <c r="T1058" s="282"/>
      <c r="U1058" s="282"/>
      <c r="V1058" s="282"/>
      <c r="W1058" s="282"/>
      <c r="X1058" s="282"/>
      <c r="Y1058" s="282"/>
      <c r="Z1058" s="282"/>
      <c r="AA1058" s="282"/>
    </row>
    <row r="1059" spans="1:27" outlineLevel="2">
      <c r="A1059" s="276">
        <f t="shared" si="370"/>
        <v>144</v>
      </c>
      <c r="B1059" s="724" t="str">
        <f t="shared" si="372"/>
        <v>ELL Teacher</v>
      </c>
      <c r="C1059" s="564" t="s">
        <v>231</v>
      </c>
      <c r="D1059" s="282"/>
      <c r="E1059" s="282"/>
      <c r="F1059" s="282"/>
      <c r="G1059" s="1286">
        <f t="shared" si="373"/>
        <v>0</v>
      </c>
      <c r="H1059" s="1286">
        <f t="shared" si="373"/>
        <v>0</v>
      </c>
      <c r="I1059" s="1286">
        <f t="shared" si="373"/>
        <v>0</v>
      </c>
      <c r="J1059" s="1286">
        <f t="shared" si="373"/>
        <v>0</v>
      </c>
      <c r="K1059" s="1286">
        <f t="shared" si="373"/>
        <v>0</v>
      </c>
      <c r="L1059" s="1286">
        <f t="shared" si="373"/>
        <v>0</v>
      </c>
      <c r="M1059" s="1286">
        <f t="shared" si="373"/>
        <v>0</v>
      </c>
      <c r="N1059" s="141"/>
      <c r="R1059" s="282"/>
      <c r="S1059" s="282"/>
      <c r="T1059" s="282"/>
      <c r="U1059" s="282"/>
      <c r="V1059" s="282"/>
      <c r="W1059" s="282"/>
      <c r="X1059" s="282"/>
      <c r="Y1059" s="282"/>
      <c r="Z1059" s="282"/>
      <c r="AA1059" s="282"/>
    </row>
    <row r="1060" spans="1:27" outlineLevel="2">
      <c r="A1060" s="276">
        <f t="shared" si="370"/>
        <v>145</v>
      </c>
      <c r="B1060" s="724" t="str">
        <f t="shared" si="372"/>
        <v>ELL Teacher</v>
      </c>
      <c r="C1060" s="564" t="s">
        <v>231</v>
      </c>
      <c r="D1060" s="282"/>
      <c r="E1060" s="282"/>
      <c r="F1060" s="282"/>
      <c r="G1060" s="1286">
        <f t="shared" si="373"/>
        <v>0</v>
      </c>
      <c r="H1060" s="1286">
        <f t="shared" si="373"/>
        <v>0</v>
      </c>
      <c r="I1060" s="1286">
        <f t="shared" si="373"/>
        <v>0</v>
      </c>
      <c r="J1060" s="1286">
        <f t="shared" si="373"/>
        <v>0</v>
      </c>
      <c r="K1060" s="1286">
        <f t="shared" si="373"/>
        <v>0</v>
      </c>
      <c r="L1060" s="1286">
        <f t="shared" si="373"/>
        <v>0</v>
      </c>
      <c r="M1060" s="1286">
        <f t="shared" si="373"/>
        <v>0</v>
      </c>
      <c r="N1060" s="141"/>
      <c r="R1060" s="282"/>
      <c r="S1060" s="282"/>
      <c r="T1060" s="282"/>
      <c r="U1060" s="282"/>
      <c r="V1060" s="282"/>
      <c r="W1060" s="282"/>
      <c r="X1060" s="282"/>
      <c r="Y1060" s="282"/>
      <c r="Z1060" s="282"/>
      <c r="AA1060" s="282"/>
    </row>
    <row r="1061" spans="1:27" outlineLevel="2">
      <c r="A1061" s="276">
        <f t="shared" si="370"/>
        <v>146</v>
      </c>
      <c r="B1061" s="724">
        <f t="shared" si="372"/>
        <v>0</v>
      </c>
      <c r="C1061" s="564" t="s">
        <v>231</v>
      </c>
      <c r="D1061" s="282"/>
      <c r="E1061" s="282"/>
      <c r="F1061" s="282"/>
      <c r="G1061" s="1286">
        <f t="shared" si="373"/>
        <v>0</v>
      </c>
      <c r="H1061" s="1286">
        <f t="shared" si="373"/>
        <v>0</v>
      </c>
      <c r="I1061" s="1286">
        <f t="shared" si="373"/>
        <v>0</v>
      </c>
      <c r="J1061" s="1286">
        <f t="shared" si="373"/>
        <v>0</v>
      </c>
      <c r="K1061" s="1286">
        <f t="shared" si="373"/>
        <v>0</v>
      </c>
      <c r="L1061" s="1286">
        <f t="shared" si="373"/>
        <v>0</v>
      </c>
      <c r="M1061" s="1286">
        <f t="shared" si="373"/>
        <v>0</v>
      </c>
      <c r="N1061" s="141"/>
      <c r="R1061" s="282"/>
      <c r="S1061" s="282"/>
      <c r="T1061" s="282"/>
      <c r="U1061" s="282"/>
      <c r="V1061" s="282"/>
      <c r="W1061" s="282"/>
      <c r="X1061" s="282"/>
      <c r="Y1061" s="282"/>
      <c r="Z1061" s="282"/>
      <c r="AA1061" s="282"/>
    </row>
    <row r="1062" spans="1:27" outlineLevel="2">
      <c r="A1062" s="276">
        <f t="shared" si="370"/>
        <v>147</v>
      </c>
      <c r="B1062" s="724">
        <f t="shared" si="372"/>
        <v>0</v>
      </c>
      <c r="C1062" s="564" t="s">
        <v>231</v>
      </c>
      <c r="D1062" s="282"/>
      <c r="E1062" s="282"/>
      <c r="F1062" s="282"/>
      <c r="G1062" s="1286">
        <f t="shared" si="373"/>
        <v>0</v>
      </c>
      <c r="H1062" s="1286">
        <f t="shared" si="373"/>
        <v>0</v>
      </c>
      <c r="I1062" s="1286">
        <f t="shared" si="373"/>
        <v>0</v>
      </c>
      <c r="J1062" s="1286">
        <f t="shared" si="373"/>
        <v>0</v>
      </c>
      <c r="K1062" s="1286">
        <f t="shared" si="373"/>
        <v>0</v>
      </c>
      <c r="L1062" s="1286">
        <f t="shared" si="373"/>
        <v>0</v>
      </c>
      <c r="M1062" s="1286">
        <f t="shared" si="373"/>
        <v>0</v>
      </c>
      <c r="N1062" s="141"/>
      <c r="R1062" s="282"/>
      <c r="S1062" s="282"/>
      <c r="T1062" s="282"/>
      <c r="U1062" s="282"/>
      <c r="V1062" s="282"/>
      <c r="W1062" s="282"/>
      <c r="X1062" s="282"/>
      <c r="Y1062" s="282"/>
      <c r="Z1062" s="282"/>
      <c r="AA1062" s="282"/>
    </row>
    <row r="1063" spans="1:27" outlineLevel="2">
      <c r="A1063" s="276">
        <f t="shared" si="370"/>
        <v>148</v>
      </c>
      <c r="B1063" s="724">
        <f t="shared" si="372"/>
        <v>0</v>
      </c>
      <c r="C1063" s="564" t="s">
        <v>231</v>
      </c>
      <c r="D1063" s="282"/>
      <c r="E1063" s="282"/>
      <c r="F1063" s="282"/>
      <c r="G1063" s="1286">
        <f t="shared" si="373"/>
        <v>0</v>
      </c>
      <c r="H1063" s="1286">
        <f t="shared" si="373"/>
        <v>0</v>
      </c>
      <c r="I1063" s="1286">
        <f t="shared" si="373"/>
        <v>0</v>
      </c>
      <c r="J1063" s="1286">
        <f t="shared" si="373"/>
        <v>0</v>
      </c>
      <c r="K1063" s="1286">
        <f t="shared" si="373"/>
        <v>0</v>
      </c>
      <c r="L1063" s="1286">
        <f t="shared" si="373"/>
        <v>0</v>
      </c>
      <c r="M1063" s="1286">
        <f t="shared" si="373"/>
        <v>0</v>
      </c>
      <c r="N1063" s="141"/>
      <c r="R1063" s="282"/>
      <c r="S1063" s="282"/>
      <c r="T1063" s="282"/>
      <c r="U1063" s="282"/>
      <c r="V1063" s="282"/>
      <c r="W1063" s="282"/>
      <c r="X1063" s="282"/>
      <c r="Y1063" s="282"/>
      <c r="Z1063" s="282"/>
      <c r="AA1063" s="282"/>
    </row>
    <row r="1064" spans="1:27" outlineLevel="2">
      <c r="A1064" s="276">
        <f t="shared" si="370"/>
        <v>149</v>
      </c>
      <c r="B1064" s="724">
        <f t="shared" si="372"/>
        <v>0</v>
      </c>
      <c r="C1064" s="564" t="s">
        <v>231</v>
      </c>
      <c r="D1064" s="282"/>
      <c r="E1064" s="282"/>
      <c r="F1064" s="282"/>
      <c r="G1064" s="1286">
        <f t="shared" si="373"/>
        <v>0</v>
      </c>
      <c r="H1064" s="1286">
        <f t="shared" si="373"/>
        <v>0</v>
      </c>
      <c r="I1064" s="1286">
        <f t="shared" si="373"/>
        <v>0</v>
      </c>
      <c r="J1064" s="1286">
        <f t="shared" si="373"/>
        <v>0</v>
      </c>
      <c r="K1064" s="1286">
        <f t="shared" si="373"/>
        <v>0</v>
      </c>
      <c r="L1064" s="1286">
        <f t="shared" si="373"/>
        <v>0</v>
      </c>
      <c r="M1064" s="1286">
        <f t="shared" si="373"/>
        <v>0</v>
      </c>
      <c r="N1064" s="141"/>
      <c r="R1064" s="282"/>
      <c r="S1064" s="282"/>
      <c r="T1064" s="282"/>
      <c r="U1064" s="282"/>
      <c r="V1064" s="282"/>
      <c r="W1064" s="282"/>
      <c r="X1064" s="282"/>
      <c r="Y1064" s="282"/>
      <c r="Z1064" s="282"/>
      <c r="AA1064" s="282"/>
    </row>
    <row r="1065" spans="1:27" outlineLevel="2">
      <c r="A1065" s="276">
        <f t="shared" si="370"/>
        <v>150</v>
      </c>
      <c r="B1065" s="724">
        <f t="shared" si="372"/>
        <v>0</v>
      </c>
      <c r="C1065" s="564"/>
      <c r="D1065" s="282"/>
      <c r="E1065" s="282"/>
      <c r="F1065" s="282"/>
      <c r="G1065" s="1286">
        <f t="shared" si="373"/>
        <v>0</v>
      </c>
      <c r="H1065" s="1286">
        <f t="shared" si="373"/>
        <v>0</v>
      </c>
      <c r="I1065" s="1286">
        <f t="shared" si="373"/>
        <v>0</v>
      </c>
      <c r="J1065" s="1286">
        <f t="shared" si="373"/>
        <v>0</v>
      </c>
      <c r="K1065" s="1286">
        <f t="shared" si="373"/>
        <v>0</v>
      </c>
      <c r="L1065" s="1286">
        <f t="shared" si="373"/>
        <v>0</v>
      </c>
      <c r="M1065" s="1286">
        <f t="shared" si="373"/>
        <v>0</v>
      </c>
      <c r="N1065" s="141"/>
      <c r="R1065" s="282"/>
      <c r="S1065" s="282"/>
      <c r="T1065" s="282"/>
      <c r="U1065" s="282"/>
      <c r="V1065" s="282"/>
      <c r="W1065" s="282"/>
      <c r="X1065" s="282"/>
      <c r="Y1065" s="282"/>
      <c r="Z1065" s="282"/>
      <c r="AA1065" s="282"/>
    </row>
    <row r="1066" spans="1:27" outlineLevel="2">
      <c r="A1066" s="276">
        <f t="shared" si="370"/>
        <v>151</v>
      </c>
      <c r="B1066" s="724">
        <f t="shared" si="372"/>
        <v>0</v>
      </c>
      <c r="C1066" s="564"/>
      <c r="D1066" s="282"/>
      <c r="E1066" s="282"/>
      <c r="F1066" s="282"/>
      <c r="G1066" s="1286">
        <f t="shared" si="373"/>
        <v>0</v>
      </c>
      <c r="H1066" s="1286">
        <f t="shared" si="373"/>
        <v>0</v>
      </c>
      <c r="I1066" s="1286">
        <f t="shared" si="373"/>
        <v>0</v>
      </c>
      <c r="J1066" s="1286">
        <f t="shared" si="373"/>
        <v>0</v>
      </c>
      <c r="K1066" s="1286">
        <f t="shared" si="373"/>
        <v>0</v>
      </c>
      <c r="L1066" s="1286">
        <f t="shared" si="373"/>
        <v>0</v>
      </c>
      <c r="M1066" s="1286">
        <f t="shared" si="373"/>
        <v>0</v>
      </c>
      <c r="N1066" s="141"/>
      <c r="R1066" s="282"/>
      <c r="S1066" s="282"/>
      <c r="T1066" s="282"/>
      <c r="U1066" s="282"/>
      <c r="V1066" s="282"/>
      <c r="W1066" s="282"/>
      <c r="X1066" s="282"/>
      <c r="Y1066" s="282"/>
      <c r="Z1066" s="282"/>
      <c r="AA1066" s="282"/>
    </row>
    <row r="1067" spans="1:27" outlineLevel="2">
      <c r="A1067" s="276">
        <f t="shared" si="370"/>
        <v>152</v>
      </c>
      <c r="B1067" s="545" t="str">
        <f t="shared" si="372"/>
        <v>Total ELL Teachers</v>
      </c>
      <c r="C1067" s="706"/>
      <c r="D1067" s="723"/>
      <c r="E1067" s="723"/>
      <c r="F1067" s="723"/>
      <c r="G1067" s="1292">
        <f t="shared" si="373"/>
        <v>0</v>
      </c>
      <c r="H1067" s="1292">
        <f t="shared" si="373"/>
        <v>0</v>
      </c>
      <c r="I1067" s="1292">
        <f t="shared" si="373"/>
        <v>0</v>
      </c>
      <c r="J1067" s="1292">
        <f t="shared" si="373"/>
        <v>0</v>
      </c>
      <c r="K1067" s="1292">
        <f t="shared" si="373"/>
        <v>0</v>
      </c>
      <c r="L1067" s="1292">
        <f t="shared" si="373"/>
        <v>0</v>
      </c>
      <c r="M1067" s="1292">
        <f t="shared" si="373"/>
        <v>0</v>
      </c>
      <c r="N1067" s="141"/>
      <c r="R1067" s="282"/>
      <c r="S1067" s="282"/>
      <c r="T1067" s="282"/>
      <c r="U1067" s="282"/>
      <c r="V1067" s="282"/>
      <c r="W1067" s="282"/>
      <c r="X1067" s="282"/>
      <c r="Y1067" s="282"/>
      <c r="Z1067" s="282"/>
      <c r="AA1067" s="282"/>
    </row>
    <row r="1068" spans="1:27" outlineLevel="2">
      <c r="A1068" s="276">
        <f t="shared" si="370"/>
        <v>153</v>
      </c>
      <c r="B1068" s="282"/>
      <c r="C1068" s="564"/>
      <c r="D1068" s="282"/>
      <c r="E1068" s="282"/>
      <c r="F1068" s="282"/>
      <c r="G1068" s="1286"/>
      <c r="H1068" s="1286"/>
      <c r="I1068" s="1286"/>
      <c r="J1068" s="1286"/>
      <c r="K1068" s="1286"/>
      <c r="L1068" s="1286"/>
      <c r="M1068" s="1286"/>
      <c r="N1068" s="141"/>
      <c r="R1068" s="282"/>
      <c r="S1068" s="282"/>
      <c r="T1068" s="282"/>
      <c r="U1068" s="282"/>
      <c r="V1068" s="282"/>
      <c r="W1068" s="282"/>
      <c r="X1068" s="282"/>
      <c r="Y1068" s="282"/>
      <c r="Z1068" s="282"/>
      <c r="AA1068" s="282"/>
    </row>
    <row r="1069" spans="1:27" outlineLevel="2">
      <c r="A1069" s="276">
        <f t="shared" si="370"/>
        <v>154</v>
      </c>
      <c r="B1069" s="596" t="str">
        <f>$B154</f>
        <v>Guidance Counselor &amp; Other</v>
      </c>
      <c r="C1069" s="722"/>
      <c r="D1069" s="289"/>
      <c r="E1069" s="289"/>
      <c r="F1069" s="289"/>
      <c r="G1069" s="1291"/>
      <c r="H1069" s="1291"/>
      <c r="I1069" s="1291"/>
      <c r="J1069" s="1291"/>
      <c r="K1069" s="1291"/>
      <c r="L1069" s="1291"/>
      <c r="M1069" s="1291"/>
      <c r="N1069" s="141"/>
      <c r="R1069" s="282"/>
      <c r="S1069" s="282"/>
      <c r="T1069" s="282"/>
      <c r="U1069" s="282"/>
      <c r="V1069" s="282"/>
      <c r="W1069" s="282"/>
      <c r="X1069" s="282"/>
      <c r="Y1069" s="282"/>
      <c r="Z1069" s="282"/>
      <c r="AA1069" s="282"/>
    </row>
    <row r="1070" spans="1:27" outlineLevel="2">
      <c r="A1070" s="276">
        <f t="shared" si="370"/>
        <v>155</v>
      </c>
      <c r="B1070" s="724" t="str">
        <f>$B$157</f>
        <v xml:space="preserve">Janitor / Maintenance </v>
      </c>
      <c r="C1070" s="564" t="s">
        <v>231</v>
      </c>
      <c r="D1070" s="282"/>
      <c r="E1070" s="282"/>
      <c r="F1070" s="282"/>
      <c r="G1070" s="1286">
        <f t="shared" ref="G1070:M1077" si="374">G157*$C$93</f>
        <v>0</v>
      </c>
      <c r="H1070" s="1286">
        <f t="shared" si="374"/>
        <v>0</v>
      </c>
      <c r="I1070" s="1286">
        <f t="shared" si="374"/>
        <v>0</v>
      </c>
      <c r="J1070" s="1286">
        <f t="shared" si="374"/>
        <v>0</v>
      </c>
      <c r="K1070" s="1286">
        <f t="shared" si="374"/>
        <v>0</v>
      </c>
      <c r="L1070" s="1286">
        <f t="shared" si="374"/>
        <v>0</v>
      </c>
      <c r="M1070" s="1286">
        <f t="shared" si="374"/>
        <v>0</v>
      </c>
      <c r="N1070" s="141"/>
      <c r="R1070" s="282"/>
      <c r="S1070" s="282"/>
      <c r="T1070" s="282"/>
      <c r="U1070" s="282"/>
      <c r="V1070" s="282"/>
      <c r="W1070" s="282"/>
      <c r="X1070" s="282"/>
      <c r="Y1070" s="282"/>
      <c r="Z1070" s="282"/>
      <c r="AA1070" s="282"/>
    </row>
    <row r="1071" spans="1:27" outlineLevel="2">
      <c r="A1071" s="276">
        <f t="shared" si="370"/>
        <v>156</v>
      </c>
      <c r="B1071" s="724" t="str">
        <f>$B$158</f>
        <v xml:space="preserve">Janitor / Maintenance </v>
      </c>
      <c r="C1071" s="564" t="s">
        <v>231</v>
      </c>
      <c r="D1071" s="282"/>
      <c r="E1071" s="282"/>
      <c r="F1071" s="282"/>
      <c r="G1071" s="1286">
        <f t="shared" si="374"/>
        <v>0</v>
      </c>
      <c r="H1071" s="1286">
        <f t="shared" si="374"/>
        <v>0</v>
      </c>
      <c r="I1071" s="1286">
        <f t="shared" si="374"/>
        <v>0</v>
      </c>
      <c r="J1071" s="1286">
        <f t="shared" si="374"/>
        <v>0</v>
      </c>
      <c r="K1071" s="1286">
        <f t="shared" si="374"/>
        <v>0</v>
      </c>
      <c r="L1071" s="1286">
        <f t="shared" si="374"/>
        <v>0</v>
      </c>
      <c r="M1071" s="1286">
        <f t="shared" si="374"/>
        <v>0</v>
      </c>
      <c r="N1071" s="141"/>
      <c r="R1071" s="282"/>
      <c r="S1071" s="282"/>
      <c r="T1071" s="282"/>
      <c r="U1071" s="282"/>
      <c r="V1071" s="282"/>
      <c r="W1071" s="282"/>
      <c r="X1071" s="282"/>
      <c r="Y1071" s="282"/>
      <c r="Z1071" s="282"/>
      <c r="AA1071" s="282"/>
    </row>
    <row r="1072" spans="1:27" outlineLevel="2">
      <c r="A1072" s="276">
        <f t="shared" si="370"/>
        <v>157</v>
      </c>
      <c r="B1072" s="724">
        <f>$B$159</f>
        <v>0</v>
      </c>
      <c r="C1072" s="564" t="s">
        <v>231</v>
      </c>
      <c r="D1072" s="282"/>
      <c r="E1072" s="282"/>
      <c r="F1072" s="282"/>
      <c r="G1072" s="1286">
        <f t="shared" si="374"/>
        <v>0</v>
      </c>
      <c r="H1072" s="1286">
        <f t="shared" si="374"/>
        <v>0</v>
      </c>
      <c r="I1072" s="1286">
        <f t="shared" si="374"/>
        <v>0</v>
      </c>
      <c r="J1072" s="1286">
        <f t="shared" si="374"/>
        <v>0</v>
      </c>
      <c r="K1072" s="1286">
        <f t="shared" si="374"/>
        <v>0</v>
      </c>
      <c r="L1072" s="1286">
        <f t="shared" si="374"/>
        <v>0</v>
      </c>
      <c r="M1072" s="1286">
        <f t="shared" si="374"/>
        <v>0</v>
      </c>
      <c r="N1072" s="141"/>
      <c r="R1072" s="282"/>
      <c r="S1072" s="282"/>
      <c r="T1072" s="282"/>
      <c r="U1072" s="282"/>
      <c r="V1072" s="282"/>
      <c r="W1072" s="282"/>
      <c r="X1072" s="282"/>
      <c r="Y1072" s="282"/>
      <c r="Z1072" s="282"/>
      <c r="AA1072" s="282"/>
    </row>
    <row r="1073" spans="1:27" outlineLevel="2">
      <c r="A1073" s="276">
        <f t="shared" si="370"/>
        <v>158</v>
      </c>
      <c r="B1073" s="724" t="str">
        <f>$B$160</f>
        <v>Plan Manager</v>
      </c>
      <c r="C1073" s="564" t="s">
        <v>231</v>
      </c>
      <c r="D1073" s="282"/>
      <c r="E1073" s="282"/>
      <c r="F1073" s="282"/>
      <c r="G1073" s="1286">
        <f t="shared" si="374"/>
        <v>0</v>
      </c>
      <c r="H1073" s="1286">
        <f t="shared" si="374"/>
        <v>0</v>
      </c>
      <c r="I1073" s="1286">
        <f t="shared" si="374"/>
        <v>0</v>
      </c>
      <c r="J1073" s="1286">
        <f t="shared" si="374"/>
        <v>0</v>
      </c>
      <c r="K1073" s="1286">
        <f t="shared" si="374"/>
        <v>0</v>
      </c>
      <c r="L1073" s="1286">
        <f t="shared" si="374"/>
        <v>0</v>
      </c>
      <c r="M1073" s="1286">
        <f t="shared" si="374"/>
        <v>0</v>
      </c>
      <c r="N1073" s="141"/>
      <c r="R1073" s="282"/>
      <c r="S1073" s="282"/>
      <c r="T1073" s="282"/>
      <c r="U1073" s="282"/>
      <c r="V1073" s="282"/>
      <c r="W1073" s="282"/>
      <c r="X1073" s="282"/>
      <c r="Y1073" s="282"/>
      <c r="Z1073" s="282"/>
      <c r="AA1073" s="282"/>
    </row>
    <row r="1074" spans="1:27" outlineLevel="2">
      <c r="A1074" s="276">
        <f t="shared" si="370"/>
        <v>159</v>
      </c>
      <c r="B1074" s="724" t="str">
        <f>$B161</f>
        <v>IT Support Technician</v>
      </c>
      <c r="C1074" s="564" t="s">
        <v>231</v>
      </c>
      <c r="D1074" s="282"/>
      <c r="E1074" s="282"/>
      <c r="F1074" s="282"/>
      <c r="G1074" s="1286">
        <f t="shared" si="374"/>
        <v>0</v>
      </c>
      <c r="H1074" s="1286">
        <f t="shared" si="374"/>
        <v>0</v>
      </c>
      <c r="I1074" s="1286">
        <f t="shared" si="374"/>
        <v>0</v>
      </c>
      <c r="J1074" s="1286">
        <f t="shared" si="374"/>
        <v>0</v>
      </c>
      <c r="K1074" s="1286">
        <f t="shared" si="374"/>
        <v>0</v>
      </c>
      <c r="L1074" s="1286">
        <f t="shared" si="374"/>
        <v>0</v>
      </c>
      <c r="M1074" s="1286">
        <f t="shared" si="374"/>
        <v>0</v>
      </c>
      <c r="N1074" s="141"/>
      <c r="R1074" s="282"/>
      <c r="S1074" s="282"/>
      <c r="T1074" s="282"/>
      <c r="U1074" s="282"/>
      <c r="V1074" s="282"/>
      <c r="W1074" s="282"/>
      <c r="X1074" s="282"/>
      <c r="Y1074" s="282"/>
      <c r="Z1074" s="282"/>
      <c r="AA1074" s="282"/>
    </row>
    <row r="1075" spans="1:27" outlineLevel="2">
      <c r="A1075" s="276">
        <f t="shared" si="370"/>
        <v>160</v>
      </c>
      <c r="B1075" s="724" t="str">
        <f>$B162</f>
        <v>IT Support Technician</v>
      </c>
      <c r="C1075" s="564"/>
      <c r="D1075" s="282"/>
      <c r="E1075" s="282"/>
      <c r="F1075" s="282"/>
      <c r="G1075" s="1286">
        <f t="shared" si="374"/>
        <v>0</v>
      </c>
      <c r="H1075" s="1286">
        <f t="shared" si="374"/>
        <v>0</v>
      </c>
      <c r="I1075" s="1286">
        <f t="shared" si="374"/>
        <v>0</v>
      </c>
      <c r="J1075" s="1286">
        <f t="shared" si="374"/>
        <v>0</v>
      </c>
      <c r="K1075" s="1286">
        <f t="shared" si="374"/>
        <v>0</v>
      </c>
      <c r="L1075" s="1286">
        <f t="shared" si="374"/>
        <v>0</v>
      </c>
      <c r="M1075" s="1286">
        <f t="shared" si="374"/>
        <v>0</v>
      </c>
      <c r="N1075" s="141"/>
      <c r="R1075" s="282"/>
      <c r="S1075" s="282"/>
      <c r="T1075" s="282"/>
      <c r="U1075" s="282"/>
      <c r="V1075" s="282"/>
      <c r="W1075" s="282"/>
      <c r="X1075" s="282"/>
      <c r="Y1075" s="282"/>
      <c r="Z1075" s="282"/>
      <c r="AA1075" s="282"/>
    </row>
    <row r="1076" spans="1:27" outlineLevel="2">
      <c r="A1076" s="276">
        <f t="shared" si="370"/>
        <v>161</v>
      </c>
      <c r="B1076" s="724" t="str">
        <f>$B163</f>
        <v>Parent Coordinator</v>
      </c>
      <c r="C1076" s="564"/>
      <c r="D1076" s="282"/>
      <c r="E1076" s="282"/>
      <c r="F1076" s="282"/>
      <c r="G1076" s="1286">
        <f t="shared" si="374"/>
        <v>0</v>
      </c>
      <c r="H1076" s="1286">
        <f t="shared" si="374"/>
        <v>0</v>
      </c>
      <c r="I1076" s="1286">
        <f t="shared" si="374"/>
        <v>0</v>
      </c>
      <c r="J1076" s="1286">
        <f t="shared" si="374"/>
        <v>0</v>
      </c>
      <c r="K1076" s="1286">
        <f t="shared" si="374"/>
        <v>0</v>
      </c>
      <c r="L1076" s="1286">
        <f t="shared" si="374"/>
        <v>0</v>
      </c>
      <c r="M1076" s="1286">
        <f t="shared" si="374"/>
        <v>0</v>
      </c>
      <c r="N1076" s="141"/>
      <c r="R1076" s="282"/>
      <c r="S1076" s="282"/>
      <c r="T1076" s="282"/>
      <c r="U1076" s="282"/>
      <c r="V1076" s="282"/>
      <c r="W1076" s="282"/>
      <c r="X1076" s="282"/>
      <c r="Y1076" s="282"/>
      <c r="Z1076" s="282"/>
      <c r="AA1076" s="282"/>
    </row>
    <row r="1077" spans="1:27" outlineLevel="2">
      <c r="A1077" s="276">
        <f t="shared" si="370"/>
        <v>162</v>
      </c>
      <c r="B1077" s="545" t="str">
        <f>$B164</f>
        <v>Total Guidance Counselors/Other</v>
      </c>
      <c r="C1077" s="706"/>
      <c r="D1077" s="723"/>
      <c r="E1077" s="723"/>
      <c r="F1077" s="723"/>
      <c r="G1077" s="1292">
        <f t="shared" si="374"/>
        <v>0</v>
      </c>
      <c r="H1077" s="1292">
        <f t="shared" si="374"/>
        <v>0</v>
      </c>
      <c r="I1077" s="1292">
        <f t="shared" si="374"/>
        <v>0</v>
      </c>
      <c r="J1077" s="1292">
        <f t="shared" si="374"/>
        <v>0</v>
      </c>
      <c r="K1077" s="1292">
        <f t="shared" si="374"/>
        <v>0</v>
      </c>
      <c r="L1077" s="1292">
        <f t="shared" si="374"/>
        <v>0</v>
      </c>
      <c r="M1077" s="1292">
        <f t="shared" si="374"/>
        <v>0</v>
      </c>
      <c r="N1077" s="141"/>
      <c r="R1077" s="282"/>
      <c r="S1077" s="282"/>
      <c r="T1077" s="282"/>
      <c r="U1077" s="282"/>
      <c r="V1077" s="282"/>
      <c r="W1077" s="282"/>
      <c r="X1077" s="282"/>
      <c r="Y1077" s="282"/>
      <c r="Z1077" s="282"/>
      <c r="AA1077" s="282"/>
    </row>
    <row r="1078" spans="1:27" outlineLevel="2">
      <c r="A1078" s="276">
        <f t="shared" si="370"/>
        <v>163</v>
      </c>
      <c r="B1078" s="282"/>
      <c r="C1078" s="564"/>
      <c r="D1078" s="282"/>
      <c r="G1078" s="168"/>
      <c r="H1078" s="1286"/>
      <c r="I1078" s="1286"/>
      <c r="J1078" s="1286"/>
      <c r="K1078" s="1286"/>
      <c r="L1078" s="1286"/>
      <c r="M1078" s="1286"/>
      <c r="N1078" s="141"/>
      <c r="R1078" s="282"/>
      <c r="S1078" s="282"/>
      <c r="T1078" s="282"/>
      <c r="U1078" s="282"/>
      <c r="V1078" s="282"/>
      <c r="W1078" s="282"/>
      <c r="X1078" s="282"/>
      <c r="Y1078" s="282"/>
      <c r="Z1078" s="282"/>
      <c r="AA1078" s="282"/>
    </row>
    <row r="1079" spans="1:27" outlineLevel="2">
      <c r="A1079" s="276">
        <f t="shared" si="370"/>
        <v>164</v>
      </c>
      <c r="B1079" s="282" t="str">
        <f>$B166</f>
        <v xml:space="preserve">Total Special Education/ELL Teachers/Guidance Counselors </v>
      </c>
      <c r="C1079" s="564"/>
      <c r="D1079" s="282"/>
      <c r="G1079" s="1286">
        <f t="shared" ref="G1079:M1079" si="375">G163*$C$93</f>
        <v>0</v>
      </c>
      <c r="H1079" s="1286">
        <f t="shared" si="375"/>
        <v>0</v>
      </c>
      <c r="I1079" s="1286">
        <f t="shared" si="375"/>
        <v>0</v>
      </c>
      <c r="J1079" s="1286">
        <f t="shared" si="375"/>
        <v>0</v>
      </c>
      <c r="K1079" s="1286">
        <f t="shared" si="375"/>
        <v>0</v>
      </c>
      <c r="L1079" s="1286">
        <f t="shared" si="375"/>
        <v>0</v>
      </c>
      <c r="M1079" s="1286">
        <f t="shared" si="375"/>
        <v>0</v>
      </c>
      <c r="N1079" s="141"/>
      <c r="R1079" s="282"/>
      <c r="S1079" s="282"/>
      <c r="T1079" s="282"/>
      <c r="U1079" s="282"/>
      <c r="V1079" s="282"/>
      <c r="W1079" s="282"/>
      <c r="X1079" s="282"/>
      <c r="Y1079" s="282"/>
      <c r="Z1079" s="282"/>
      <c r="AA1079" s="282"/>
    </row>
    <row r="1080" spans="1:27" outlineLevel="2">
      <c r="A1080" s="276">
        <f t="shared" si="370"/>
        <v>165</v>
      </c>
      <c r="B1080" s="282"/>
      <c r="C1080" s="564"/>
      <c r="D1080" s="282"/>
      <c r="G1080" s="1286"/>
      <c r="H1080" s="1286"/>
      <c r="I1080" s="1286"/>
      <c r="J1080" s="1286"/>
      <c r="K1080" s="1286"/>
      <c r="L1080" s="1286"/>
      <c r="M1080" s="1286"/>
      <c r="N1080" s="141"/>
      <c r="R1080" s="282"/>
      <c r="S1080" s="282"/>
      <c r="T1080" s="282"/>
      <c r="U1080" s="282"/>
      <c r="V1080" s="282"/>
      <c r="W1080" s="282"/>
      <c r="X1080" s="282"/>
      <c r="Y1080" s="282"/>
      <c r="Z1080" s="282"/>
      <c r="AA1080" s="282"/>
    </row>
    <row r="1081" spans="1:27" ht="15" outlineLevel="2" thickBot="1">
      <c r="A1081" s="276">
        <f t="shared" si="370"/>
        <v>166</v>
      </c>
      <c r="B1081" s="725" t="str">
        <f>$B$166</f>
        <v xml:space="preserve">Total Special Education/ELL Teachers/Guidance Counselors </v>
      </c>
      <c r="C1081" s="726"/>
      <c r="D1081" s="725"/>
      <c r="E1081" s="725"/>
      <c r="F1081" s="725"/>
      <c r="G1081" s="1293">
        <f>SUM(G1046:G1080)</f>
        <v>0</v>
      </c>
      <c r="H1081" s="1293">
        <f t="shared" ref="H1081:M1081" si="376">SUM(H1046:H1080)</f>
        <v>0</v>
      </c>
      <c r="I1081" s="1293">
        <f t="shared" si="376"/>
        <v>0</v>
      </c>
      <c r="J1081" s="1293">
        <f t="shared" si="376"/>
        <v>0</v>
      </c>
      <c r="K1081" s="1293">
        <f t="shared" si="376"/>
        <v>0</v>
      </c>
      <c r="L1081" s="1293">
        <f t="shared" si="376"/>
        <v>0</v>
      </c>
      <c r="M1081" s="1293">
        <f t="shared" si="376"/>
        <v>0</v>
      </c>
      <c r="N1081" s="141"/>
      <c r="R1081" s="282"/>
      <c r="S1081" s="282"/>
      <c r="T1081" s="282"/>
      <c r="U1081" s="282"/>
      <c r="V1081" s="282"/>
      <c r="W1081" s="282"/>
      <c r="X1081" s="282"/>
      <c r="Y1081" s="282"/>
      <c r="Z1081" s="282"/>
      <c r="AA1081" s="282"/>
    </row>
    <row r="1082" spans="1:27" ht="15" outlineLevel="2" thickTop="1">
      <c r="A1082" s="276">
        <f t="shared" si="370"/>
        <v>167</v>
      </c>
      <c r="B1082" s="710"/>
      <c r="C1082" s="710"/>
      <c r="D1082" s="710"/>
      <c r="E1082" s="710"/>
      <c r="F1082" s="710"/>
      <c r="G1082" s="1294"/>
      <c r="H1082" s="1294"/>
      <c r="I1082" s="1294"/>
      <c r="J1082" s="1294"/>
      <c r="K1082" s="1294"/>
      <c r="L1082" s="1294"/>
      <c r="M1082" s="1294"/>
      <c r="N1082" s="141"/>
      <c r="R1082" s="282"/>
      <c r="S1082" s="282"/>
      <c r="T1082" s="282"/>
      <c r="U1082" s="282"/>
      <c r="V1082" s="282"/>
      <c r="W1082" s="282"/>
      <c r="X1082" s="282"/>
      <c r="Y1082" s="282"/>
      <c r="Z1082" s="282"/>
      <c r="AA1082" s="282"/>
    </row>
    <row r="1083" spans="1:27" outlineLevel="2">
      <c r="A1083" s="276">
        <f t="shared" ref="A1083:A1114" si="377">ROW(A171)</f>
        <v>171</v>
      </c>
      <c r="B1083" s="282"/>
      <c r="C1083" s="564"/>
      <c r="D1083" s="282"/>
      <c r="G1083" s="1286"/>
      <c r="H1083" s="1286"/>
      <c r="I1083" s="1286"/>
      <c r="J1083" s="1286"/>
      <c r="K1083" s="1286"/>
      <c r="L1083" s="1286"/>
      <c r="M1083" s="1286"/>
      <c r="N1083" s="141"/>
      <c r="R1083" s="282"/>
      <c r="S1083" s="282"/>
      <c r="T1083" s="282"/>
      <c r="U1083" s="282"/>
      <c r="V1083" s="282"/>
      <c r="W1083" s="282"/>
      <c r="X1083" s="282"/>
      <c r="Y1083" s="282"/>
      <c r="Z1083" s="282"/>
      <c r="AA1083" s="282"/>
    </row>
    <row r="1084" spans="1:27" s="282" customFormat="1" outlineLevel="2">
      <c r="A1084" s="276">
        <f t="shared" si="377"/>
        <v>172</v>
      </c>
      <c r="B1084" s="724">
        <f>$B172</f>
        <v>0</v>
      </c>
      <c r="C1084" s="564" t="s">
        <v>231</v>
      </c>
      <c r="D1084" s="421"/>
      <c r="G1084" s="1286">
        <f t="shared" ref="G1084:M1086" si="378">G172*$C$93</f>
        <v>0</v>
      </c>
      <c r="H1084" s="1286">
        <f t="shared" si="378"/>
        <v>0</v>
      </c>
      <c r="I1084" s="1286">
        <f t="shared" si="378"/>
        <v>0</v>
      </c>
      <c r="J1084" s="1286">
        <f t="shared" si="378"/>
        <v>0</v>
      </c>
      <c r="K1084" s="1286">
        <f t="shared" si="378"/>
        <v>0</v>
      </c>
      <c r="L1084" s="1286">
        <f t="shared" si="378"/>
        <v>0</v>
      </c>
      <c r="M1084" s="1286">
        <f t="shared" si="378"/>
        <v>0</v>
      </c>
      <c r="N1084" s="168"/>
    </row>
    <row r="1085" spans="1:27" s="282" customFormat="1" outlineLevel="2">
      <c r="A1085" s="276">
        <f t="shared" si="377"/>
        <v>173</v>
      </c>
      <c r="B1085" s="724">
        <f>$B173</f>
        <v>0</v>
      </c>
      <c r="C1085" s="564" t="s">
        <v>231</v>
      </c>
      <c r="D1085" s="421"/>
      <c r="G1085" s="1286">
        <f t="shared" si="378"/>
        <v>0</v>
      </c>
      <c r="H1085" s="1286">
        <f t="shared" si="378"/>
        <v>0</v>
      </c>
      <c r="I1085" s="1286">
        <f t="shared" si="378"/>
        <v>0</v>
      </c>
      <c r="J1085" s="1286">
        <f t="shared" si="378"/>
        <v>0</v>
      </c>
      <c r="K1085" s="1286">
        <f t="shared" si="378"/>
        <v>0</v>
      </c>
      <c r="L1085" s="1286">
        <f t="shared" si="378"/>
        <v>0</v>
      </c>
      <c r="M1085" s="1286">
        <f t="shared" si="378"/>
        <v>0</v>
      </c>
      <c r="N1085" s="168"/>
    </row>
    <row r="1086" spans="1:27" s="282" customFormat="1" outlineLevel="2">
      <c r="A1086" s="276">
        <f t="shared" si="377"/>
        <v>174</v>
      </c>
      <c r="B1086" s="724">
        <f>$B174</f>
        <v>0</v>
      </c>
      <c r="C1086" s="564" t="s">
        <v>231</v>
      </c>
      <c r="D1086" s="421"/>
      <c r="G1086" s="1286">
        <f t="shared" si="378"/>
        <v>0</v>
      </c>
      <c r="H1086" s="1286">
        <f t="shared" si="378"/>
        <v>0</v>
      </c>
      <c r="I1086" s="1286">
        <f t="shared" si="378"/>
        <v>0</v>
      </c>
      <c r="J1086" s="1286">
        <f t="shared" si="378"/>
        <v>0</v>
      </c>
      <c r="K1086" s="1286">
        <f t="shared" si="378"/>
        <v>0</v>
      </c>
      <c r="L1086" s="1286">
        <f t="shared" si="378"/>
        <v>0</v>
      </c>
      <c r="M1086" s="1286">
        <f t="shared" si="378"/>
        <v>0</v>
      </c>
      <c r="N1086" s="168"/>
    </row>
    <row r="1087" spans="1:27" s="282" customFormat="1" outlineLevel="2">
      <c r="A1087" s="276">
        <f t="shared" si="377"/>
        <v>175</v>
      </c>
      <c r="B1087" s="724"/>
      <c r="C1087" s="564"/>
      <c r="D1087" s="421"/>
      <c r="G1087" s="1286"/>
      <c r="H1087" s="1286"/>
      <c r="I1087" s="1286"/>
      <c r="J1087" s="1286"/>
      <c r="K1087" s="1286"/>
      <c r="L1087" s="1286"/>
      <c r="M1087" s="1286"/>
      <c r="N1087" s="168"/>
    </row>
    <row r="1088" spans="1:27" s="282" customFormat="1" outlineLevel="2">
      <c r="A1088" s="276">
        <f t="shared" si="377"/>
        <v>176</v>
      </c>
      <c r="B1088" s="724" t="str">
        <f>$B176</f>
        <v>Kindergarten Teacher</v>
      </c>
      <c r="C1088" s="564" t="s">
        <v>231</v>
      </c>
      <c r="D1088" s="421"/>
      <c r="G1088" s="1286">
        <f t="shared" ref="G1088:M1092" si="379">G176*$C$93</f>
        <v>0</v>
      </c>
      <c r="H1088" s="1286">
        <f t="shared" si="379"/>
        <v>0</v>
      </c>
      <c r="I1088" s="1286">
        <f t="shared" si="379"/>
        <v>0</v>
      </c>
      <c r="J1088" s="1286">
        <f t="shared" si="379"/>
        <v>0</v>
      </c>
      <c r="K1088" s="1286">
        <f t="shared" si="379"/>
        <v>0</v>
      </c>
      <c r="L1088" s="1286">
        <f t="shared" si="379"/>
        <v>0</v>
      </c>
      <c r="M1088" s="1286">
        <f t="shared" si="379"/>
        <v>0</v>
      </c>
      <c r="N1088" s="168"/>
    </row>
    <row r="1089" spans="1:27" s="282" customFormat="1" outlineLevel="2">
      <c r="A1089" s="276">
        <f t="shared" si="377"/>
        <v>177</v>
      </c>
      <c r="B1089" s="724" t="str">
        <f>$B177</f>
        <v>Kindergarten Teacher</v>
      </c>
      <c r="C1089" s="564" t="s">
        <v>231</v>
      </c>
      <c r="D1089" s="421"/>
      <c r="G1089" s="1286">
        <f t="shared" si="379"/>
        <v>0</v>
      </c>
      <c r="H1089" s="1286">
        <f t="shared" si="379"/>
        <v>0</v>
      </c>
      <c r="I1089" s="1286">
        <f t="shared" si="379"/>
        <v>0</v>
      </c>
      <c r="J1089" s="1286">
        <f t="shared" si="379"/>
        <v>0</v>
      </c>
      <c r="K1089" s="1286">
        <f t="shared" si="379"/>
        <v>0</v>
      </c>
      <c r="L1089" s="1286">
        <f t="shared" si="379"/>
        <v>0</v>
      </c>
      <c r="M1089" s="1286">
        <f t="shared" si="379"/>
        <v>0</v>
      </c>
      <c r="N1089" s="168"/>
    </row>
    <row r="1090" spans="1:27" s="282" customFormat="1" outlineLevel="2">
      <c r="A1090" s="276">
        <f t="shared" si="377"/>
        <v>178</v>
      </c>
      <c r="B1090" s="724" t="str">
        <f>$B178</f>
        <v>Kindergarten Teacher</v>
      </c>
      <c r="C1090" s="564" t="s">
        <v>231</v>
      </c>
      <c r="D1090" s="421"/>
      <c r="G1090" s="1286">
        <f t="shared" si="379"/>
        <v>0</v>
      </c>
      <c r="H1090" s="1286">
        <f t="shared" si="379"/>
        <v>0</v>
      </c>
      <c r="I1090" s="1286">
        <f t="shared" si="379"/>
        <v>0</v>
      </c>
      <c r="J1090" s="1286">
        <f t="shared" si="379"/>
        <v>0</v>
      </c>
      <c r="K1090" s="1286">
        <f t="shared" si="379"/>
        <v>0</v>
      </c>
      <c r="L1090" s="1286">
        <f t="shared" si="379"/>
        <v>0</v>
      </c>
      <c r="M1090" s="1286">
        <f t="shared" si="379"/>
        <v>0</v>
      </c>
      <c r="N1090" s="168"/>
    </row>
    <row r="1091" spans="1:27" s="282" customFormat="1" outlineLevel="2">
      <c r="A1091" s="276">
        <f t="shared" si="377"/>
        <v>179</v>
      </c>
      <c r="B1091" s="724">
        <f>$B179</f>
        <v>0</v>
      </c>
      <c r="C1091" s="564" t="s">
        <v>231</v>
      </c>
      <c r="D1091" s="421"/>
      <c r="G1091" s="1286">
        <f t="shared" si="379"/>
        <v>0</v>
      </c>
      <c r="H1091" s="1286">
        <f t="shared" si="379"/>
        <v>0</v>
      </c>
      <c r="I1091" s="1286">
        <f t="shared" si="379"/>
        <v>0</v>
      </c>
      <c r="J1091" s="1286">
        <f t="shared" si="379"/>
        <v>0</v>
      </c>
      <c r="K1091" s="1286">
        <f t="shared" si="379"/>
        <v>0</v>
      </c>
      <c r="L1091" s="1286">
        <f t="shared" si="379"/>
        <v>0</v>
      </c>
      <c r="M1091" s="1286">
        <f t="shared" si="379"/>
        <v>0</v>
      </c>
      <c r="N1091" s="168"/>
    </row>
    <row r="1092" spans="1:27" outlineLevel="2">
      <c r="A1092" s="276">
        <f t="shared" si="377"/>
        <v>180</v>
      </c>
      <c r="B1092" s="724">
        <f>$B180</f>
        <v>0</v>
      </c>
      <c r="C1092" s="564" t="s">
        <v>231</v>
      </c>
      <c r="D1092" s="421"/>
      <c r="G1092" s="1286">
        <f t="shared" si="379"/>
        <v>0</v>
      </c>
      <c r="H1092" s="1286">
        <f t="shared" si="379"/>
        <v>0</v>
      </c>
      <c r="I1092" s="1286">
        <f t="shared" si="379"/>
        <v>0</v>
      </c>
      <c r="J1092" s="1286">
        <f t="shared" si="379"/>
        <v>0</v>
      </c>
      <c r="K1092" s="1286">
        <f t="shared" si="379"/>
        <v>0</v>
      </c>
      <c r="L1092" s="1286">
        <f t="shared" si="379"/>
        <v>0</v>
      </c>
      <c r="M1092" s="1286">
        <f t="shared" si="379"/>
        <v>0</v>
      </c>
      <c r="N1092" s="141"/>
      <c r="R1092" s="282"/>
      <c r="S1092" s="282"/>
      <c r="T1092" s="282"/>
      <c r="U1092" s="282"/>
      <c r="V1092" s="282"/>
      <c r="W1092" s="282"/>
      <c r="X1092" s="282"/>
      <c r="Y1092" s="282"/>
      <c r="Z1092" s="282"/>
      <c r="AA1092" s="282"/>
    </row>
    <row r="1093" spans="1:27" outlineLevel="2">
      <c r="A1093" s="276">
        <f t="shared" si="377"/>
        <v>181</v>
      </c>
      <c r="B1093" s="724"/>
      <c r="C1093" s="564"/>
      <c r="D1093" s="282"/>
      <c r="G1093" s="1286"/>
      <c r="H1093" s="1286"/>
      <c r="I1093" s="1286"/>
      <c r="J1093" s="1286"/>
      <c r="K1093" s="1286"/>
      <c r="L1093" s="1286"/>
      <c r="M1093" s="1286"/>
      <c r="N1093" s="141"/>
      <c r="R1093" s="282"/>
      <c r="S1093" s="282"/>
      <c r="T1093" s="282"/>
      <c r="U1093" s="282"/>
      <c r="V1093" s="282"/>
      <c r="W1093" s="282"/>
      <c r="X1093" s="282"/>
      <c r="Y1093" s="282"/>
      <c r="Z1093" s="282"/>
      <c r="AA1093" s="282"/>
    </row>
    <row r="1094" spans="1:27" s="282" customFormat="1" outlineLevel="2">
      <c r="A1094" s="276">
        <f t="shared" si="377"/>
        <v>182</v>
      </c>
      <c r="B1094" s="724" t="str">
        <f>$B182</f>
        <v>1st Grade Teacher</v>
      </c>
      <c r="C1094" s="564" t="s">
        <v>231</v>
      </c>
      <c r="D1094" s="421"/>
      <c r="G1094" s="1286">
        <f t="shared" ref="G1094:M1098" si="380">G182*$C$93</f>
        <v>0</v>
      </c>
      <c r="H1094" s="1286">
        <f t="shared" si="380"/>
        <v>0</v>
      </c>
      <c r="I1094" s="1286">
        <f t="shared" si="380"/>
        <v>0</v>
      </c>
      <c r="J1094" s="1286">
        <f t="shared" si="380"/>
        <v>0</v>
      </c>
      <c r="K1094" s="1286">
        <f t="shared" si="380"/>
        <v>0</v>
      </c>
      <c r="L1094" s="1286">
        <f t="shared" si="380"/>
        <v>0</v>
      </c>
      <c r="M1094" s="1286">
        <f t="shared" si="380"/>
        <v>0</v>
      </c>
      <c r="N1094" s="168"/>
    </row>
    <row r="1095" spans="1:27" s="282" customFormat="1" outlineLevel="2">
      <c r="A1095" s="276">
        <f t="shared" si="377"/>
        <v>183</v>
      </c>
      <c r="B1095" s="724" t="str">
        <f>$B183</f>
        <v>1st Grade Teacher</v>
      </c>
      <c r="C1095" s="564" t="s">
        <v>231</v>
      </c>
      <c r="D1095" s="421"/>
      <c r="G1095" s="1286">
        <f t="shared" si="380"/>
        <v>0</v>
      </c>
      <c r="H1095" s="1286">
        <f t="shared" si="380"/>
        <v>0</v>
      </c>
      <c r="I1095" s="1286">
        <f t="shared" si="380"/>
        <v>0</v>
      </c>
      <c r="J1095" s="1286">
        <f t="shared" si="380"/>
        <v>0</v>
      </c>
      <c r="K1095" s="1286">
        <f t="shared" si="380"/>
        <v>0</v>
      </c>
      <c r="L1095" s="1286">
        <f t="shared" si="380"/>
        <v>0</v>
      </c>
      <c r="M1095" s="1286">
        <f t="shared" si="380"/>
        <v>0</v>
      </c>
      <c r="N1095" s="168"/>
    </row>
    <row r="1096" spans="1:27" s="282" customFormat="1" outlineLevel="2">
      <c r="A1096" s="276">
        <f t="shared" si="377"/>
        <v>184</v>
      </c>
      <c r="B1096" s="724" t="str">
        <f>$B184</f>
        <v>1st Grade Teacher</v>
      </c>
      <c r="C1096" s="564" t="s">
        <v>231</v>
      </c>
      <c r="D1096" s="421"/>
      <c r="G1096" s="1286">
        <f t="shared" si="380"/>
        <v>0</v>
      </c>
      <c r="H1096" s="1286">
        <f t="shared" si="380"/>
        <v>0</v>
      </c>
      <c r="I1096" s="1286">
        <f t="shared" si="380"/>
        <v>0</v>
      </c>
      <c r="J1096" s="1286">
        <f t="shared" si="380"/>
        <v>0</v>
      </c>
      <c r="K1096" s="1286">
        <f t="shared" si="380"/>
        <v>0</v>
      </c>
      <c r="L1096" s="1286">
        <f t="shared" si="380"/>
        <v>0</v>
      </c>
      <c r="M1096" s="1286">
        <f t="shared" si="380"/>
        <v>0</v>
      </c>
      <c r="N1096" s="168"/>
    </row>
    <row r="1097" spans="1:27" s="282" customFormat="1" outlineLevel="2">
      <c r="A1097" s="276">
        <f t="shared" si="377"/>
        <v>185</v>
      </c>
      <c r="B1097" s="724">
        <f>$B185</f>
        <v>0</v>
      </c>
      <c r="C1097" s="564" t="s">
        <v>231</v>
      </c>
      <c r="D1097" s="421"/>
      <c r="G1097" s="1286">
        <f t="shared" si="380"/>
        <v>0</v>
      </c>
      <c r="H1097" s="1286">
        <f t="shared" si="380"/>
        <v>0</v>
      </c>
      <c r="I1097" s="1286">
        <f t="shared" si="380"/>
        <v>0</v>
      </c>
      <c r="J1097" s="1286">
        <f t="shared" si="380"/>
        <v>0</v>
      </c>
      <c r="K1097" s="1286">
        <f t="shared" si="380"/>
        <v>0</v>
      </c>
      <c r="L1097" s="1286">
        <f t="shared" si="380"/>
        <v>0</v>
      </c>
      <c r="M1097" s="1286">
        <f t="shared" si="380"/>
        <v>0</v>
      </c>
      <c r="N1097" s="168"/>
    </row>
    <row r="1098" spans="1:27" s="282" customFormat="1" outlineLevel="2">
      <c r="A1098" s="276">
        <f t="shared" si="377"/>
        <v>186</v>
      </c>
      <c r="B1098" s="724">
        <f>$B186</f>
        <v>0</v>
      </c>
      <c r="C1098" s="564" t="s">
        <v>231</v>
      </c>
      <c r="D1098" s="421"/>
      <c r="G1098" s="1286">
        <f t="shared" si="380"/>
        <v>0</v>
      </c>
      <c r="H1098" s="1286">
        <f t="shared" si="380"/>
        <v>0</v>
      </c>
      <c r="I1098" s="1286">
        <f t="shared" si="380"/>
        <v>0</v>
      </c>
      <c r="J1098" s="1286">
        <f t="shared" si="380"/>
        <v>0</v>
      </c>
      <c r="K1098" s="1286">
        <f t="shared" si="380"/>
        <v>0</v>
      </c>
      <c r="L1098" s="1286">
        <f t="shared" si="380"/>
        <v>0</v>
      </c>
      <c r="M1098" s="1286">
        <f t="shared" si="380"/>
        <v>0</v>
      </c>
      <c r="N1098" s="168"/>
    </row>
    <row r="1099" spans="1:27" s="282" customFormat="1" outlineLevel="2">
      <c r="A1099" s="276">
        <f t="shared" si="377"/>
        <v>187</v>
      </c>
      <c r="B1099" s="724"/>
      <c r="C1099" s="564"/>
      <c r="D1099" s="421"/>
      <c r="G1099" s="1286"/>
      <c r="H1099" s="1286"/>
      <c r="I1099" s="1286"/>
      <c r="J1099" s="1286"/>
      <c r="K1099" s="1286"/>
      <c r="L1099" s="1286"/>
      <c r="M1099" s="1286"/>
      <c r="N1099" s="168"/>
    </row>
    <row r="1100" spans="1:27" s="282" customFormat="1" outlineLevel="2">
      <c r="A1100" s="276">
        <f t="shared" si="377"/>
        <v>188</v>
      </c>
      <c r="B1100" s="724" t="str">
        <f>$B188</f>
        <v>2nd Grade Teacher</v>
      </c>
      <c r="C1100" s="564" t="s">
        <v>231</v>
      </c>
      <c r="D1100" s="421"/>
      <c r="G1100" s="1286">
        <f t="shared" ref="G1100:M1104" si="381">G188*$C$93</f>
        <v>0</v>
      </c>
      <c r="H1100" s="1286">
        <f t="shared" si="381"/>
        <v>0</v>
      </c>
      <c r="I1100" s="1286">
        <f t="shared" si="381"/>
        <v>0</v>
      </c>
      <c r="J1100" s="1286">
        <f t="shared" si="381"/>
        <v>0</v>
      </c>
      <c r="K1100" s="1286">
        <f t="shared" si="381"/>
        <v>0</v>
      </c>
      <c r="L1100" s="1286">
        <f t="shared" si="381"/>
        <v>0</v>
      </c>
      <c r="M1100" s="1286">
        <f t="shared" si="381"/>
        <v>0</v>
      </c>
      <c r="N1100" s="168"/>
    </row>
    <row r="1101" spans="1:27" s="282" customFormat="1" outlineLevel="2">
      <c r="A1101" s="276">
        <f t="shared" si="377"/>
        <v>189</v>
      </c>
      <c r="B1101" s="724" t="str">
        <f>$B189</f>
        <v>2nd Grade Teacher</v>
      </c>
      <c r="C1101" s="564" t="s">
        <v>231</v>
      </c>
      <c r="D1101" s="421"/>
      <c r="G1101" s="1286">
        <f t="shared" si="381"/>
        <v>0</v>
      </c>
      <c r="H1101" s="1286">
        <f t="shared" si="381"/>
        <v>0</v>
      </c>
      <c r="I1101" s="1286">
        <f t="shared" si="381"/>
        <v>0</v>
      </c>
      <c r="J1101" s="1286">
        <f t="shared" si="381"/>
        <v>0</v>
      </c>
      <c r="K1101" s="1286">
        <f t="shared" si="381"/>
        <v>0</v>
      </c>
      <c r="L1101" s="1286">
        <f t="shared" si="381"/>
        <v>0</v>
      </c>
      <c r="M1101" s="1286">
        <f t="shared" si="381"/>
        <v>0</v>
      </c>
      <c r="N1101" s="168"/>
    </row>
    <row r="1102" spans="1:27" s="282" customFormat="1" outlineLevel="2">
      <c r="A1102" s="276">
        <f t="shared" si="377"/>
        <v>190</v>
      </c>
      <c r="B1102" s="724" t="str">
        <f>$B190</f>
        <v>2nd Grade Teacher</v>
      </c>
      <c r="C1102" s="564" t="s">
        <v>231</v>
      </c>
      <c r="D1102" s="421"/>
      <c r="G1102" s="1286">
        <f t="shared" si="381"/>
        <v>0</v>
      </c>
      <c r="H1102" s="1286">
        <f t="shared" si="381"/>
        <v>0</v>
      </c>
      <c r="I1102" s="1286">
        <f t="shared" si="381"/>
        <v>0</v>
      </c>
      <c r="J1102" s="1286">
        <f t="shared" si="381"/>
        <v>0</v>
      </c>
      <c r="K1102" s="1286">
        <f t="shared" si="381"/>
        <v>0</v>
      </c>
      <c r="L1102" s="1286">
        <f t="shared" si="381"/>
        <v>0</v>
      </c>
      <c r="M1102" s="1286">
        <f t="shared" si="381"/>
        <v>0</v>
      </c>
      <c r="N1102" s="168"/>
    </row>
    <row r="1103" spans="1:27" s="282" customFormat="1" outlineLevel="2">
      <c r="A1103" s="276">
        <f t="shared" si="377"/>
        <v>191</v>
      </c>
      <c r="B1103" s="724">
        <f>$B191</f>
        <v>0</v>
      </c>
      <c r="C1103" s="564" t="s">
        <v>231</v>
      </c>
      <c r="D1103" s="421"/>
      <c r="G1103" s="1286">
        <f t="shared" si="381"/>
        <v>0</v>
      </c>
      <c r="H1103" s="1286">
        <f t="shared" si="381"/>
        <v>0</v>
      </c>
      <c r="I1103" s="1286">
        <f t="shared" si="381"/>
        <v>0</v>
      </c>
      <c r="J1103" s="1286">
        <f t="shared" si="381"/>
        <v>0</v>
      </c>
      <c r="K1103" s="1286">
        <f t="shared" si="381"/>
        <v>0</v>
      </c>
      <c r="L1103" s="1286">
        <f t="shared" si="381"/>
        <v>0</v>
      </c>
      <c r="M1103" s="1286">
        <f t="shared" si="381"/>
        <v>0</v>
      </c>
      <c r="N1103" s="168"/>
    </row>
    <row r="1104" spans="1:27" outlineLevel="2">
      <c r="A1104" s="276">
        <f t="shared" si="377"/>
        <v>192</v>
      </c>
      <c r="B1104" s="724">
        <f>$B192</f>
        <v>0</v>
      </c>
      <c r="C1104" s="564" t="s">
        <v>231</v>
      </c>
      <c r="D1104" s="421"/>
      <c r="G1104" s="1286">
        <f t="shared" si="381"/>
        <v>0</v>
      </c>
      <c r="H1104" s="1286">
        <f t="shared" si="381"/>
        <v>0</v>
      </c>
      <c r="I1104" s="1286">
        <f t="shared" si="381"/>
        <v>0</v>
      </c>
      <c r="J1104" s="1286">
        <f t="shared" si="381"/>
        <v>0</v>
      </c>
      <c r="K1104" s="1286">
        <f t="shared" si="381"/>
        <v>0</v>
      </c>
      <c r="L1104" s="1286">
        <f t="shared" si="381"/>
        <v>0</v>
      </c>
      <c r="M1104" s="1286">
        <f t="shared" si="381"/>
        <v>0</v>
      </c>
      <c r="N1104" s="141"/>
      <c r="R1104" s="282"/>
      <c r="S1104" s="282"/>
      <c r="T1104" s="282"/>
      <c r="U1104" s="282"/>
      <c r="V1104" s="282"/>
      <c r="W1104" s="282"/>
      <c r="X1104" s="282"/>
      <c r="Y1104" s="282"/>
      <c r="Z1104" s="282"/>
      <c r="AA1104" s="282"/>
    </row>
    <row r="1105" spans="1:27" outlineLevel="2">
      <c r="A1105" s="276">
        <f t="shared" si="377"/>
        <v>193</v>
      </c>
      <c r="B1105" s="724"/>
      <c r="C1105" s="564"/>
      <c r="D1105" s="282"/>
      <c r="G1105" s="1286"/>
      <c r="H1105" s="1286"/>
      <c r="I1105" s="1286"/>
      <c r="J1105" s="1286"/>
      <c r="K1105" s="1286"/>
      <c r="L1105" s="1286"/>
      <c r="M1105" s="1286"/>
      <c r="N1105" s="141"/>
      <c r="R1105" s="282"/>
      <c r="S1105" s="282"/>
      <c r="T1105" s="282"/>
      <c r="U1105" s="282"/>
      <c r="V1105" s="282"/>
      <c r="W1105" s="282"/>
      <c r="X1105" s="282"/>
      <c r="Y1105" s="282"/>
      <c r="Z1105" s="282"/>
      <c r="AA1105" s="282"/>
    </row>
    <row r="1106" spans="1:27" s="282" customFormat="1" outlineLevel="2">
      <c r="A1106" s="276">
        <f t="shared" si="377"/>
        <v>194</v>
      </c>
      <c r="B1106" s="724" t="str">
        <f>$B194</f>
        <v>3rd Grade Teacher</v>
      </c>
      <c r="C1106" s="564" t="s">
        <v>231</v>
      </c>
      <c r="D1106" s="421"/>
      <c r="G1106" s="1286">
        <f t="shared" ref="G1106:M1110" si="382">G194*$C$93</f>
        <v>0</v>
      </c>
      <c r="H1106" s="1286">
        <f t="shared" si="382"/>
        <v>0</v>
      </c>
      <c r="I1106" s="1286">
        <f t="shared" si="382"/>
        <v>0</v>
      </c>
      <c r="J1106" s="1286">
        <f t="shared" si="382"/>
        <v>0</v>
      </c>
      <c r="K1106" s="1286">
        <f t="shared" si="382"/>
        <v>0</v>
      </c>
      <c r="L1106" s="1286">
        <f t="shared" si="382"/>
        <v>0</v>
      </c>
      <c r="M1106" s="1286">
        <f t="shared" si="382"/>
        <v>0</v>
      </c>
      <c r="N1106" s="168"/>
    </row>
    <row r="1107" spans="1:27" s="282" customFormat="1" outlineLevel="2">
      <c r="A1107" s="276">
        <f t="shared" si="377"/>
        <v>195</v>
      </c>
      <c r="B1107" s="724" t="str">
        <f>$B195</f>
        <v>3rd Grade Teacher</v>
      </c>
      <c r="C1107" s="564" t="s">
        <v>231</v>
      </c>
      <c r="D1107" s="421"/>
      <c r="G1107" s="1286">
        <f t="shared" si="382"/>
        <v>0</v>
      </c>
      <c r="H1107" s="1286">
        <f t="shared" si="382"/>
        <v>0</v>
      </c>
      <c r="I1107" s="1286">
        <f t="shared" si="382"/>
        <v>0</v>
      </c>
      <c r="J1107" s="1286">
        <f t="shared" si="382"/>
        <v>0</v>
      </c>
      <c r="K1107" s="1286">
        <f t="shared" si="382"/>
        <v>0</v>
      </c>
      <c r="L1107" s="1286">
        <f t="shared" si="382"/>
        <v>0</v>
      </c>
      <c r="M1107" s="1286">
        <f t="shared" si="382"/>
        <v>0</v>
      </c>
      <c r="N1107" s="168"/>
    </row>
    <row r="1108" spans="1:27" s="282" customFormat="1" outlineLevel="2">
      <c r="A1108" s="276">
        <f t="shared" si="377"/>
        <v>196</v>
      </c>
      <c r="B1108" s="724" t="str">
        <f>$B196</f>
        <v>3rd Grade Teacher</v>
      </c>
      <c r="C1108" s="564" t="s">
        <v>231</v>
      </c>
      <c r="D1108" s="421"/>
      <c r="G1108" s="1286">
        <f t="shared" si="382"/>
        <v>0</v>
      </c>
      <c r="H1108" s="1286">
        <f t="shared" si="382"/>
        <v>0</v>
      </c>
      <c r="I1108" s="1286">
        <f t="shared" si="382"/>
        <v>0</v>
      </c>
      <c r="J1108" s="1286">
        <f t="shared" si="382"/>
        <v>0</v>
      </c>
      <c r="K1108" s="1286">
        <f t="shared" si="382"/>
        <v>0</v>
      </c>
      <c r="L1108" s="1286">
        <f t="shared" si="382"/>
        <v>0</v>
      </c>
      <c r="M1108" s="1286">
        <f t="shared" si="382"/>
        <v>0</v>
      </c>
      <c r="N1108" s="168"/>
    </row>
    <row r="1109" spans="1:27" s="282" customFormat="1" outlineLevel="2">
      <c r="A1109" s="276">
        <f t="shared" si="377"/>
        <v>197</v>
      </c>
      <c r="B1109" s="724">
        <f>$B197</f>
        <v>0</v>
      </c>
      <c r="C1109" s="564" t="s">
        <v>231</v>
      </c>
      <c r="D1109" s="421"/>
      <c r="G1109" s="1286">
        <f t="shared" si="382"/>
        <v>0</v>
      </c>
      <c r="H1109" s="1286">
        <f t="shared" si="382"/>
        <v>0</v>
      </c>
      <c r="I1109" s="1286">
        <f t="shared" si="382"/>
        <v>0</v>
      </c>
      <c r="J1109" s="1286">
        <f t="shared" si="382"/>
        <v>0</v>
      </c>
      <c r="K1109" s="1286">
        <f t="shared" si="382"/>
        <v>0</v>
      </c>
      <c r="L1109" s="1286">
        <f t="shared" si="382"/>
        <v>0</v>
      </c>
      <c r="M1109" s="1286">
        <f t="shared" si="382"/>
        <v>0</v>
      </c>
      <c r="N1109" s="168"/>
    </row>
    <row r="1110" spans="1:27" s="282" customFormat="1" outlineLevel="2">
      <c r="A1110" s="276">
        <f t="shared" si="377"/>
        <v>198</v>
      </c>
      <c r="B1110" s="724">
        <f>$B198</f>
        <v>0</v>
      </c>
      <c r="C1110" s="564" t="s">
        <v>231</v>
      </c>
      <c r="D1110" s="421"/>
      <c r="G1110" s="1286">
        <f t="shared" si="382"/>
        <v>0</v>
      </c>
      <c r="H1110" s="1286">
        <f t="shared" si="382"/>
        <v>0</v>
      </c>
      <c r="I1110" s="1286">
        <f t="shared" si="382"/>
        <v>0</v>
      </c>
      <c r="J1110" s="1286">
        <f t="shared" si="382"/>
        <v>0</v>
      </c>
      <c r="K1110" s="1286">
        <f t="shared" si="382"/>
        <v>0</v>
      </c>
      <c r="L1110" s="1286">
        <f t="shared" si="382"/>
        <v>0</v>
      </c>
      <c r="M1110" s="1286">
        <f t="shared" si="382"/>
        <v>0</v>
      </c>
      <c r="N1110" s="168"/>
    </row>
    <row r="1111" spans="1:27" s="282" customFormat="1" outlineLevel="2">
      <c r="A1111" s="276">
        <f t="shared" si="377"/>
        <v>199</v>
      </c>
      <c r="B1111" s="724"/>
      <c r="C1111" s="564"/>
      <c r="D1111" s="421"/>
      <c r="G1111" s="1286"/>
      <c r="H1111" s="1286"/>
      <c r="I1111" s="1286"/>
      <c r="J1111" s="1286"/>
      <c r="K1111" s="1286"/>
      <c r="L1111" s="1286"/>
      <c r="M1111" s="1286"/>
      <c r="N1111" s="168"/>
    </row>
    <row r="1112" spans="1:27" s="282" customFormat="1" outlineLevel="2">
      <c r="A1112" s="276">
        <f t="shared" si="377"/>
        <v>200</v>
      </c>
      <c r="B1112" s="724" t="str">
        <f>$B200</f>
        <v>4th Grade Teacher</v>
      </c>
      <c r="C1112" s="564" t="s">
        <v>231</v>
      </c>
      <c r="D1112" s="421"/>
      <c r="G1112" s="1286">
        <f t="shared" ref="G1112:M1116" si="383">G200*$C$93</f>
        <v>0</v>
      </c>
      <c r="H1112" s="1286">
        <f t="shared" si="383"/>
        <v>0</v>
      </c>
      <c r="I1112" s="1286">
        <f t="shared" si="383"/>
        <v>0</v>
      </c>
      <c r="J1112" s="1286">
        <f t="shared" si="383"/>
        <v>0</v>
      </c>
      <c r="K1112" s="1286">
        <f t="shared" si="383"/>
        <v>0</v>
      </c>
      <c r="L1112" s="1286">
        <f t="shared" si="383"/>
        <v>0</v>
      </c>
      <c r="M1112" s="1286">
        <f t="shared" si="383"/>
        <v>0</v>
      </c>
      <c r="N1112" s="168"/>
    </row>
    <row r="1113" spans="1:27" s="282" customFormat="1" outlineLevel="2">
      <c r="A1113" s="276">
        <f t="shared" si="377"/>
        <v>201</v>
      </c>
      <c r="B1113" s="724" t="str">
        <f>$B201</f>
        <v>4th Grade Teacher</v>
      </c>
      <c r="C1113" s="564" t="s">
        <v>231</v>
      </c>
      <c r="D1113" s="421"/>
      <c r="G1113" s="1286">
        <f t="shared" si="383"/>
        <v>0</v>
      </c>
      <c r="H1113" s="1286">
        <f t="shared" si="383"/>
        <v>0</v>
      </c>
      <c r="I1113" s="1286">
        <f t="shared" si="383"/>
        <v>0</v>
      </c>
      <c r="J1113" s="1286">
        <f t="shared" si="383"/>
        <v>0</v>
      </c>
      <c r="K1113" s="1286">
        <f t="shared" si="383"/>
        <v>0</v>
      </c>
      <c r="L1113" s="1286">
        <f t="shared" si="383"/>
        <v>0</v>
      </c>
      <c r="M1113" s="1286">
        <f t="shared" si="383"/>
        <v>0</v>
      </c>
      <c r="N1113" s="168"/>
    </row>
    <row r="1114" spans="1:27" s="282" customFormat="1" outlineLevel="2">
      <c r="A1114" s="276">
        <f t="shared" si="377"/>
        <v>202</v>
      </c>
      <c r="B1114" s="724" t="str">
        <f>$B202</f>
        <v>4th Grade Teacher</v>
      </c>
      <c r="C1114" s="564" t="s">
        <v>231</v>
      </c>
      <c r="D1114" s="421"/>
      <c r="G1114" s="1286">
        <f t="shared" si="383"/>
        <v>0</v>
      </c>
      <c r="H1114" s="1286">
        <f t="shared" si="383"/>
        <v>0</v>
      </c>
      <c r="I1114" s="1286">
        <f t="shared" si="383"/>
        <v>0</v>
      </c>
      <c r="J1114" s="1286">
        <f t="shared" si="383"/>
        <v>0</v>
      </c>
      <c r="K1114" s="1286">
        <f t="shared" si="383"/>
        <v>0</v>
      </c>
      <c r="L1114" s="1286">
        <f t="shared" si="383"/>
        <v>0</v>
      </c>
      <c r="M1114" s="1286">
        <f t="shared" si="383"/>
        <v>0</v>
      </c>
      <c r="N1114" s="168"/>
    </row>
    <row r="1115" spans="1:27" s="282" customFormat="1" outlineLevel="2">
      <c r="A1115" s="276">
        <f t="shared" ref="A1115:A1146" si="384">ROW(A203)</f>
        <v>203</v>
      </c>
      <c r="B1115" s="724">
        <f>$B203</f>
        <v>0</v>
      </c>
      <c r="C1115" s="564" t="s">
        <v>231</v>
      </c>
      <c r="D1115" s="421"/>
      <c r="G1115" s="1286">
        <f t="shared" si="383"/>
        <v>0</v>
      </c>
      <c r="H1115" s="1286">
        <f t="shared" si="383"/>
        <v>0</v>
      </c>
      <c r="I1115" s="1286">
        <f t="shared" si="383"/>
        <v>0</v>
      </c>
      <c r="J1115" s="1286">
        <f t="shared" si="383"/>
        <v>0</v>
      </c>
      <c r="K1115" s="1286">
        <f t="shared" si="383"/>
        <v>0</v>
      </c>
      <c r="L1115" s="1286">
        <f t="shared" si="383"/>
        <v>0</v>
      </c>
      <c r="M1115" s="1286">
        <f t="shared" si="383"/>
        <v>0</v>
      </c>
      <c r="N1115" s="168"/>
    </row>
    <row r="1116" spans="1:27" outlineLevel="2">
      <c r="A1116" s="276">
        <f t="shared" si="384"/>
        <v>204</v>
      </c>
      <c r="B1116" s="724">
        <f>$B204</f>
        <v>0</v>
      </c>
      <c r="C1116" s="564" t="s">
        <v>231</v>
      </c>
      <c r="D1116" s="421"/>
      <c r="G1116" s="1286">
        <f t="shared" si="383"/>
        <v>0</v>
      </c>
      <c r="H1116" s="1286">
        <f t="shared" si="383"/>
        <v>0</v>
      </c>
      <c r="I1116" s="1286">
        <f t="shared" si="383"/>
        <v>0</v>
      </c>
      <c r="J1116" s="1286">
        <f t="shared" si="383"/>
        <v>0</v>
      </c>
      <c r="K1116" s="1286">
        <f t="shared" si="383"/>
        <v>0</v>
      </c>
      <c r="L1116" s="1286">
        <f t="shared" si="383"/>
        <v>0</v>
      </c>
      <c r="M1116" s="1286">
        <f t="shared" si="383"/>
        <v>0</v>
      </c>
      <c r="N1116" s="141"/>
      <c r="R1116" s="282"/>
      <c r="S1116" s="282"/>
      <c r="T1116" s="282"/>
      <c r="U1116" s="282"/>
      <c r="V1116" s="282"/>
      <c r="W1116" s="282"/>
      <c r="X1116" s="282"/>
      <c r="Y1116" s="282"/>
      <c r="Z1116" s="282"/>
      <c r="AA1116" s="282"/>
    </row>
    <row r="1117" spans="1:27" outlineLevel="2">
      <c r="A1117" s="276">
        <f t="shared" si="384"/>
        <v>205</v>
      </c>
      <c r="B1117" s="724"/>
      <c r="C1117" s="564"/>
      <c r="D1117" s="282"/>
      <c r="G1117" s="1286"/>
      <c r="H1117" s="1286"/>
      <c r="I1117" s="1286"/>
      <c r="J1117" s="1286"/>
      <c r="K1117" s="1286"/>
      <c r="L1117" s="1286"/>
      <c r="M1117" s="1286"/>
      <c r="N1117" s="141"/>
      <c r="R1117" s="282"/>
      <c r="S1117" s="282"/>
      <c r="T1117" s="282"/>
      <c r="U1117" s="282"/>
      <c r="V1117" s="282"/>
      <c r="W1117" s="282"/>
      <c r="X1117" s="282"/>
      <c r="Y1117" s="282"/>
      <c r="Z1117" s="282"/>
      <c r="AA1117" s="282"/>
    </row>
    <row r="1118" spans="1:27" s="282" customFormat="1" outlineLevel="2">
      <c r="A1118" s="276">
        <f t="shared" si="384"/>
        <v>206</v>
      </c>
      <c r="B1118" s="724" t="str">
        <f>$B206</f>
        <v>5th Grade Teacher</v>
      </c>
      <c r="C1118" s="564" t="s">
        <v>231</v>
      </c>
      <c r="D1118" s="421"/>
      <c r="G1118" s="1286">
        <f t="shared" ref="G1118:M1122" si="385">G206*$C$93</f>
        <v>0</v>
      </c>
      <c r="H1118" s="1286">
        <f t="shared" si="385"/>
        <v>0</v>
      </c>
      <c r="I1118" s="1286">
        <f t="shared" si="385"/>
        <v>0</v>
      </c>
      <c r="J1118" s="1286">
        <f t="shared" si="385"/>
        <v>0</v>
      </c>
      <c r="K1118" s="1286">
        <f t="shared" si="385"/>
        <v>0</v>
      </c>
      <c r="L1118" s="1286">
        <f t="shared" si="385"/>
        <v>0</v>
      </c>
      <c r="M1118" s="1286">
        <f t="shared" si="385"/>
        <v>0</v>
      </c>
      <c r="N1118" s="168"/>
    </row>
    <row r="1119" spans="1:27" s="282" customFormat="1" outlineLevel="2">
      <c r="A1119" s="276">
        <f t="shared" si="384"/>
        <v>207</v>
      </c>
      <c r="B1119" s="724" t="str">
        <f>$B207</f>
        <v>5th Grade Teacher</v>
      </c>
      <c r="C1119" s="564" t="s">
        <v>231</v>
      </c>
      <c r="D1119" s="421"/>
      <c r="G1119" s="1286">
        <f t="shared" si="385"/>
        <v>0</v>
      </c>
      <c r="H1119" s="1286">
        <f t="shared" si="385"/>
        <v>0</v>
      </c>
      <c r="I1119" s="1286">
        <f t="shared" si="385"/>
        <v>0</v>
      </c>
      <c r="J1119" s="1286">
        <f t="shared" si="385"/>
        <v>0</v>
      </c>
      <c r="K1119" s="1286">
        <f t="shared" si="385"/>
        <v>0</v>
      </c>
      <c r="L1119" s="1286">
        <f t="shared" si="385"/>
        <v>0</v>
      </c>
      <c r="M1119" s="1286">
        <f t="shared" si="385"/>
        <v>0</v>
      </c>
      <c r="N1119" s="168"/>
    </row>
    <row r="1120" spans="1:27" s="282" customFormat="1" outlineLevel="2">
      <c r="A1120" s="276">
        <f t="shared" si="384"/>
        <v>208</v>
      </c>
      <c r="B1120" s="724" t="str">
        <f>$B208</f>
        <v>5th Grade Teacher</v>
      </c>
      <c r="C1120" s="564" t="s">
        <v>231</v>
      </c>
      <c r="D1120" s="421"/>
      <c r="G1120" s="1286">
        <f t="shared" si="385"/>
        <v>0</v>
      </c>
      <c r="H1120" s="1286">
        <f t="shared" si="385"/>
        <v>0</v>
      </c>
      <c r="I1120" s="1286">
        <f t="shared" si="385"/>
        <v>0</v>
      </c>
      <c r="J1120" s="1286">
        <f t="shared" si="385"/>
        <v>0</v>
      </c>
      <c r="K1120" s="1286">
        <f t="shared" si="385"/>
        <v>0</v>
      </c>
      <c r="L1120" s="1286">
        <f t="shared" si="385"/>
        <v>0</v>
      </c>
      <c r="M1120" s="1286">
        <f t="shared" si="385"/>
        <v>0</v>
      </c>
      <c r="N1120" s="168"/>
    </row>
    <row r="1121" spans="1:27" s="282" customFormat="1" outlineLevel="2">
      <c r="A1121" s="276">
        <f t="shared" si="384"/>
        <v>209</v>
      </c>
      <c r="B1121" s="724">
        <f>$B209</f>
        <v>0</v>
      </c>
      <c r="C1121" s="564" t="s">
        <v>231</v>
      </c>
      <c r="D1121" s="421"/>
      <c r="G1121" s="1286">
        <f t="shared" si="385"/>
        <v>0</v>
      </c>
      <c r="H1121" s="1286">
        <f t="shared" si="385"/>
        <v>0</v>
      </c>
      <c r="I1121" s="1286">
        <f t="shared" si="385"/>
        <v>0</v>
      </c>
      <c r="J1121" s="1286">
        <f t="shared" si="385"/>
        <v>0</v>
      </c>
      <c r="K1121" s="1286">
        <f t="shared" si="385"/>
        <v>0</v>
      </c>
      <c r="L1121" s="1286">
        <f t="shared" si="385"/>
        <v>0</v>
      </c>
      <c r="M1121" s="1286">
        <f t="shared" si="385"/>
        <v>0</v>
      </c>
      <c r="N1121" s="168"/>
    </row>
    <row r="1122" spans="1:27" s="282" customFormat="1" outlineLevel="2">
      <c r="A1122" s="276">
        <f t="shared" si="384"/>
        <v>210</v>
      </c>
      <c r="B1122" s="724">
        <f>$B210</f>
        <v>0</v>
      </c>
      <c r="C1122" s="564" t="s">
        <v>231</v>
      </c>
      <c r="D1122" s="421"/>
      <c r="G1122" s="1286">
        <f t="shared" si="385"/>
        <v>0</v>
      </c>
      <c r="H1122" s="1286">
        <f t="shared" si="385"/>
        <v>0</v>
      </c>
      <c r="I1122" s="1286">
        <f t="shared" si="385"/>
        <v>0</v>
      </c>
      <c r="J1122" s="1286">
        <f t="shared" si="385"/>
        <v>0</v>
      </c>
      <c r="K1122" s="1286">
        <f t="shared" si="385"/>
        <v>0</v>
      </c>
      <c r="L1122" s="1286">
        <f t="shared" si="385"/>
        <v>0</v>
      </c>
      <c r="M1122" s="1286">
        <f t="shared" si="385"/>
        <v>0</v>
      </c>
      <c r="N1122" s="168"/>
    </row>
    <row r="1123" spans="1:27" s="282" customFormat="1" outlineLevel="2">
      <c r="A1123" s="276">
        <f t="shared" si="384"/>
        <v>211</v>
      </c>
      <c r="B1123" s="724"/>
      <c r="C1123" s="564"/>
      <c r="D1123" s="421"/>
      <c r="G1123" s="1286"/>
      <c r="H1123" s="1286"/>
      <c r="I1123" s="1286"/>
      <c r="J1123" s="1286"/>
      <c r="K1123" s="1286"/>
      <c r="L1123" s="1286"/>
      <c r="M1123" s="1286"/>
      <c r="N1123" s="168"/>
    </row>
    <row r="1124" spans="1:27" s="282" customFormat="1" outlineLevel="2">
      <c r="A1124" s="276">
        <f t="shared" si="384"/>
        <v>212</v>
      </c>
      <c r="B1124" s="724" t="str">
        <f>$B212</f>
        <v>6th Grade Teacher</v>
      </c>
      <c r="C1124" s="564" t="s">
        <v>231</v>
      </c>
      <c r="D1124" s="421"/>
      <c r="G1124" s="1286">
        <f t="shared" ref="G1124:M1128" si="386">G212*$C$93</f>
        <v>0</v>
      </c>
      <c r="H1124" s="1286">
        <f t="shared" si="386"/>
        <v>0</v>
      </c>
      <c r="I1124" s="1286">
        <f t="shared" si="386"/>
        <v>0</v>
      </c>
      <c r="J1124" s="1286">
        <f t="shared" si="386"/>
        <v>0</v>
      </c>
      <c r="K1124" s="1286">
        <f t="shared" si="386"/>
        <v>0</v>
      </c>
      <c r="L1124" s="1286">
        <f t="shared" si="386"/>
        <v>0</v>
      </c>
      <c r="M1124" s="1286">
        <f t="shared" si="386"/>
        <v>0</v>
      </c>
      <c r="N1124" s="168"/>
    </row>
    <row r="1125" spans="1:27" s="282" customFormat="1" outlineLevel="2">
      <c r="A1125" s="276">
        <f t="shared" si="384"/>
        <v>213</v>
      </c>
      <c r="B1125" s="724" t="str">
        <f>$B213</f>
        <v>6th Grade Teacher</v>
      </c>
      <c r="C1125" s="564" t="s">
        <v>231</v>
      </c>
      <c r="D1125" s="421"/>
      <c r="G1125" s="1286">
        <f t="shared" si="386"/>
        <v>0</v>
      </c>
      <c r="H1125" s="1286">
        <f t="shared" si="386"/>
        <v>0</v>
      </c>
      <c r="I1125" s="1286">
        <f t="shared" si="386"/>
        <v>0</v>
      </c>
      <c r="J1125" s="1286">
        <f t="shared" si="386"/>
        <v>0</v>
      </c>
      <c r="K1125" s="1286">
        <f t="shared" si="386"/>
        <v>0</v>
      </c>
      <c r="L1125" s="1286">
        <f t="shared" si="386"/>
        <v>0</v>
      </c>
      <c r="M1125" s="1286">
        <f t="shared" si="386"/>
        <v>0</v>
      </c>
      <c r="N1125" s="168"/>
    </row>
    <row r="1126" spans="1:27" s="282" customFormat="1" outlineLevel="2">
      <c r="A1126" s="276">
        <f t="shared" si="384"/>
        <v>214</v>
      </c>
      <c r="B1126" s="724" t="str">
        <f>$B214</f>
        <v>6th Grade Teacher</v>
      </c>
      <c r="C1126" s="564" t="s">
        <v>231</v>
      </c>
      <c r="D1126" s="421"/>
      <c r="G1126" s="1286">
        <f t="shared" si="386"/>
        <v>0</v>
      </c>
      <c r="H1126" s="1286">
        <f t="shared" si="386"/>
        <v>0</v>
      </c>
      <c r="I1126" s="1286">
        <f t="shared" si="386"/>
        <v>0</v>
      </c>
      <c r="J1126" s="1286">
        <f t="shared" si="386"/>
        <v>0</v>
      </c>
      <c r="K1126" s="1286">
        <f t="shared" si="386"/>
        <v>0</v>
      </c>
      <c r="L1126" s="1286">
        <f t="shared" si="386"/>
        <v>0</v>
      </c>
      <c r="M1126" s="1286">
        <f t="shared" si="386"/>
        <v>0</v>
      </c>
      <c r="N1126" s="168"/>
    </row>
    <row r="1127" spans="1:27" s="282" customFormat="1" outlineLevel="2">
      <c r="A1127" s="276">
        <f t="shared" si="384"/>
        <v>215</v>
      </c>
      <c r="B1127" s="724">
        <f>$B215</f>
        <v>0</v>
      </c>
      <c r="C1127" s="564" t="s">
        <v>231</v>
      </c>
      <c r="D1127" s="421"/>
      <c r="G1127" s="1286">
        <f t="shared" si="386"/>
        <v>0</v>
      </c>
      <c r="H1127" s="1286">
        <f t="shared" si="386"/>
        <v>0</v>
      </c>
      <c r="I1127" s="1286">
        <f t="shared" si="386"/>
        <v>0</v>
      </c>
      <c r="J1127" s="1286">
        <f t="shared" si="386"/>
        <v>0</v>
      </c>
      <c r="K1127" s="1286">
        <f t="shared" si="386"/>
        <v>0</v>
      </c>
      <c r="L1127" s="1286">
        <f t="shared" si="386"/>
        <v>0</v>
      </c>
      <c r="M1127" s="1286">
        <f t="shared" si="386"/>
        <v>0</v>
      </c>
      <c r="N1127" s="168"/>
    </row>
    <row r="1128" spans="1:27" outlineLevel="2">
      <c r="A1128" s="276">
        <f t="shared" si="384"/>
        <v>216</v>
      </c>
      <c r="B1128" s="724">
        <f>$B216</f>
        <v>0</v>
      </c>
      <c r="C1128" s="564" t="s">
        <v>231</v>
      </c>
      <c r="D1128" s="421"/>
      <c r="G1128" s="1286">
        <f t="shared" si="386"/>
        <v>0</v>
      </c>
      <c r="H1128" s="1286">
        <f t="shared" si="386"/>
        <v>0</v>
      </c>
      <c r="I1128" s="1286">
        <f t="shared" si="386"/>
        <v>0</v>
      </c>
      <c r="J1128" s="1286">
        <f t="shared" si="386"/>
        <v>0</v>
      </c>
      <c r="K1128" s="1286">
        <f t="shared" si="386"/>
        <v>0</v>
      </c>
      <c r="L1128" s="1286">
        <f t="shared" si="386"/>
        <v>0</v>
      </c>
      <c r="M1128" s="1286">
        <f t="shared" si="386"/>
        <v>0</v>
      </c>
      <c r="N1128" s="141"/>
      <c r="R1128" s="282"/>
      <c r="S1128" s="282"/>
      <c r="T1128" s="282"/>
      <c r="U1128" s="282"/>
      <c r="V1128" s="282"/>
      <c r="W1128" s="282"/>
      <c r="X1128" s="282"/>
      <c r="Y1128" s="282"/>
      <c r="Z1128" s="282"/>
      <c r="AA1128" s="282"/>
    </row>
    <row r="1129" spans="1:27" outlineLevel="2">
      <c r="A1129" s="276">
        <f t="shared" si="384"/>
        <v>217</v>
      </c>
      <c r="B1129" s="724"/>
      <c r="C1129" s="564"/>
      <c r="D1129" s="282"/>
      <c r="G1129" s="1286"/>
      <c r="H1129" s="1286"/>
      <c r="I1129" s="1286"/>
      <c r="J1129" s="1286"/>
      <c r="K1129" s="1286"/>
      <c r="L1129" s="1286"/>
      <c r="M1129" s="1286"/>
      <c r="N1129" s="141"/>
      <c r="R1129" s="282"/>
      <c r="S1129" s="282"/>
      <c r="T1129" s="282"/>
      <c r="U1129" s="282"/>
      <c r="V1129" s="282"/>
      <c r="W1129" s="282"/>
      <c r="X1129" s="282"/>
      <c r="Y1129" s="282"/>
      <c r="Z1129" s="282"/>
      <c r="AA1129" s="282"/>
    </row>
    <row r="1130" spans="1:27" s="282" customFormat="1" outlineLevel="2">
      <c r="A1130" s="276">
        <f t="shared" si="384"/>
        <v>218</v>
      </c>
      <c r="B1130" s="724" t="str">
        <f t="shared" ref="B1130:B1135" si="387">$B218</f>
        <v>7th Grade Teacher</v>
      </c>
      <c r="C1130" s="564" t="s">
        <v>231</v>
      </c>
      <c r="D1130" s="421"/>
      <c r="G1130" s="1286">
        <f t="shared" ref="G1130:M1135" si="388">G218*$C$93</f>
        <v>0</v>
      </c>
      <c r="H1130" s="1286">
        <f t="shared" si="388"/>
        <v>0</v>
      </c>
      <c r="I1130" s="1286">
        <f t="shared" si="388"/>
        <v>0</v>
      </c>
      <c r="J1130" s="1286">
        <f t="shared" si="388"/>
        <v>0</v>
      </c>
      <c r="K1130" s="1286">
        <f t="shared" si="388"/>
        <v>0</v>
      </c>
      <c r="L1130" s="1286">
        <f t="shared" si="388"/>
        <v>0</v>
      </c>
      <c r="M1130" s="1286">
        <f t="shared" si="388"/>
        <v>0</v>
      </c>
      <c r="N1130" s="168"/>
    </row>
    <row r="1131" spans="1:27" s="282" customFormat="1" outlineLevel="2">
      <c r="A1131" s="276">
        <f t="shared" si="384"/>
        <v>219</v>
      </c>
      <c r="B1131" s="724" t="str">
        <f t="shared" si="387"/>
        <v>7th Grade Teacher</v>
      </c>
      <c r="C1131" s="564" t="s">
        <v>231</v>
      </c>
      <c r="D1131" s="421"/>
      <c r="G1131" s="1286">
        <f t="shared" si="388"/>
        <v>0</v>
      </c>
      <c r="H1131" s="1286">
        <f t="shared" si="388"/>
        <v>0</v>
      </c>
      <c r="I1131" s="1286">
        <f t="shared" si="388"/>
        <v>0</v>
      </c>
      <c r="J1131" s="1286">
        <f t="shared" si="388"/>
        <v>0</v>
      </c>
      <c r="K1131" s="1286">
        <f t="shared" si="388"/>
        <v>0</v>
      </c>
      <c r="L1131" s="1286">
        <f t="shared" si="388"/>
        <v>0</v>
      </c>
      <c r="M1131" s="1286">
        <f t="shared" si="388"/>
        <v>0</v>
      </c>
      <c r="N1131" s="168"/>
    </row>
    <row r="1132" spans="1:27" s="282" customFormat="1" outlineLevel="2">
      <c r="A1132" s="276">
        <f t="shared" si="384"/>
        <v>220</v>
      </c>
      <c r="B1132" s="724" t="str">
        <f t="shared" si="387"/>
        <v>7th Grade Teacher</v>
      </c>
      <c r="C1132" s="564" t="s">
        <v>231</v>
      </c>
      <c r="D1132" s="421"/>
      <c r="G1132" s="1286">
        <f t="shared" si="388"/>
        <v>0</v>
      </c>
      <c r="H1132" s="1286">
        <f t="shared" si="388"/>
        <v>0</v>
      </c>
      <c r="I1132" s="1286">
        <f t="shared" si="388"/>
        <v>0</v>
      </c>
      <c r="J1132" s="1286">
        <f t="shared" si="388"/>
        <v>0</v>
      </c>
      <c r="K1132" s="1286">
        <f t="shared" si="388"/>
        <v>0</v>
      </c>
      <c r="L1132" s="1286">
        <f t="shared" si="388"/>
        <v>0</v>
      </c>
      <c r="M1132" s="1286">
        <f t="shared" si="388"/>
        <v>0</v>
      </c>
      <c r="N1132" s="168"/>
    </row>
    <row r="1133" spans="1:27" s="282" customFormat="1" outlineLevel="2">
      <c r="A1133" s="276">
        <f t="shared" si="384"/>
        <v>221</v>
      </c>
      <c r="B1133" s="724">
        <f t="shared" si="387"/>
        <v>0</v>
      </c>
      <c r="C1133" s="564" t="s">
        <v>231</v>
      </c>
      <c r="D1133" s="421"/>
      <c r="G1133" s="1286">
        <f t="shared" si="388"/>
        <v>0</v>
      </c>
      <c r="H1133" s="1286">
        <f t="shared" si="388"/>
        <v>0</v>
      </c>
      <c r="I1133" s="1286">
        <f t="shared" si="388"/>
        <v>0</v>
      </c>
      <c r="J1133" s="1286">
        <f t="shared" si="388"/>
        <v>0</v>
      </c>
      <c r="K1133" s="1286">
        <f t="shared" si="388"/>
        <v>0</v>
      </c>
      <c r="L1133" s="1286">
        <f t="shared" si="388"/>
        <v>0</v>
      </c>
      <c r="M1133" s="1286">
        <f t="shared" si="388"/>
        <v>0</v>
      </c>
      <c r="N1133" s="168"/>
    </row>
    <row r="1134" spans="1:27" s="282" customFormat="1" outlineLevel="2">
      <c r="A1134" s="276">
        <f t="shared" si="384"/>
        <v>222</v>
      </c>
      <c r="B1134" s="724">
        <f t="shared" si="387"/>
        <v>0</v>
      </c>
      <c r="C1134" s="564" t="s">
        <v>231</v>
      </c>
      <c r="D1134" s="421"/>
      <c r="G1134" s="1286">
        <f t="shared" si="388"/>
        <v>0</v>
      </c>
      <c r="H1134" s="1286">
        <f t="shared" si="388"/>
        <v>0</v>
      </c>
      <c r="I1134" s="1286">
        <f t="shared" si="388"/>
        <v>0</v>
      </c>
      <c r="J1134" s="1286">
        <f t="shared" si="388"/>
        <v>0</v>
      </c>
      <c r="K1134" s="1286">
        <f t="shared" si="388"/>
        <v>0</v>
      </c>
      <c r="L1134" s="1286">
        <f t="shared" si="388"/>
        <v>0</v>
      </c>
      <c r="M1134" s="1286">
        <f t="shared" si="388"/>
        <v>0</v>
      </c>
      <c r="N1134" s="168"/>
    </row>
    <row r="1135" spans="1:27" s="282" customFormat="1" outlineLevel="2">
      <c r="A1135" s="276">
        <f t="shared" si="384"/>
        <v>223</v>
      </c>
      <c r="B1135" s="724">
        <f t="shared" si="387"/>
        <v>0</v>
      </c>
      <c r="C1135" s="564" t="s">
        <v>231</v>
      </c>
      <c r="D1135" s="421"/>
      <c r="G1135" s="1286">
        <f t="shared" si="388"/>
        <v>0</v>
      </c>
      <c r="H1135" s="1286">
        <f t="shared" si="388"/>
        <v>0</v>
      </c>
      <c r="I1135" s="1286">
        <f t="shared" si="388"/>
        <v>0</v>
      </c>
      <c r="J1135" s="1286">
        <f t="shared" si="388"/>
        <v>0</v>
      </c>
      <c r="K1135" s="1286">
        <f t="shared" si="388"/>
        <v>0</v>
      </c>
      <c r="L1135" s="1286">
        <f t="shared" si="388"/>
        <v>0</v>
      </c>
      <c r="M1135" s="1286">
        <f t="shared" si="388"/>
        <v>0</v>
      </c>
      <c r="N1135" s="168"/>
    </row>
    <row r="1136" spans="1:27" outlineLevel="2">
      <c r="A1136" s="276">
        <f t="shared" si="384"/>
        <v>224</v>
      </c>
      <c r="B1136" s="724"/>
      <c r="C1136" s="564"/>
      <c r="D1136" s="282"/>
      <c r="G1136" s="1286"/>
      <c r="H1136" s="1286"/>
      <c r="I1136" s="1286"/>
      <c r="J1136" s="1286"/>
      <c r="K1136" s="1286"/>
      <c r="L1136" s="1286"/>
      <c r="M1136" s="1286"/>
      <c r="N1136" s="141"/>
      <c r="R1136" s="282"/>
      <c r="S1136" s="282"/>
      <c r="T1136" s="282"/>
      <c r="U1136" s="282"/>
      <c r="V1136" s="282"/>
      <c r="W1136" s="282"/>
      <c r="X1136" s="282"/>
      <c r="Y1136" s="282"/>
      <c r="Z1136" s="282"/>
      <c r="AA1136" s="282"/>
    </row>
    <row r="1137" spans="1:14" s="282" customFormat="1" outlineLevel="2">
      <c r="A1137" s="276">
        <f t="shared" si="384"/>
        <v>225</v>
      </c>
      <c r="B1137" s="724" t="str">
        <f>$B$225</f>
        <v>8th Grade Teacher</v>
      </c>
      <c r="C1137" s="564" t="s">
        <v>231</v>
      </c>
      <c r="D1137" s="421"/>
      <c r="G1137" s="1286">
        <f t="shared" ref="G1137:M1141" si="389">G225*$C$93</f>
        <v>0</v>
      </c>
      <c r="H1137" s="1286">
        <f t="shared" si="389"/>
        <v>0</v>
      </c>
      <c r="I1137" s="1286">
        <f t="shared" si="389"/>
        <v>0</v>
      </c>
      <c r="J1137" s="1286">
        <f t="shared" si="389"/>
        <v>0</v>
      </c>
      <c r="K1137" s="1286">
        <f t="shared" si="389"/>
        <v>0</v>
      </c>
      <c r="L1137" s="1286">
        <f t="shared" si="389"/>
        <v>0</v>
      </c>
      <c r="M1137" s="1286">
        <f t="shared" si="389"/>
        <v>0</v>
      </c>
      <c r="N1137" s="168"/>
    </row>
    <row r="1138" spans="1:14" s="282" customFormat="1" outlineLevel="2">
      <c r="A1138" s="276">
        <f t="shared" si="384"/>
        <v>226</v>
      </c>
      <c r="B1138" s="724" t="str">
        <f>$B$226</f>
        <v>8th Grade Teacher</v>
      </c>
      <c r="C1138" s="564" t="s">
        <v>231</v>
      </c>
      <c r="D1138" s="421"/>
      <c r="G1138" s="1286">
        <f t="shared" si="389"/>
        <v>0</v>
      </c>
      <c r="H1138" s="1286">
        <f t="shared" si="389"/>
        <v>0</v>
      </c>
      <c r="I1138" s="1286">
        <f t="shared" si="389"/>
        <v>0</v>
      </c>
      <c r="J1138" s="1286">
        <f t="shared" si="389"/>
        <v>0</v>
      </c>
      <c r="K1138" s="1286">
        <f t="shared" si="389"/>
        <v>0</v>
      </c>
      <c r="L1138" s="1286">
        <f t="shared" si="389"/>
        <v>0</v>
      </c>
      <c r="M1138" s="1286">
        <f t="shared" si="389"/>
        <v>0</v>
      </c>
      <c r="N1138" s="168"/>
    </row>
    <row r="1139" spans="1:14" s="282" customFormat="1" outlineLevel="2">
      <c r="A1139" s="276">
        <f t="shared" si="384"/>
        <v>227</v>
      </c>
      <c r="B1139" s="724" t="str">
        <f>$B$227</f>
        <v>8th Grade Teacher</v>
      </c>
      <c r="C1139" s="564" t="s">
        <v>231</v>
      </c>
      <c r="D1139" s="421"/>
      <c r="G1139" s="1286">
        <f t="shared" si="389"/>
        <v>0</v>
      </c>
      <c r="H1139" s="1286">
        <f t="shared" si="389"/>
        <v>0</v>
      </c>
      <c r="I1139" s="1286">
        <f t="shared" si="389"/>
        <v>0</v>
      </c>
      <c r="J1139" s="1286">
        <f t="shared" si="389"/>
        <v>0</v>
      </c>
      <c r="K1139" s="1286">
        <f t="shared" si="389"/>
        <v>0</v>
      </c>
      <c r="L1139" s="1286">
        <f t="shared" si="389"/>
        <v>0</v>
      </c>
      <c r="M1139" s="1286">
        <f t="shared" si="389"/>
        <v>0</v>
      </c>
      <c r="N1139" s="168"/>
    </row>
    <row r="1140" spans="1:14" s="282" customFormat="1" outlineLevel="2">
      <c r="A1140" s="276">
        <f t="shared" si="384"/>
        <v>228</v>
      </c>
      <c r="B1140" s="724">
        <f>$B$228</f>
        <v>0</v>
      </c>
      <c r="C1140" s="564" t="s">
        <v>231</v>
      </c>
      <c r="D1140" s="421"/>
      <c r="G1140" s="1286">
        <f t="shared" si="389"/>
        <v>0</v>
      </c>
      <c r="H1140" s="1286">
        <f t="shared" si="389"/>
        <v>0</v>
      </c>
      <c r="I1140" s="1286">
        <f t="shared" si="389"/>
        <v>0</v>
      </c>
      <c r="J1140" s="1286">
        <f t="shared" si="389"/>
        <v>0</v>
      </c>
      <c r="K1140" s="1286">
        <f t="shared" si="389"/>
        <v>0</v>
      </c>
      <c r="L1140" s="1286">
        <f t="shared" si="389"/>
        <v>0</v>
      </c>
      <c r="M1140" s="1286">
        <f t="shared" si="389"/>
        <v>0</v>
      </c>
      <c r="N1140" s="168"/>
    </row>
    <row r="1141" spans="1:14" s="282" customFormat="1" outlineLevel="2">
      <c r="A1141" s="276">
        <f t="shared" si="384"/>
        <v>229</v>
      </c>
      <c r="B1141" s="724">
        <f>$B$229</f>
        <v>0</v>
      </c>
      <c r="C1141" s="564" t="s">
        <v>231</v>
      </c>
      <c r="D1141" s="421"/>
      <c r="G1141" s="1286">
        <f t="shared" si="389"/>
        <v>0</v>
      </c>
      <c r="H1141" s="1286">
        <f t="shared" si="389"/>
        <v>0</v>
      </c>
      <c r="I1141" s="1286">
        <f t="shared" si="389"/>
        <v>0</v>
      </c>
      <c r="J1141" s="1286">
        <f t="shared" si="389"/>
        <v>0</v>
      </c>
      <c r="K1141" s="1286">
        <f t="shared" si="389"/>
        <v>0</v>
      </c>
      <c r="L1141" s="1286">
        <f t="shared" si="389"/>
        <v>0</v>
      </c>
      <c r="M1141" s="1286">
        <f t="shared" si="389"/>
        <v>0</v>
      </c>
      <c r="N1141" s="168"/>
    </row>
    <row r="1142" spans="1:14" s="282" customFormat="1" outlineLevel="2">
      <c r="A1142" s="276">
        <f t="shared" si="384"/>
        <v>230</v>
      </c>
      <c r="C1142" s="564"/>
      <c r="D1142" s="421"/>
      <c r="G1142" s="1286"/>
      <c r="H1142" s="1286"/>
      <c r="I1142" s="1286"/>
      <c r="J1142" s="1286"/>
      <c r="K1142" s="1286"/>
      <c r="L1142" s="1286"/>
      <c r="M1142" s="1286"/>
      <c r="N1142" s="168"/>
    </row>
    <row r="1143" spans="1:14" s="282" customFormat="1" outlineLevel="2">
      <c r="A1143" s="276">
        <f t="shared" si="384"/>
        <v>231</v>
      </c>
      <c r="B1143" s="282" t="str">
        <f>$B$231</f>
        <v>9th Grade Teacher</v>
      </c>
      <c r="C1143" s="564" t="s">
        <v>231</v>
      </c>
      <c r="D1143" s="421"/>
      <c r="G1143" s="1286">
        <f t="shared" ref="G1143:M1147" si="390">G231*$C$93</f>
        <v>0</v>
      </c>
      <c r="H1143" s="1286">
        <f t="shared" si="390"/>
        <v>0</v>
      </c>
      <c r="I1143" s="1286">
        <f t="shared" si="390"/>
        <v>0</v>
      </c>
      <c r="J1143" s="1286">
        <f t="shared" si="390"/>
        <v>0</v>
      </c>
      <c r="K1143" s="1286">
        <f t="shared" si="390"/>
        <v>0</v>
      </c>
      <c r="L1143" s="1286">
        <f t="shared" si="390"/>
        <v>0</v>
      </c>
      <c r="M1143" s="1286">
        <f t="shared" si="390"/>
        <v>0</v>
      </c>
      <c r="N1143" s="168"/>
    </row>
    <row r="1144" spans="1:14" s="282" customFormat="1" outlineLevel="2">
      <c r="A1144" s="276">
        <f t="shared" si="384"/>
        <v>232</v>
      </c>
      <c r="B1144" s="282" t="str">
        <f>$B$232</f>
        <v>9th Grade Teacher</v>
      </c>
      <c r="C1144" s="564" t="s">
        <v>231</v>
      </c>
      <c r="D1144" s="421"/>
      <c r="G1144" s="1286">
        <f t="shared" si="390"/>
        <v>0</v>
      </c>
      <c r="H1144" s="1286">
        <f t="shared" si="390"/>
        <v>0</v>
      </c>
      <c r="I1144" s="1286">
        <f t="shared" si="390"/>
        <v>0</v>
      </c>
      <c r="J1144" s="1286">
        <f t="shared" si="390"/>
        <v>0</v>
      </c>
      <c r="K1144" s="1286">
        <f t="shared" si="390"/>
        <v>0</v>
      </c>
      <c r="L1144" s="1286">
        <f t="shared" si="390"/>
        <v>0</v>
      </c>
      <c r="M1144" s="1286">
        <f t="shared" si="390"/>
        <v>0</v>
      </c>
      <c r="N1144" s="168"/>
    </row>
    <row r="1145" spans="1:14" s="282" customFormat="1" outlineLevel="2">
      <c r="A1145" s="276">
        <f t="shared" si="384"/>
        <v>233</v>
      </c>
      <c r="B1145" s="282" t="str">
        <f>$B$233</f>
        <v>9th Grade Teacher</v>
      </c>
      <c r="C1145" s="564" t="s">
        <v>231</v>
      </c>
      <c r="D1145" s="421"/>
      <c r="G1145" s="1286">
        <f t="shared" si="390"/>
        <v>0</v>
      </c>
      <c r="H1145" s="1286">
        <f t="shared" si="390"/>
        <v>0</v>
      </c>
      <c r="I1145" s="1286">
        <f t="shared" si="390"/>
        <v>0</v>
      </c>
      <c r="J1145" s="1286">
        <f t="shared" si="390"/>
        <v>0</v>
      </c>
      <c r="K1145" s="1286">
        <f t="shared" si="390"/>
        <v>0</v>
      </c>
      <c r="L1145" s="1286">
        <f t="shared" si="390"/>
        <v>0</v>
      </c>
      <c r="M1145" s="1286">
        <f t="shared" si="390"/>
        <v>0</v>
      </c>
      <c r="N1145" s="168"/>
    </row>
    <row r="1146" spans="1:14" s="282" customFormat="1" outlineLevel="2">
      <c r="A1146" s="276">
        <f t="shared" si="384"/>
        <v>234</v>
      </c>
      <c r="B1146" s="282">
        <f>$B$234</f>
        <v>0</v>
      </c>
      <c r="C1146" s="564" t="s">
        <v>231</v>
      </c>
      <c r="D1146" s="421"/>
      <c r="G1146" s="1286">
        <f t="shared" si="390"/>
        <v>0</v>
      </c>
      <c r="H1146" s="1286">
        <f t="shared" si="390"/>
        <v>0</v>
      </c>
      <c r="I1146" s="1286">
        <f t="shared" si="390"/>
        <v>0</v>
      </c>
      <c r="J1146" s="1286">
        <f t="shared" si="390"/>
        <v>0</v>
      </c>
      <c r="K1146" s="1286">
        <f t="shared" si="390"/>
        <v>0</v>
      </c>
      <c r="L1146" s="1286">
        <f t="shared" si="390"/>
        <v>0</v>
      </c>
      <c r="M1146" s="1286">
        <f t="shared" si="390"/>
        <v>0</v>
      </c>
      <c r="N1146" s="168"/>
    </row>
    <row r="1147" spans="1:14" s="282" customFormat="1" outlineLevel="2">
      <c r="A1147" s="276">
        <f t="shared" ref="A1147:A1178" si="391">ROW(A235)</f>
        <v>235</v>
      </c>
      <c r="B1147" s="282">
        <f>$B$235</f>
        <v>0</v>
      </c>
      <c r="C1147" s="564" t="s">
        <v>231</v>
      </c>
      <c r="D1147" s="421"/>
      <c r="G1147" s="1286">
        <f t="shared" si="390"/>
        <v>0</v>
      </c>
      <c r="H1147" s="1286">
        <f t="shared" si="390"/>
        <v>0</v>
      </c>
      <c r="I1147" s="1286">
        <f t="shared" si="390"/>
        <v>0</v>
      </c>
      <c r="J1147" s="1286">
        <f t="shared" si="390"/>
        <v>0</v>
      </c>
      <c r="K1147" s="1286">
        <f t="shared" si="390"/>
        <v>0</v>
      </c>
      <c r="L1147" s="1286">
        <f t="shared" si="390"/>
        <v>0</v>
      </c>
      <c r="M1147" s="1286">
        <f t="shared" si="390"/>
        <v>0</v>
      </c>
      <c r="N1147" s="168"/>
    </row>
    <row r="1148" spans="1:14" s="282" customFormat="1" outlineLevel="2">
      <c r="A1148" s="276">
        <f t="shared" si="391"/>
        <v>236</v>
      </c>
      <c r="C1148" s="564"/>
      <c r="D1148" s="421"/>
      <c r="G1148" s="1286"/>
      <c r="H1148" s="1286"/>
      <c r="I1148" s="1286"/>
      <c r="J1148" s="1286"/>
      <c r="K1148" s="1286"/>
      <c r="L1148" s="1286"/>
      <c r="M1148" s="1286"/>
      <c r="N1148" s="168"/>
    </row>
    <row r="1149" spans="1:14" s="282" customFormat="1" outlineLevel="2">
      <c r="A1149" s="276">
        <f t="shared" si="391"/>
        <v>237</v>
      </c>
      <c r="B1149" s="282" t="str">
        <f>$B$237</f>
        <v>10th Grade Teacher</v>
      </c>
      <c r="C1149" s="564" t="s">
        <v>231</v>
      </c>
      <c r="D1149" s="421"/>
      <c r="G1149" s="1286">
        <f t="shared" ref="G1149:M1153" si="392">G237*$C$93</f>
        <v>0</v>
      </c>
      <c r="H1149" s="1286">
        <f t="shared" si="392"/>
        <v>0</v>
      </c>
      <c r="I1149" s="1286">
        <f t="shared" si="392"/>
        <v>0</v>
      </c>
      <c r="J1149" s="1286">
        <f t="shared" si="392"/>
        <v>0</v>
      </c>
      <c r="K1149" s="1286">
        <f t="shared" si="392"/>
        <v>0</v>
      </c>
      <c r="L1149" s="1286">
        <f t="shared" si="392"/>
        <v>0</v>
      </c>
      <c r="M1149" s="1286">
        <f t="shared" si="392"/>
        <v>0</v>
      </c>
      <c r="N1149" s="168"/>
    </row>
    <row r="1150" spans="1:14" s="282" customFormat="1" outlineLevel="2">
      <c r="A1150" s="276">
        <f t="shared" si="391"/>
        <v>238</v>
      </c>
      <c r="B1150" s="282" t="str">
        <f>$B$238</f>
        <v>10th Grade Teacher</v>
      </c>
      <c r="C1150" s="564" t="s">
        <v>231</v>
      </c>
      <c r="D1150" s="421"/>
      <c r="G1150" s="1286">
        <f t="shared" si="392"/>
        <v>0</v>
      </c>
      <c r="H1150" s="1286">
        <f t="shared" si="392"/>
        <v>0</v>
      </c>
      <c r="I1150" s="1286">
        <f t="shared" si="392"/>
        <v>0</v>
      </c>
      <c r="J1150" s="1286">
        <f t="shared" si="392"/>
        <v>0</v>
      </c>
      <c r="K1150" s="1286">
        <f t="shared" si="392"/>
        <v>0</v>
      </c>
      <c r="L1150" s="1286">
        <f t="shared" si="392"/>
        <v>0</v>
      </c>
      <c r="M1150" s="1286">
        <f t="shared" si="392"/>
        <v>0</v>
      </c>
      <c r="N1150" s="168"/>
    </row>
    <row r="1151" spans="1:14" s="282" customFormat="1" outlineLevel="2">
      <c r="A1151" s="276">
        <f t="shared" si="391"/>
        <v>239</v>
      </c>
      <c r="B1151" s="282" t="str">
        <f>$B$239</f>
        <v>10th Grade Teacher</v>
      </c>
      <c r="C1151" s="564" t="s">
        <v>231</v>
      </c>
      <c r="D1151" s="421"/>
      <c r="G1151" s="1286">
        <f t="shared" si="392"/>
        <v>0</v>
      </c>
      <c r="H1151" s="1286">
        <f t="shared" si="392"/>
        <v>0</v>
      </c>
      <c r="I1151" s="1286">
        <f t="shared" si="392"/>
        <v>0</v>
      </c>
      <c r="J1151" s="1286">
        <f t="shared" si="392"/>
        <v>0</v>
      </c>
      <c r="K1151" s="1286">
        <f t="shared" si="392"/>
        <v>0</v>
      </c>
      <c r="L1151" s="1286">
        <f t="shared" si="392"/>
        <v>0</v>
      </c>
      <c r="M1151" s="1286">
        <f t="shared" si="392"/>
        <v>0</v>
      </c>
      <c r="N1151" s="168"/>
    </row>
    <row r="1152" spans="1:14" s="282" customFormat="1" outlineLevel="2">
      <c r="A1152" s="276">
        <f t="shared" si="391"/>
        <v>240</v>
      </c>
      <c r="B1152" s="282">
        <f>$B$240</f>
        <v>0</v>
      </c>
      <c r="C1152" s="564" t="s">
        <v>231</v>
      </c>
      <c r="D1152" s="421"/>
      <c r="G1152" s="1286">
        <f t="shared" si="392"/>
        <v>0</v>
      </c>
      <c r="H1152" s="1286">
        <f t="shared" si="392"/>
        <v>0</v>
      </c>
      <c r="I1152" s="1286">
        <f t="shared" si="392"/>
        <v>0</v>
      </c>
      <c r="J1152" s="1286">
        <f t="shared" si="392"/>
        <v>0</v>
      </c>
      <c r="K1152" s="1286">
        <f t="shared" si="392"/>
        <v>0</v>
      </c>
      <c r="L1152" s="1286">
        <f t="shared" si="392"/>
        <v>0</v>
      </c>
      <c r="M1152" s="1286">
        <f t="shared" si="392"/>
        <v>0</v>
      </c>
      <c r="N1152" s="168"/>
    </row>
    <row r="1153" spans="1:27" s="282" customFormat="1" outlineLevel="2">
      <c r="A1153" s="276">
        <f t="shared" si="391"/>
        <v>241</v>
      </c>
      <c r="B1153" s="282">
        <f>$B$241</f>
        <v>0</v>
      </c>
      <c r="C1153" s="564" t="s">
        <v>231</v>
      </c>
      <c r="D1153" s="421"/>
      <c r="G1153" s="1286">
        <f t="shared" si="392"/>
        <v>0</v>
      </c>
      <c r="H1153" s="1286">
        <f t="shared" si="392"/>
        <v>0</v>
      </c>
      <c r="I1153" s="1286">
        <f t="shared" si="392"/>
        <v>0</v>
      </c>
      <c r="J1153" s="1286">
        <f t="shared" si="392"/>
        <v>0</v>
      </c>
      <c r="K1153" s="1286">
        <f t="shared" si="392"/>
        <v>0</v>
      </c>
      <c r="L1153" s="1286">
        <f t="shared" si="392"/>
        <v>0</v>
      </c>
      <c r="M1153" s="1286">
        <f t="shared" si="392"/>
        <v>0</v>
      </c>
      <c r="N1153" s="168"/>
    </row>
    <row r="1154" spans="1:27" outlineLevel="2">
      <c r="A1154" s="276">
        <f t="shared" si="391"/>
        <v>242</v>
      </c>
      <c r="B1154" s="282"/>
      <c r="C1154" s="564"/>
      <c r="D1154" s="282"/>
      <c r="G1154" s="1286"/>
      <c r="H1154" s="1286"/>
      <c r="I1154" s="1286"/>
      <c r="J1154" s="1286"/>
      <c r="K1154" s="1286"/>
      <c r="L1154" s="1286"/>
      <c r="M1154" s="1286"/>
      <c r="N1154" s="141"/>
      <c r="R1154" s="282"/>
      <c r="S1154" s="282"/>
      <c r="T1154" s="282"/>
      <c r="U1154" s="282"/>
      <c r="V1154" s="282"/>
      <c r="W1154" s="282"/>
      <c r="X1154" s="282"/>
      <c r="Y1154" s="282"/>
      <c r="Z1154" s="282"/>
      <c r="AA1154" s="282"/>
    </row>
    <row r="1155" spans="1:27" s="282" customFormat="1" outlineLevel="2">
      <c r="A1155" s="276">
        <f t="shared" si="391"/>
        <v>243</v>
      </c>
      <c r="B1155" s="282" t="str">
        <f>$B$243</f>
        <v>11th Grade Teacher</v>
      </c>
      <c r="C1155" s="564" t="s">
        <v>231</v>
      </c>
      <c r="D1155" s="421"/>
      <c r="G1155" s="1286">
        <f t="shared" ref="G1155:M1159" si="393">G243*$C$93</f>
        <v>0</v>
      </c>
      <c r="H1155" s="1286">
        <f t="shared" si="393"/>
        <v>0</v>
      </c>
      <c r="I1155" s="1286">
        <f t="shared" si="393"/>
        <v>0</v>
      </c>
      <c r="J1155" s="1286">
        <f t="shared" si="393"/>
        <v>0</v>
      </c>
      <c r="K1155" s="1286">
        <f t="shared" si="393"/>
        <v>0</v>
      </c>
      <c r="L1155" s="1286">
        <f t="shared" si="393"/>
        <v>0</v>
      </c>
      <c r="M1155" s="1286">
        <f t="shared" si="393"/>
        <v>0</v>
      </c>
      <c r="N1155" s="168"/>
    </row>
    <row r="1156" spans="1:27" s="282" customFormat="1" outlineLevel="2">
      <c r="A1156" s="276">
        <f t="shared" si="391"/>
        <v>244</v>
      </c>
      <c r="B1156" s="282" t="str">
        <f>$B$244</f>
        <v>11th Grade Teacher</v>
      </c>
      <c r="C1156" s="564" t="s">
        <v>231</v>
      </c>
      <c r="D1156" s="421"/>
      <c r="G1156" s="1286">
        <f t="shared" si="393"/>
        <v>0</v>
      </c>
      <c r="H1156" s="1286">
        <f t="shared" si="393"/>
        <v>0</v>
      </c>
      <c r="I1156" s="1286">
        <f t="shared" si="393"/>
        <v>0</v>
      </c>
      <c r="J1156" s="1286">
        <f t="shared" si="393"/>
        <v>0</v>
      </c>
      <c r="K1156" s="1286">
        <f t="shared" si="393"/>
        <v>0</v>
      </c>
      <c r="L1156" s="1286">
        <f t="shared" si="393"/>
        <v>0</v>
      </c>
      <c r="M1156" s="1286">
        <f t="shared" si="393"/>
        <v>0</v>
      </c>
      <c r="N1156" s="168"/>
    </row>
    <row r="1157" spans="1:27" s="282" customFormat="1" outlineLevel="2">
      <c r="A1157" s="276">
        <f t="shared" si="391"/>
        <v>245</v>
      </c>
      <c r="B1157" s="282" t="str">
        <f>$B$245</f>
        <v>11th Grade Teacher</v>
      </c>
      <c r="C1157" s="564" t="s">
        <v>231</v>
      </c>
      <c r="D1157" s="421"/>
      <c r="G1157" s="1286">
        <f t="shared" si="393"/>
        <v>0</v>
      </c>
      <c r="H1157" s="1286">
        <f t="shared" si="393"/>
        <v>0</v>
      </c>
      <c r="I1157" s="1286">
        <f t="shared" si="393"/>
        <v>0</v>
      </c>
      <c r="J1157" s="1286">
        <f t="shared" si="393"/>
        <v>0</v>
      </c>
      <c r="K1157" s="1286">
        <f t="shared" si="393"/>
        <v>0</v>
      </c>
      <c r="L1157" s="1286">
        <f t="shared" si="393"/>
        <v>0</v>
      </c>
      <c r="M1157" s="1286">
        <f t="shared" si="393"/>
        <v>0</v>
      </c>
      <c r="N1157" s="168"/>
    </row>
    <row r="1158" spans="1:27" s="282" customFormat="1" outlineLevel="2">
      <c r="A1158" s="276">
        <f t="shared" si="391"/>
        <v>246</v>
      </c>
      <c r="B1158" s="282">
        <f>$B$246</f>
        <v>0</v>
      </c>
      <c r="C1158" s="564" t="s">
        <v>231</v>
      </c>
      <c r="D1158" s="421"/>
      <c r="G1158" s="1286">
        <f t="shared" si="393"/>
        <v>0</v>
      </c>
      <c r="H1158" s="1286">
        <f t="shared" si="393"/>
        <v>0</v>
      </c>
      <c r="I1158" s="1286">
        <f t="shared" si="393"/>
        <v>0</v>
      </c>
      <c r="J1158" s="1286">
        <f t="shared" si="393"/>
        <v>0</v>
      </c>
      <c r="K1158" s="1286">
        <f t="shared" si="393"/>
        <v>0</v>
      </c>
      <c r="L1158" s="1286">
        <f t="shared" si="393"/>
        <v>0</v>
      </c>
      <c r="M1158" s="1286">
        <f t="shared" si="393"/>
        <v>0</v>
      </c>
      <c r="N1158" s="168"/>
    </row>
    <row r="1159" spans="1:27" s="282" customFormat="1" outlineLevel="2">
      <c r="A1159" s="276">
        <f t="shared" si="391"/>
        <v>247</v>
      </c>
      <c r="B1159" s="282">
        <f>$B$247</f>
        <v>0</v>
      </c>
      <c r="C1159" s="564" t="s">
        <v>231</v>
      </c>
      <c r="D1159" s="421"/>
      <c r="G1159" s="1286">
        <f t="shared" si="393"/>
        <v>0</v>
      </c>
      <c r="H1159" s="1286">
        <f t="shared" si="393"/>
        <v>0</v>
      </c>
      <c r="I1159" s="1286">
        <f t="shared" si="393"/>
        <v>0</v>
      </c>
      <c r="J1159" s="1286">
        <f t="shared" si="393"/>
        <v>0</v>
      </c>
      <c r="K1159" s="1286">
        <f t="shared" si="393"/>
        <v>0</v>
      </c>
      <c r="L1159" s="1286">
        <f t="shared" si="393"/>
        <v>0</v>
      </c>
      <c r="M1159" s="1286">
        <f t="shared" si="393"/>
        <v>0</v>
      </c>
      <c r="N1159" s="168"/>
    </row>
    <row r="1160" spans="1:27" outlineLevel="2">
      <c r="A1160" s="276">
        <f t="shared" si="391"/>
        <v>248</v>
      </c>
      <c r="B1160" s="282"/>
      <c r="C1160" s="564"/>
      <c r="D1160" s="282"/>
      <c r="G1160" s="1286"/>
      <c r="H1160" s="1286"/>
      <c r="I1160" s="1286"/>
      <c r="J1160" s="1286"/>
      <c r="K1160" s="1286"/>
      <c r="L1160" s="1286"/>
      <c r="M1160" s="1286"/>
      <c r="N1160" s="141"/>
      <c r="R1160" s="282"/>
      <c r="S1160" s="282"/>
      <c r="T1160" s="282"/>
      <c r="U1160" s="282"/>
      <c r="V1160" s="282"/>
      <c r="W1160" s="282"/>
      <c r="X1160" s="282"/>
      <c r="Y1160" s="282"/>
      <c r="Z1160" s="282"/>
      <c r="AA1160" s="282"/>
    </row>
    <row r="1161" spans="1:27" s="282" customFormat="1" outlineLevel="2">
      <c r="A1161" s="276">
        <f t="shared" si="391"/>
        <v>249</v>
      </c>
      <c r="B1161" s="282" t="str">
        <f>$B$249</f>
        <v>12th Grade Teacher</v>
      </c>
      <c r="C1161" s="564" t="s">
        <v>231</v>
      </c>
      <c r="D1161" s="421"/>
      <c r="G1161" s="1286">
        <f t="shared" ref="G1161:M1165" si="394">G249*$C$93</f>
        <v>0</v>
      </c>
      <c r="H1161" s="1286">
        <f t="shared" si="394"/>
        <v>0</v>
      </c>
      <c r="I1161" s="1286">
        <f t="shared" si="394"/>
        <v>0</v>
      </c>
      <c r="J1161" s="1286">
        <f t="shared" si="394"/>
        <v>0</v>
      </c>
      <c r="K1161" s="1286">
        <f t="shared" si="394"/>
        <v>0</v>
      </c>
      <c r="L1161" s="1286">
        <f t="shared" si="394"/>
        <v>0</v>
      </c>
      <c r="M1161" s="1286">
        <f t="shared" si="394"/>
        <v>0</v>
      </c>
      <c r="N1161" s="168"/>
    </row>
    <row r="1162" spans="1:27" s="282" customFormat="1" outlineLevel="2">
      <c r="A1162" s="276">
        <f t="shared" si="391"/>
        <v>250</v>
      </c>
      <c r="B1162" s="282" t="str">
        <f>$B$250</f>
        <v>12th Grade Teacher</v>
      </c>
      <c r="C1162" s="564" t="s">
        <v>231</v>
      </c>
      <c r="D1162" s="421"/>
      <c r="G1162" s="1286">
        <f t="shared" si="394"/>
        <v>0</v>
      </c>
      <c r="H1162" s="1286">
        <f t="shared" si="394"/>
        <v>0</v>
      </c>
      <c r="I1162" s="1286">
        <f t="shared" si="394"/>
        <v>0</v>
      </c>
      <c r="J1162" s="1286">
        <f t="shared" si="394"/>
        <v>0</v>
      </c>
      <c r="K1162" s="1286">
        <f t="shared" si="394"/>
        <v>0</v>
      </c>
      <c r="L1162" s="1286">
        <f t="shared" si="394"/>
        <v>0</v>
      </c>
      <c r="M1162" s="1286">
        <f t="shared" si="394"/>
        <v>0</v>
      </c>
      <c r="N1162" s="168"/>
    </row>
    <row r="1163" spans="1:27" s="282" customFormat="1" outlineLevel="2">
      <c r="A1163" s="276">
        <f t="shared" si="391"/>
        <v>251</v>
      </c>
      <c r="B1163" s="282" t="str">
        <f>$B$251</f>
        <v>12th Grade Teacher</v>
      </c>
      <c r="C1163" s="564" t="s">
        <v>231</v>
      </c>
      <c r="D1163" s="421"/>
      <c r="G1163" s="1286">
        <f t="shared" si="394"/>
        <v>0</v>
      </c>
      <c r="H1163" s="1286">
        <f t="shared" si="394"/>
        <v>0</v>
      </c>
      <c r="I1163" s="1286">
        <f t="shared" si="394"/>
        <v>0</v>
      </c>
      <c r="J1163" s="1286">
        <f t="shared" si="394"/>
        <v>0</v>
      </c>
      <c r="K1163" s="1286">
        <f t="shared" si="394"/>
        <v>0</v>
      </c>
      <c r="L1163" s="1286">
        <f t="shared" si="394"/>
        <v>0</v>
      </c>
      <c r="M1163" s="1286">
        <f t="shared" si="394"/>
        <v>0</v>
      </c>
      <c r="N1163" s="168"/>
    </row>
    <row r="1164" spans="1:27" s="282" customFormat="1" outlineLevel="2">
      <c r="A1164" s="276">
        <f t="shared" si="391"/>
        <v>252</v>
      </c>
      <c r="B1164" s="282">
        <f>$B$252</f>
        <v>0</v>
      </c>
      <c r="C1164" s="564" t="s">
        <v>231</v>
      </c>
      <c r="D1164" s="421"/>
      <c r="G1164" s="1286">
        <f t="shared" si="394"/>
        <v>0</v>
      </c>
      <c r="H1164" s="1286">
        <f t="shared" si="394"/>
        <v>0</v>
      </c>
      <c r="I1164" s="1286">
        <f t="shared" si="394"/>
        <v>0</v>
      </c>
      <c r="J1164" s="1286">
        <f t="shared" si="394"/>
        <v>0</v>
      </c>
      <c r="K1164" s="1286">
        <f t="shared" si="394"/>
        <v>0</v>
      </c>
      <c r="L1164" s="1286">
        <f t="shared" si="394"/>
        <v>0</v>
      </c>
      <c r="M1164" s="1286">
        <f t="shared" si="394"/>
        <v>0</v>
      </c>
      <c r="N1164" s="168"/>
    </row>
    <row r="1165" spans="1:27" s="282" customFormat="1" outlineLevel="2">
      <c r="A1165" s="276">
        <f t="shared" si="391"/>
        <v>253</v>
      </c>
      <c r="B1165" s="282">
        <f>$B$253</f>
        <v>0</v>
      </c>
      <c r="C1165" s="564" t="s">
        <v>231</v>
      </c>
      <c r="D1165" s="421"/>
      <c r="G1165" s="1286">
        <f t="shared" si="394"/>
        <v>0</v>
      </c>
      <c r="H1165" s="1286">
        <f t="shared" si="394"/>
        <v>0</v>
      </c>
      <c r="I1165" s="1286">
        <f t="shared" si="394"/>
        <v>0</v>
      </c>
      <c r="J1165" s="1286">
        <f t="shared" si="394"/>
        <v>0</v>
      </c>
      <c r="K1165" s="1286">
        <f t="shared" si="394"/>
        <v>0</v>
      </c>
      <c r="L1165" s="1286">
        <f t="shared" si="394"/>
        <v>0</v>
      </c>
      <c r="M1165" s="1286">
        <f t="shared" si="394"/>
        <v>0</v>
      </c>
      <c r="N1165" s="168"/>
    </row>
    <row r="1166" spans="1:27" s="282" customFormat="1" outlineLevel="2">
      <c r="A1166" s="276">
        <f t="shared" si="391"/>
        <v>254</v>
      </c>
      <c r="C1166" s="564"/>
      <c r="D1166" s="421"/>
      <c r="G1166" s="1286"/>
      <c r="H1166" s="1286"/>
      <c r="I1166" s="1286"/>
      <c r="J1166" s="1286"/>
      <c r="K1166" s="1286"/>
      <c r="L1166" s="1286"/>
      <c r="M1166" s="1286"/>
      <c r="N1166" s="168"/>
    </row>
    <row r="1167" spans="1:27" s="282" customFormat="1" outlineLevel="2">
      <c r="A1167" s="276">
        <f t="shared" si="391"/>
        <v>255</v>
      </c>
      <c r="B1167" s="282" t="str">
        <f>$B$255</f>
        <v>Instructional Aide</v>
      </c>
      <c r="C1167" s="564" t="s">
        <v>231</v>
      </c>
      <c r="D1167" s="421"/>
      <c r="G1167" s="1286">
        <f t="shared" ref="G1167:M1171" si="395">G255*$C$93</f>
        <v>0</v>
      </c>
      <c r="H1167" s="1286">
        <f t="shared" si="395"/>
        <v>0</v>
      </c>
      <c r="I1167" s="1286">
        <f t="shared" si="395"/>
        <v>0</v>
      </c>
      <c r="J1167" s="1286">
        <f t="shared" si="395"/>
        <v>0</v>
      </c>
      <c r="K1167" s="1286">
        <f t="shared" si="395"/>
        <v>0</v>
      </c>
      <c r="L1167" s="1286">
        <f t="shared" si="395"/>
        <v>0</v>
      </c>
      <c r="M1167" s="1286">
        <f t="shared" si="395"/>
        <v>0</v>
      </c>
      <c r="N1167" s="168"/>
    </row>
    <row r="1168" spans="1:27" s="282" customFormat="1" outlineLevel="2">
      <c r="A1168" s="276">
        <f t="shared" si="391"/>
        <v>256</v>
      </c>
      <c r="B1168" s="282" t="str">
        <f>$B$256</f>
        <v>Instructional Aide</v>
      </c>
      <c r="C1168" s="564" t="s">
        <v>231</v>
      </c>
      <c r="D1168" s="421"/>
      <c r="G1168" s="1286">
        <f t="shared" si="395"/>
        <v>0</v>
      </c>
      <c r="H1168" s="1286">
        <f t="shared" si="395"/>
        <v>0</v>
      </c>
      <c r="I1168" s="1286">
        <f t="shared" si="395"/>
        <v>0</v>
      </c>
      <c r="J1168" s="1286">
        <f t="shared" si="395"/>
        <v>0</v>
      </c>
      <c r="K1168" s="1286">
        <f t="shared" si="395"/>
        <v>0</v>
      </c>
      <c r="L1168" s="1286">
        <f t="shared" si="395"/>
        <v>0</v>
      </c>
      <c r="M1168" s="1286">
        <f t="shared" si="395"/>
        <v>0</v>
      </c>
      <c r="N1168" s="168"/>
    </row>
    <row r="1169" spans="1:27" s="282" customFormat="1" outlineLevel="2">
      <c r="A1169" s="276">
        <f t="shared" si="391"/>
        <v>257</v>
      </c>
      <c r="B1169" s="282" t="str">
        <f>$B$257</f>
        <v>Instructional Aide</v>
      </c>
      <c r="C1169" s="564" t="s">
        <v>231</v>
      </c>
      <c r="D1169" s="421"/>
      <c r="G1169" s="1286">
        <f t="shared" si="395"/>
        <v>0</v>
      </c>
      <c r="H1169" s="1286">
        <f t="shared" si="395"/>
        <v>0</v>
      </c>
      <c r="I1169" s="1286">
        <f t="shared" si="395"/>
        <v>0</v>
      </c>
      <c r="J1169" s="1286">
        <f t="shared" si="395"/>
        <v>0</v>
      </c>
      <c r="K1169" s="1286">
        <f t="shared" si="395"/>
        <v>0</v>
      </c>
      <c r="L1169" s="1286">
        <f t="shared" si="395"/>
        <v>0</v>
      </c>
      <c r="M1169" s="1286">
        <f t="shared" si="395"/>
        <v>0</v>
      </c>
      <c r="N1169" s="168"/>
    </row>
    <row r="1170" spans="1:27" s="282" customFormat="1" outlineLevel="2">
      <c r="A1170" s="276">
        <f t="shared" si="391"/>
        <v>258</v>
      </c>
      <c r="B1170" s="282" t="str">
        <f>$B$258</f>
        <v>Instructional Aide</v>
      </c>
      <c r="C1170" s="564" t="s">
        <v>231</v>
      </c>
      <c r="D1170" s="421"/>
      <c r="G1170" s="1286">
        <f t="shared" si="395"/>
        <v>0</v>
      </c>
      <c r="H1170" s="1286">
        <f t="shared" si="395"/>
        <v>0</v>
      </c>
      <c r="I1170" s="1286">
        <f t="shared" si="395"/>
        <v>0</v>
      </c>
      <c r="J1170" s="1286">
        <f t="shared" si="395"/>
        <v>0</v>
      </c>
      <c r="K1170" s="1286">
        <f t="shared" si="395"/>
        <v>0</v>
      </c>
      <c r="L1170" s="1286">
        <f t="shared" si="395"/>
        <v>0</v>
      </c>
      <c r="M1170" s="1286">
        <f t="shared" si="395"/>
        <v>0</v>
      </c>
      <c r="N1170" s="168"/>
    </row>
    <row r="1171" spans="1:27" s="282" customFormat="1" outlineLevel="2">
      <c r="A1171" s="276">
        <f t="shared" si="391"/>
        <v>259</v>
      </c>
      <c r="B1171" s="282" t="str">
        <f>$B$259</f>
        <v>Instructional Aide</v>
      </c>
      <c r="C1171" s="564" t="s">
        <v>231</v>
      </c>
      <c r="D1171" s="421"/>
      <c r="G1171" s="1286">
        <f t="shared" si="395"/>
        <v>0</v>
      </c>
      <c r="H1171" s="1286">
        <f t="shared" si="395"/>
        <v>0</v>
      </c>
      <c r="I1171" s="1286">
        <f t="shared" si="395"/>
        <v>0</v>
      </c>
      <c r="J1171" s="1286">
        <f t="shared" si="395"/>
        <v>0</v>
      </c>
      <c r="K1171" s="1286">
        <f t="shared" si="395"/>
        <v>0</v>
      </c>
      <c r="L1171" s="1286">
        <f t="shared" si="395"/>
        <v>0</v>
      </c>
      <c r="M1171" s="1286">
        <f t="shared" si="395"/>
        <v>0</v>
      </c>
      <c r="N1171" s="168"/>
    </row>
    <row r="1172" spans="1:27" s="282" customFormat="1" outlineLevel="2">
      <c r="A1172" s="276">
        <f t="shared" si="391"/>
        <v>260</v>
      </c>
      <c r="C1172" s="564"/>
      <c r="D1172" s="421"/>
      <c r="G1172" s="1286"/>
      <c r="H1172" s="1286"/>
      <c r="I1172" s="1286"/>
      <c r="J1172" s="1286"/>
      <c r="K1172" s="1286"/>
      <c r="L1172" s="1286"/>
      <c r="M1172" s="1286"/>
      <c r="N1172" s="168"/>
    </row>
    <row r="1173" spans="1:27" s="282" customFormat="1" outlineLevel="2">
      <c r="A1173" s="276">
        <f t="shared" si="391"/>
        <v>261</v>
      </c>
      <c r="B1173" s="282" t="str">
        <f>$B$261</f>
        <v>Instructional Aide</v>
      </c>
      <c r="C1173" s="564" t="s">
        <v>231</v>
      </c>
      <c r="D1173" s="421"/>
      <c r="G1173" s="1286">
        <f t="shared" ref="G1173:M1177" si="396">G261*$C$93</f>
        <v>0</v>
      </c>
      <c r="H1173" s="1286">
        <f t="shared" si="396"/>
        <v>0</v>
      </c>
      <c r="I1173" s="1286">
        <f t="shared" si="396"/>
        <v>0</v>
      </c>
      <c r="J1173" s="1286">
        <f t="shared" si="396"/>
        <v>0</v>
      </c>
      <c r="K1173" s="1286">
        <f t="shared" si="396"/>
        <v>0</v>
      </c>
      <c r="L1173" s="1286">
        <f t="shared" si="396"/>
        <v>0</v>
      </c>
      <c r="M1173" s="1286">
        <f t="shared" si="396"/>
        <v>0</v>
      </c>
      <c r="N1173" s="168"/>
    </row>
    <row r="1174" spans="1:27" s="282" customFormat="1" outlineLevel="2">
      <c r="A1174" s="276">
        <f t="shared" si="391"/>
        <v>262</v>
      </c>
      <c r="B1174" s="282" t="str">
        <f>$B$262</f>
        <v>Instructional Aide</v>
      </c>
      <c r="C1174" s="564" t="s">
        <v>231</v>
      </c>
      <c r="D1174" s="421"/>
      <c r="G1174" s="1286">
        <f t="shared" si="396"/>
        <v>0</v>
      </c>
      <c r="H1174" s="1286">
        <f t="shared" si="396"/>
        <v>0</v>
      </c>
      <c r="I1174" s="1286">
        <f t="shared" si="396"/>
        <v>0</v>
      </c>
      <c r="J1174" s="1286">
        <f t="shared" si="396"/>
        <v>0</v>
      </c>
      <c r="K1174" s="1286">
        <f t="shared" si="396"/>
        <v>0</v>
      </c>
      <c r="L1174" s="1286">
        <f t="shared" si="396"/>
        <v>0</v>
      </c>
      <c r="M1174" s="1286">
        <f t="shared" si="396"/>
        <v>0</v>
      </c>
      <c r="N1174" s="168"/>
    </row>
    <row r="1175" spans="1:27" s="282" customFormat="1" outlineLevel="2">
      <c r="A1175" s="276">
        <f t="shared" si="391"/>
        <v>263</v>
      </c>
      <c r="B1175" s="282" t="str">
        <f>$B$263</f>
        <v>Instructional Aide</v>
      </c>
      <c r="C1175" s="564" t="s">
        <v>231</v>
      </c>
      <c r="D1175" s="421"/>
      <c r="G1175" s="1286">
        <f t="shared" si="396"/>
        <v>0</v>
      </c>
      <c r="H1175" s="1286">
        <f t="shared" si="396"/>
        <v>0</v>
      </c>
      <c r="I1175" s="1286">
        <f t="shared" si="396"/>
        <v>0</v>
      </c>
      <c r="J1175" s="1286">
        <f t="shared" si="396"/>
        <v>0</v>
      </c>
      <c r="K1175" s="1286">
        <f t="shared" si="396"/>
        <v>0</v>
      </c>
      <c r="L1175" s="1286">
        <f t="shared" si="396"/>
        <v>0</v>
      </c>
      <c r="M1175" s="1286">
        <f t="shared" si="396"/>
        <v>0</v>
      </c>
      <c r="N1175" s="168"/>
    </row>
    <row r="1176" spans="1:27" s="282" customFormat="1" outlineLevel="2">
      <c r="A1176" s="276">
        <f t="shared" si="391"/>
        <v>264</v>
      </c>
      <c r="B1176" s="282" t="str">
        <f>$B$264</f>
        <v>Instructional Aide</v>
      </c>
      <c r="C1176" s="564" t="s">
        <v>231</v>
      </c>
      <c r="D1176" s="421"/>
      <c r="G1176" s="1286">
        <f t="shared" si="396"/>
        <v>0</v>
      </c>
      <c r="H1176" s="1286">
        <f t="shared" si="396"/>
        <v>0</v>
      </c>
      <c r="I1176" s="1286">
        <f t="shared" si="396"/>
        <v>0</v>
      </c>
      <c r="J1176" s="1286">
        <f t="shared" si="396"/>
        <v>0</v>
      </c>
      <c r="K1176" s="1286">
        <f t="shared" si="396"/>
        <v>0</v>
      </c>
      <c r="L1176" s="1286">
        <f t="shared" si="396"/>
        <v>0</v>
      </c>
      <c r="M1176" s="1286">
        <f t="shared" si="396"/>
        <v>0</v>
      </c>
      <c r="N1176" s="168"/>
    </row>
    <row r="1177" spans="1:27" s="282" customFormat="1" outlineLevel="2">
      <c r="A1177" s="276">
        <f t="shared" si="391"/>
        <v>265</v>
      </c>
      <c r="B1177" s="282" t="str">
        <f>$B$265</f>
        <v>Instructional Aide</v>
      </c>
      <c r="C1177" s="564" t="s">
        <v>231</v>
      </c>
      <c r="D1177" s="421"/>
      <c r="G1177" s="1286">
        <f t="shared" si="396"/>
        <v>0</v>
      </c>
      <c r="H1177" s="1286">
        <f t="shared" si="396"/>
        <v>0</v>
      </c>
      <c r="I1177" s="1286">
        <f t="shared" si="396"/>
        <v>0</v>
      </c>
      <c r="J1177" s="1286">
        <f t="shared" si="396"/>
        <v>0</v>
      </c>
      <c r="K1177" s="1286">
        <f t="shared" si="396"/>
        <v>0</v>
      </c>
      <c r="L1177" s="1286">
        <f t="shared" si="396"/>
        <v>0</v>
      </c>
      <c r="M1177" s="1286">
        <f t="shared" si="396"/>
        <v>0</v>
      </c>
      <c r="N1177" s="168"/>
    </row>
    <row r="1178" spans="1:27" outlineLevel="2">
      <c r="A1178" s="276">
        <f t="shared" si="391"/>
        <v>266</v>
      </c>
      <c r="B1178" s="282"/>
      <c r="C1178" s="564" t="s">
        <v>231</v>
      </c>
      <c r="D1178" s="282"/>
      <c r="G1178" s="1286"/>
      <c r="H1178" s="1286"/>
      <c r="I1178" s="1286"/>
      <c r="J1178" s="1286"/>
      <c r="K1178" s="1286"/>
      <c r="L1178" s="1286"/>
      <c r="M1178" s="1286"/>
      <c r="N1178" s="141"/>
      <c r="R1178" s="282"/>
      <c r="S1178" s="282"/>
      <c r="T1178" s="282"/>
      <c r="U1178" s="282"/>
      <c r="V1178" s="282"/>
      <c r="W1178" s="282"/>
      <c r="X1178" s="282"/>
      <c r="Y1178" s="282"/>
      <c r="Z1178" s="282"/>
      <c r="AA1178" s="282"/>
    </row>
    <row r="1179" spans="1:27" outlineLevel="2">
      <c r="A1179" s="276">
        <f t="shared" ref="A1179" si="397">ROW(A267)</f>
        <v>267</v>
      </c>
      <c r="B1179" s="545" t="s">
        <v>234</v>
      </c>
      <c r="C1179" s="707"/>
      <c r="D1179" s="545"/>
      <c r="E1179" s="517"/>
      <c r="F1179" s="517"/>
      <c r="G1179" s="1287">
        <f t="shared" ref="G1179:M1179" si="398">SUM(G1084:G1177)</f>
        <v>0</v>
      </c>
      <c r="H1179" s="1287">
        <f t="shared" si="398"/>
        <v>0</v>
      </c>
      <c r="I1179" s="1287">
        <f t="shared" si="398"/>
        <v>0</v>
      </c>
      <c r="J1179" s="1287">
        <f t="shared" si="398"/>
        <v>0</v>
      </c>
      <c r="K1179" s="1287">
        <f t="shared" si="398"/>
        <v>0</v>
      </c>
      <c r="L1179" s="1287">
        <f t="shared" si="398"/>
        <v>0</v>
      </c>
      <c r="M1179" s="1287">
        <f t="shared" si="398"/>
        <v>0</v>
      </c>
      <c r="N1179" s="141"/>
      <c r="R1179" s="282"/>
      <c r="S1179" s="282"/>
      <c r="T1179" s="282"/>
      <c r="U1179" s="282"/>
      <c r="V1179" s="282"/>
      <c r="W1179" s="282"/>
      <c r="X1179" s="282"/>
      <c r="Y1179" s="282"/>
      <c r="Z1179" s="282"/>
      <c r="AA1179" s="282"/>
    </row>
    <row r="1180" spans="1:27" outlineLevel="2">
      <c r="A1180" s="276">
        <f t="shared" ref="A1180:A1193" si="399">ROW(A266)</f>
        <v>266</v>
      </c>
      <c r="B1180" s="282"/>
      <c r="C1180" s="564"/>
      <c r="D1180" s="282"/>
      <c r="G1180" s="1286"/>
      <c r="H1180" s="1286"/>
      <c r="I1180" s="1286"/>
      <c r="J1180" s="1286"/>
      <c r="K1180" s="1286"/>
      <c r="L1180" s="1286"/>
      <c r="M1180" s="1286"/>
      <c r="N1180" s="141"/>
      <c r="R1180" s="282"/>
      <c r="S1180" s="282"/>
      <c r="T1180" s="282"/>
      <c r="U1180" s="282"/>
      <c r="V1180" s="282"/>
      <c r="W1180" s="282"/>
      <c r="X1180" s="282"/>
      <c r="Y1180" s="282"/>
      <c r="Z1180" s="282"/>
      <c r="AA1180" s="282"/>
    </row>
    <row r="1181" spans="1:27" outlineLevel="2">
      <c r="A1181" s="276">
        <f t="shared" si="399"/>
        <v>267</v>
      </c>
      <c r="B1181" s="282"/>
      <c r="C1181" s="564"/>
      <c r="D1181" s="282"/>
      <c r="G1181" s="1286"/>
      <c r="H1181" s="1286"/>
      <c r="I1181" s="1286"/>
      <c r="J1181" s="1286"/>
      <c r="K1181" s="1286"/>
      <c r="L1181" s="1286"/>
      <c r="M1181" s="1286"/>
      <c r="N1181" s="141"/>
      <c r="R1181" s="282"/>
      <c r="S1181" s="282"/>
      <c r="T1181" s="282"/>
      <c r="U1181" s="282"/>
      <c r="V1181" s="282"/>
      <c r="W1181" s="282"/>
      <c r="X1181" s="282"/>
      <c r="Y1181" s="282"/>
      <c r="Z1181" s="282"/>
      <c r="AA1181" s="282"/>
    </row>
    <row r="1182" spans="1:27" ht="16" outlineLevel="1">
      <c r="A1182" s="276">
        <f t="shared" si="399"/>
        <v>268</v>
      </c>
      <c r="B1182" s="745" t="s">
        <v>235</v>
      </c>
      <c r="C1182" s="746"/>
      <c r="D1182" s="529"/>
      <c r="E1182" s="517"/>
      <c r="F1182" s="517"/>
      <c r="G1182" s="1288">
        <f t="shared" ref="G1182:M1182" si="400">G1179+G1081+G1043</f>
        <v>0</v>
      </c>
      <c r="H1182" s="1288">
        <f t="shared" si="400"/>
        <v>0</v>
      </c>
      <c r="I1182" s="1288">
        <f t="shared" si="400"/>
        <v>0</v>
      </c>
      <c r="J1182" s="1288">
        <f t="shared" si="400"/>
        <v>0</v>
      </c>
      <c r="K1182" s="1288">
        <f t="shared" si="400"/>
        <v>0</v>
      </c>
      <c r="L1182" s="1288">
        <f t="shared" si="400"/>
        <v>0</v>
      </c>
      <c r="M1182" s="1288">
        <f t="shared" si="400"/>
        <v>0</v>
      </c>
      <c r="N1182" s="141"/>
      <c r="R1182" s="282"/>
      <c r="S1182" s="282"/>
      <c r="T1182" s="282"/>
      <c r="U1182" s="282"/>
      <c r="V1182" s="282"/>
      <c r="W1182" s="282"/>
      <c r="X1182" s="282"/>
      <c r="Y1182" s="282"/>
      <c r="Z1182" s="282"/>
      <c r="AA1182" s="282"/>
    </row>
    <row r="1183" spans="1:27" s="221" customFormat="1" outlineLevel="1">
      <c r="A1183" s="276">
        <f t="shared" si="399"/>
        <v>269</v>
      </c>
      <c r="B1183" s="244"/>
      <c r="C1183" s="563"/>
      <c r="D1183" s="244"/>
      <c r="G1183" s="150"/>
      <c r="H1183" s="1289"/>
      <c r="I1183" s="1289"/>
      <c r="J1183" s="1289"/>
      <c r="K1183" s="1289"/>
      <c r="L1183" s="1289"/>
      <c r="M1183" s="1289"/>
      <c r="N1183" s="150"/>
      <c r="R1183" s="282"/>
      <c r="S1183" s="282"/>
      <c r="T1183" s="282"/>
      <c r="U1183" s="282"/>
      <c r="V1183" s="282"/>
      <c r="W1183" s="282"/>
      <c r="X1183" s="282"/>
      <c r="Y1183" s="282"/>
      <c r="Z1183" s="282"/>
      <c r="AA1183" s="282"/>
    </row>
    <row r="1184" spans="1:27" s="282" customFormat="1" ht="16" outlineLevel="2">
      <c r="A1184" s="276">
        <f t="shared" si="399"/>
        <v>270</v>
      </c>
      <c r="B1184" s="741" t="s">
        <v>728</v>
      </c>
      <c r="C1184" s="742"/>
      <c r="D1184" s="743"/>
      <c r="E1184" s="289"/>
      <c r="F1184" s="289"/>
      <c r="G1184" s="1295"/>
      <c r="H1184" s="1295"/>
      <c r="I1184" s="1295"/>
      <c r="J1184" s="1295"/>
      <c r="K1184" s="1295"/>
      <c r="L1184" s="1295"/>
      <c r="M1184" s="1295"/>
      <c r="N1184" s="168"/>
    </row>
    <row r="1185" spans="1:27" s="282" customFormat="1" outlineLevel="2">
      <c r="A1185" s="276">
        <f t="shared" si="399"/>
        <v>271</v>
      </c>
      <c r="C1185" s="563"/>
      <c r="D1185" s="421"/>
      <c r="G1185" s="1051"/>
      <c r="H1185" s="1051"/>
      <c r="I1185" s="1051"/>
      <c r="J1185" s="1051"/>
      <c r="K1185" s="1051"/>
      <c r="L1185" s="1051"/>
      <c r="M1185" s="1051"/>
      <c r="N1185" s="168"/>
    </row>
    <row r="1186" spans="1:27" outlineLevel="2">
      <c r="A1186" s="276">
        <f t="shared" si="399"/>
        <v>272</v>
      </c>
      <c r="B1186" s="727" t="str">
        <f>$B$113</f>
        <v>Administrators</v>
      </c>
      <c r="C1186" s="722"/>
      <c r="D1186" s="289"/>
      <c r="E1186" s="275"/>
      <c r="F1186" s="275"/>
      <c r="G1186" s="1291"/>
      <c r="H1186" s="1291"/>
      <c r="I1186" s="1291"/>
      <c r="J1186" s="1291"/>
      <c r="K1186" s="1291"/>
      <c r="L1186" s="1291"/>
      <c r="M1186" s="1291"/>
      <c r="N1186" s="141"/>
      <c r="R1186" s="282"/>
      <c r="S1186" s="282"/>
      <c r="T1186" s="282"/>
      <c r="U1186" s="282"/>
      <c r="V1186" s="282"/>
      <c r="W1186" s="282"/>
      <c r="X1186" s="282"/>
      <c r="Y1186" s="282"/>
      <c r="Z1186" s="282"/>
      <c r="AA1186" s="282"/>
    </row>
    <row r="1187" spans="1:27" outlineLevel="2">
      <c r="A1187" s="276">
        <f t="shared" si="399"/>
        <v>273</v>
      </c>
      <c r="B1187" s="282" t="str">
        <f>$B$114</f>
        <v>Executive Director</v>
      </c>
      <c r="C1187" s="564"/>
      <c r="D1187" s="282"/>
      <c r="G1187" s="1286">
        <f t="shared" ref="G1187:M1191" si="401">G114*$C$94</f>
        <v>0</v>
      </c>
      <c r="H1187" s="1286">
        <f t="shared" si="401"/>
        <v>936</v>
      </c>
      <c r="I1187" s="1286">
        <f t="shared" si="401"/>
        <v>936</v>
      </c>
      <c r="J1187" s="1286">
        <f t="shared" si="401"/>
        <v>936</v>
      </c>
      <c r="K1187" s="1286">
        <f t="shared" si="401"/>
        <v>936</v>
      </c>
      <c r="L1187" s="1286">
        <f t="shared" si="401"/>
        <v>936</v>
      </c>
      <c r="M1187" s="1286">
        <f t="shared" si="401"/>
        <v>936</v>
      </c>
      <c r="N1187" s="141"/>
      <c r="R1187" s="282"/>
      <c r="S1187" s="282"/>
      <c r="T1187" s="282"/>
      <c r="U1187" s="282"/>
      <c r="V1187" s="282"/>
      <c r="W1187" s="282"/>
      <c r="X1187" s="282"/>
      <c r="Y1187" s="282"/>
      <c r="Z1187" s="282"/>
      <c r="AA1187" s="282"/>
    </row>
    <row r="1188" spans="1:27" outlineLevel="2">
      <c r="A1188" s="276">
        <f t="shared" si="399"/>
        <v>274</v>
      </c>
      <c r="B1188" s="282" t="str">
        <f>$B$115</f>
        <v>Director of Data, Instruction, Asses.</v>
      </c>
      <c r="C1188" s="564"/>
      <c r="D1188" s="282"/>
      <c r="G1188" s="1286">
        <f t="shared" si="401"/>
        <v>0</v>
      </c>
      <c r="H1188" s="1286">
        <f t="shared" si="401"/>
        <v>0</v>
      </c>
      <c r="I1188" s="1286">
        <f t="shared" si="401"/>
        <v>936</v>
      </c>
      <c r="J1188" s="1286">
        <f t="shared" si="401"/>
        <v>936</v>
      </c>
      <c r="K1188" s="1286">
        <f t="shared" si="401"/>
        <v>936</v>
      </c>
      <c r="L1188" s="1286">
        <f t="shared" si="401"/>
        <v>936</v>
      </c>
      <c r="M1188" s="1286">
        <f t="shared" si="401"/>
        <v>936</v>
      </c>
      <c r="N1188" s="141"/>
      <c r="R1188" s="282"/>
      <c r="S1188" s="282"/>
      <c r="T1188" s="282"/>
      <c r="U1188" s="282"/>
      <c r="V1188" s="282"/>
      <c r="W1188" s="282"/>
      <c r="X1188" s="282"/>
      <c r="Y1188" s="282"/>
      <c r="Z1188" s="282"/>
      <c r="AA1188" s="282"/>
    </row>
    <row r="1189" spans="1:27" outlineLevel="2">
      <c r="A1189" s="276">
        <f t="shared" si="399"/>
        <v>275</v>
      </c>
      <c r="B1189" s="282" t="str">
        <f>$B$116</f>
        <v>Director of Data, Instruction, Asses.</v>
      </c>
      <c r="C1189" s="564"/>
      <c r="D1189" s="282"/>
      <c r="G1189" s="1286">
        <f t="shared" si="401"/>
        <v>0</v>
      </c>
      <c r="H1189" s="1286">
        <f t="shared" si="401"/>
        <v>0</v>
      </c>
      <c r="I1189" s="1286">
        <f t="shared" si="401"/>
        <v>0</v>
      </c>
      <c r="J1189" s="1286">
        <f t="shared" si="401"/>
        <v>0</v>
      </c>
      <c r="K1189" s="1286">
        <f t="shared" si="401"/>
        <v>936</v>
      </c>
      <c r="L1189" s="1286">
        <f t="shared" si="401"/>
        <v>936</v>
      </c>
      <c r="M1189" s="1286">
        <f t="shared" si="401"/>
        <v>936</v>
      </c>
      <c r="N1189" s="141"/>
      <c r="R1189" s="282"/>
      <c r="S1189" s="282"/>
      <c r="T1189" s="282"/>
      <c r="U1189" s="282"/>
      <c r="V1189" s="282"/>
      <c r="W1189" s="282"/>
      <c r="X1189" s="282"/>
      <c r="Y1189" s="282"/>
      <c r="Z1189" s="282"/>
      <c r="AA1189" s="282"/>
    </row>
    <row r="1190" spans="1:27" outlineLevel="2">
      <c r="A1190" s="276">
        <f t="shared" si="399"/>
        <v>276</v>
      </c>
      <c r="B1190" s="282" t="str">
        <f>$B$117</f>
        <v>Director of Data, Instruction, Asses.</v>
      </c>
      <c r="C1190" s="564"/>
      <c r="D1190" s="282"/>
      <c r="G1190" s="1286">
        <f t="shared" si="401"/>
        <v>0</v>
      </c>
      <c r="H1190" s="1286">
        <f t="shared" si="401"/>
        <v>0</v>
      </c>
      <c r="I1190" s="1286">
        <f t="shared" si="401"/>
        <v>0</v>
      </c>
      <c r="J1190" s="1286">
        <f t="shared" si="401"/>
        <v>0</v>
      </c>
      <c r="K1190" s="1286">
        <f t="shared" si="401"/>
        <v>0</v>
      </c>
      <c r="L1190" s="1286">
        <f t="shared" si="401"/>
        <v>0</v>
      </c>
      <c r="M1190" s="1286">
        <f t="shared" si="401"/>
        <v>936</v>
      </c>
      <c r="N1190" s="141"/>
      <c r="R1190" s="282"/>
      <c r="S1190" s="282"/>
      <c r="T1190" s="282"/>
      <c r="U1190" s="282"/>
      <c r="V1190" s="282"/>
      <c r="W1190" s="282"/>
      <c r="X1190" s="282"/>
      <c r="Y1190" s="282"/>
      <c r="Z1190" s="282"/>
      <c r="AA1190" s="282"/>
    </row>
    <row r="1191" spans="1:27" outlineLevel="2">
      <c r="A1191" s="276">
        <f t="shared" si="399"/>
        <v>277</v>
      </c>
      <c r="B1191" s="282" t="str">
        <f>$B$118</f>
        <v>Superintendent</v>
      </c>
      <c r="C1191" s="564"/>
      <c r="D1191" s="282"/>
      <c r="G1191" s="1286">
        <f t="shared" si="401"/>
        <v>0</v>
      </c>
      <c r="H1191" s="1286">
        <f t="shared" si="401"/>
        <v>0</v>
      </c>
      <c r="I1191" s="1286">
        <f t="shared" si="401"/>
        <v>0</v>
      </c>
      <c r="J1191" s="1286">
        <f t="shared" si="401"/>
        <v>0</v>
      </c>
      <c r="K1191" s="1286">
        <f t="shared" si="401"/>
        <v>0</v>
      </c>
      <c r="L1191" s="1286">
        <f t="shared" si="401"/>
        <v>936</v>
      </c>
      <c r="M1191" s="1286">
        <f t="shared" si="401"/>
        <v>936</v>
      </c>
      <c r="N1191" s="141"/>
      <c r="R1191" s="282"/>
      <c r="S1191" s="282"/>
      <c r="T1191" s="282"/>
      <c r="U1191" s="282"/>
      <c r="V1191" s="282"/>
      <c r="W1191" s="282"/>
      <c r="X1191" s="282"/>
      <c r="Y1191" s="282"/>
      <c r="Z1191" s="282"/>
      <c r="AA1191" s="282"/>
    </row>
    <row r="1192" spans="1:27" outlineLevel="2">
      <c r="A1192" s="276">
        <f t="shared" si="399"/>
        <v>278</v>
      </c>
      <c r="B1192" s="282"/>
      <c r="C1192" s="564"/>
      <c r="D1192" s="282"/>
      <c r="G1192" s="1286"/>
      <c r="H1192" s="1286"/>
      <c r="I1192" s="1286"/>
      <c r="J1192" s="1286"/>
      <c r="K1192" s="1286"/>
      <c r="L1192" s="1286"/>
      <c r="M1192" s="1286"/>
      <c r="N1192" s="141"/>
      <c r="R1192" s="282"/>
      <c r="S1192" s="282"/>
      <c r="T1192" s="282"/>
      <c r="U1192" s="282"/>
      <c r="V1192" s="282"/>
      <c r="W1192" s="282"/>
      <c r="X1192" s="282"/>
      <c r="Y1192" s="282"/>
      <c r="Z1192" s="282"/>
      <c r="AA1192" s="282"/>
    </row>
    <row r="1193" spans="1:27" outlineLevel="2">
      <c r="A1193" s="276">
        <f t="shared" si="399"/>
        <v>279</v>
      </c>
      <c r="B1193" s="699" t="str">
        <f>$B$122</f>
        <v>Office Staff</v>
      </c>
      <c r="C1193" s="722"/>
      <c r="D1193" s="289"/>
      <c r="E1193" s="275"/>
      <c r="F1193" s="275"/>
      <c r="G1193" s="1291"/>
      <c r="H1193" s="1291"/>
      <c r="I1193" s="1291"/>
      <c r="J1193" s="1291"/>
      <c r="K1193" s="1291"/>
      <c r="L1193" s="1291"/>
      <c r="M1193" s="1291"/>
      <c r="N1193" s="141"/>
      <c r="R1193" s="282"/>
      <c r="S1193" s="282"/>
      <c r="T1193" s="282"/>
      <c r="U1193" s="282"/>
      <c r="V1193" s="282"/>
      <c r="W1193" s="282"/>
      <c r="X1193" s="282"/>
      <c r="Y1193" s="282"/>
      <c r="Z1193" s="282"/>
      <c r="AA1193" s="282"/>
    </row>
    <row r="1194" spans="1:27" outlineLevel="2">
      <c r="A1194" s="276">
        <f t="shared" ref="A1194:A1216" si="402">ROW(A123)</f>
        <v>123</v>
      </c>
      <c r="B1194" s="282" t="str">
        <f>$B$123</f>
        <v>Office Manager</v>
      </c>
      <c r="C1194" s="564"/>
      <c r="D1194" s="282"/>
      <c r="G1194" s="1286">
        <f t="shared" ref="G1194:M1197" si="403">G123*$C$94</f>
        <v>0</v>
      </c>
      <c r="H1194" s="1286">
        <f t="shared" si="403"/>
        <v>936</v>
      </c>
      <c r="I1194" s="1286">
        <f t="shared" si="403"/>
        <v>936</v>
      </c>
      <c r="J1194" s="1286">
        <f t="shared" si="403"/>
        <v>936</v>
      </c>
      <c r="K1194" s="1286">
        <f t="shared" si="403"/>
        <v>936</v>
      </c>
      <c r="L1194" s="1286">
        <f t="shared" si="403"/>
        <v>936</v>
      </c>
      <c r="M1194" s="1286">
        <f t="shared" si="403"/>
        <v>936</v>
      </c>
      <c r="N1194" s="141"/>
      <c r="R1194" s="282"/>
      <c r="S1194" s="282"/>
      <c r="T1194" s="282"/>
      <c r="U1194" s="282"/>
      <c r="V1194" s="282"/>
      <c r="W1194" s="282"/>
      <c r="X1194" s="282"/>
      <c r="Y1194" s="282"/>
      <c r="Z1194" s="282"/>
      <c r="AA1194" s="282"/>
    </row>
    <row r="1195" spans="1:27" outlineLevel="2">
      <c r="A1195" s="276">
        <f t="shared" si="402"/>
        <v>124</v>
      </c>
      <c r="B1195" s="282" t="str">
        <f>$B$124</f>
        <v>Office Technician</v>
      </c>
      <c r="C1195" s="564"/>
      <c r="D1195" s="282"/>
      <c r="G1195" s="1286">
        <f t="shared" si="403"/>
        <v>0</v>
      </c>
      <c r="H1195" s="1286">
        <f t="shared" si="403"/>
        <v>936</v>
      </c>
      <c r="I1195" s="1286">
        <f t="shared" si="403"/>
        <v>936</v>
      </c>
      <c r="J1195" s="1286">
        <f t="shared" si="403"/>
        <v>936</v>
      </c>
      <c r="K1195" s="1286">
        <f t="shared" si="403"/>
        <v>936</v>
      </c>
      <c r="L1195" s="1286">
        <f t="shared" si="403"/>
        <v>936</v>
      </c>
      <c r="M1195" s="1286">
        <f t="shared" si="403"/>
        <v>936</v>
      </c>
      <c r="N1195" s="141"/>
      <c r="R1195" s="282"/>
      <c r="S1195" s="282"/>
      <c r="T1195" s="282"/>
      <c r="U1195" s="282"/>
      <c r="V1195" s="282"/>
      <c r="W1195" s="282"/>
      <c r="X1195" s="282"/>
      <c r="Y1195" s="282"/>
      <c r="Z1195" s="282"/>
      <c r="AA1195" s="282"/>
    </row>
    <row r="1196" spans="1:27" outlineLevel="2">
      <c r="A1196" s="276">
        <f t="shared" si="402"/>
        <v>125</v>
      </c>
      <c r="B1196" s="282" t="str">
        <f>$B125</f>
        <v>Office Technician</v>
      </c>
      <c r="C1196" s="564"/>
      <c r="D1196" s="282"/>
      <c r="G1196" s="1286">
        <f t="shared" si="403"/>
        <v>0</v>
      </c>
      <c r="H1196" s="1286">
        <f t="shared" si="403"/>
        <v>0</v>
      </c>
      <c r="I1196" s="1286">
        <f t="shared" si="403"/>
        <v>0</v>
      </c>
      <c r="J1196" s="1286">
        <f t="shared" si="403"/>
        <v>936</v>
      </c>
      <c r="K1196" s="1286">
        <f t="shared" si="403"/>
        <v>936</v>
      </c>
      <c r="L1196" s="1286">
        <f t="shared" si="403"/>
        <v>936</v>
      </c>
      <c r="M1196" s="1286">
        <f t="shared" si="403"/>
        <v>936</v>
      </c>
      <c r="N1196" s="141"/>
      <c r="R1196" s="282"/>
      <c r="S1196" s="282"/>
      <c r="T1196" s="282"/>
      <c r="U1196" s="282"/>
      <c r="V1196" s="282"/>
      <c r="W1196" s="282"/>
      <c r="X1196" s="282"/>
      <c r="Y1196" s="282"/>
      <c r="Z1196" s="282"/>
      <c r="AA1196" s="282"/>
    </row>
    <row r="1197" spans="1:27" outlineLevel="2">
      <c r="A1197" s="276">
        <f t="shared" si="402"/>
        <v>126</v>
      </c>
      <c r="B1197" s="282" t="str">
        <f>$B126</f>
        <v>Office 4</v>
      </c>
      <c r="C1197" s="564"/>
      <c r="D1197" s="282"/>
      <c r="G1197" s="1286">
        <f t="shared" si="403"/>
        <v>0</v>
      </c>
      <c r="H1197" s="1286">
        <f t="shared" si="403"/>
        <v>0</v>
      </c>
      <c r="I1197" s="1286">
        <f t="shared" si="403"/>
        <v>0</v>
      </c>
      <c r="J1197" s="1286">
        <f t="shared" si="403"/>
        <v>0</v>
      </c>
      <c r="K1197" s="1286">
        <f t="shared" si="403"/>
        <v>0</v>
      </c>
      <c r="L1197" s="1286">
        <f t="shared" si="403"/>
        <v>0</v>
      </c>
      <c r="M1197" s="1286">
        <f t="shared" si="403"/>
        <v>0</v>
      </c>
      <c r="N1197" s="141"/>
      <c r="R1197" s="282"/>
      <c r="S1197" s="282"/>
      <c r="T1197" s="282"/>
      <c r="U1197" s="282"/>
      <c r="V1197" s="282"/>
      <c r="W1197" s="282"/>
      <c r="X1197" s="282"/>
      <c r="Y1197" s="282"/>
      <c r="Z1197" s="282"/>
      <c r="AA1197" s="282"/>
    </row>
    <row r="1198" spans="1:27" outlineLevel="2">
      <c r="A1198" s="276">
        <f t="shared" si="402"/>
        <v>127</v>
      </c>
      <c r="B1198" s="244"/>
      <c r="C1198" s="564"/>
      <c r="D1198" s="282"/>
      <c r="G1198" s="1286"/>
      <c r="H1198" s="1286"/>
      <c r="I1198" s="1286"/>
      <c r="J1198" s="1286"/>
      <c r="K1198" s="1286"/>
      <c r="L1198" s="1286"/>
      <c r="M1198" s="1286"/>
      <c r="N1198" s="141"/>
      <c r="R1198" s="282"/>
      <c r="S1198" s="282"/>
      <c r="T1198" s="282"/>
      <c r="U1198" s="282"/>
      <c r="V1198" s="282"/>
      <c r="W1198" s="282"/>
      <c r="X1198" s="282"/>
      <c r="Y1198" s="282"/>
      <c r="Z1198" s="282"/>
      <c r="AA1198" s="282"/>
    </row>
    <row r="1199" spans="1:27" outlineLevel="2">
      <c r="A1199" s="276">
        <f t="shared" si="402"/>
        <v>128</v>
      </c>
      <c r="B1199" s="545" t="str">
        <f>$B$128</f>
        <v>Total Administrators and Office Staff</v>
      </c>
      <c r="C1199" s="707"/>
      <c r="D1199" s="545"/>
      <c r="E1199" s="517"/>
      <c r="F1199" s="517"/>
      <c r="G1199" s="1287">
        <f t="shared" ref="G1199:M1199" si="404">SUM(G1187:G1197)</f>
        <v>0</v>
      </c>
      <c r="H1199" s="1287">
        <f t="shared" si="404"/>
        <v>2808</v>
      </c>
      <c r="I1199" s="1287">
        <f t="shared" si="404"/>
        <v>3744</v>
      </c>
      <c r="J1199" s="1287">
        <f t="shared" si="404"/>
        <v>4680</v>
      </c>
      <c r="K1199" s="1287">
        <f t="shared" si="404"/>
        <v>5616</v>
      </c>
      <c r="L1199" s="1287">
        <f t="shared" si="404"/>
        <v>6552</v>
      </c>
      <c r="M1199" s="1287">
        <f t="shared" si="404"/>
        <v>7488</v>
      </c>
      <c r="N1199" s="141"/>
      <c r="R1199" s="282"/>
      <c r="S1199" s="282"/>
      <c r="T1199" s="282"/>
      <c r="U1199" s="282"/>
      <c r="V1199" s="282"/>
      <c r="W1199" s="282"/>
      <c r="X1199" s="282"/>
      <c r="Y1199" s="282"/>
      <c r="Z1199" s="282"/>
      <c r="AA1199" s="282"/>
    </row>
    <row r="1200" spans="1:27" outlineLevel="2">
      <c r="A1200" s="276">
        <f t="shared" si="402"/>
        <v>129</v>
      </c>
      <c r="B1200" s="244"/>
      <c r="C1200" s="564"/>
      <c r="D1200" s="282"/>
      <c r="G1200" s="1286"/>
      <c r="H1200" s="1286"/>
      <c r="I1200" s="1286"/>
      <c r="J1200" s="1286"/>
      <c r="K1200" s="1286"/>
      <c r="L1200" s="1286"/>
      <c r="M1200" s="1286"/>
      <c r="N1200" s="141"/>
      <c r="R1200" s="282"/>
      <c r="S1200" s="282"/>
      <c r="T1200" s="282"/>
      <c r="U1200" s="282"/>
      <c r="V1200" s="282"/>
      <c r="W1200" s="282"/>
      <c r="X1200" s="282"/>
      <c r="Y1200" s="282"/>
      <c r="Z1200" s="282"/>
      <c r="AA1200" s="282"/>
    </row>
    <row r="1201" spans="1:27" outlineLevel="2">
      <c r="A1201" s="276">
        <f t="shared" si="402"/>
        <v>130</v>
      </c>
      <c r="B1201" s="244" t="str">
        <f>$B$130</f>
        <v>Special Education (SPED) Teachers</v>
      </c>
      <c r="C1201" s="564"/>
      <c r="D1201" s="282"/>
      <c r="G1201" s="1286"/>
      <c r="H1201" s="1286"/>
      <c r="I1201" s="1286"/>
      <c r="J1201" s="1286"/>
      <c r="K1201" s="1286"/>
      <c r="L1201" s="1286"/>
      <c r="M1201" s="1286"/>
      <c r="N1201" s="141"/>
      <c r="R1201" s="282"/>
      <c r="S1201" s="282"/>
      <c r="T1201" s="282"/>
      <c r="U1201" s="282"/>
      <c r="V1201" s="282"/>
      <c r="W1201" s="282"/>
      <c r="X1201" s="282"/>
      <c r="Y1201" s="282"/>
      <c r="Z1201" s="282"/>
      <c r="AA1201" s="282"/>
    </row>
    <row r="1202" spans="1:27" outlineLevel="2">
      <c r="A1202" s="276">
        <f t="shared" si="402"/>
        <v>131</v>
      </c>
      <c r="B1202" s="739" t="str">
        <f>$B$131</f>
        <v>Special Education Teacher</v>
      </c>
      <c r="C1202" s="706"/>
      <c r="D1202" s="723"/>
      <c r="E1202" s="517"/>
      <c r="F1202" s="517"/>
      <c r="G1202" s="1292">
        <f t="shared" ref="G1202:M1210" si="405">G131*$C$94</f>
        <v>0</v>
      </c>
      <c r="H1202" s="1292">
        <f t="shared" si="405"/>
        <v>936</v>
      </c>
      <c r="I1202" s="1292">
        <f t="shared" si="405"/>
        <v>936</v>
      </c>
      <c r="J1202" s="1292">
        <f t="shared" si="405"/>
        <v>936</v>
      </c>
      <c r="K1202" s="1292">
        <f t="shared" si="405"/>
        <v>936</v>
      </c>
      <c r="L1202" s="1292">
        <f t="shared" si="405"/>
        <v>936</v>
      </c>
      <c r="M1202" s="1292">
        <f t="shared" si="405"/>
        <v>936</v>
      </c>
      <c r="N1202" s="141"/>
      <c r="R1202" s="282"/>
      <c r="S1202" s="282"/>
      <c r="T1202" s="282"/>
      <c r="U1202" s="282"/>
      <c r="V1202" s="282"/>
      <c r="W1202" s="282"/>
      <c r="X1202" s="282"/>
      <c r="Y1202" s="282"/>
      <c r="Z1202" s="282"/>
      <c r="AA1202" s="282"/>
    </row>
    <row r="1203" spans="1:27" outlineLevel="2">
      <c r="A1203" s="276">
        <f t="shared" si="402"/>
        <v>132</v>
      </c>
      <c r="B1203" s="724" t="str">
        <f>$B$132</f>
        <v>Special Education Teacher</v>
      </c>
      <c r="C1203" s="564"/>
      <c r="D1203" s="282"/>
      <c r="G1203" s="1286">
        <f t="shared" si="405"/>
        <v>0</v>
      </c>
      <c r="H1203" s="1286">
        <f t="shared" si="405"/>
        <v>0</v>
      </c>
      <c r="I1203" s="1286">
        <f t="shared" si="405"/>
        <v>936</v>
      </c>
      <c r="J1203" s="1286">
        <f t="shared" si="405"/>
        <v>936</v>
      </c>
      <c r="K1203" s="1286">
        <f t="shared" si="405"/>
        <v>936</v>
      </c>
      <c r="L1203" s="1286">
        <f t="shared" si="405"/>
        <v>936</v>
      </c>
      <c r="M1203" s="1286">
        <f t="shared" si="405"/>
        <v>936</v>
      </c>
      <c r="N1203" s="141"/>
      <c r="R1203" s="282"/>
      <c r="S1203" s="282"/>
      <c r="T1203" s="282"/>
      <c r="U1203" s="282"/>
      <c r="V1203" s="282"/>
      <c r="W1203" s="282"/>
      <c r="X1203" s="282"/>
      <c r="Y1203" s="282"/>
      <c r="Z1203" s="282"/>
      <c r="AA1203" s="282"/>
    </row>
    <row r="1204" spans="1:27" outlineLevel="2">
      <c r="A1204" s="276">
        <f t="shared" si="402"/>
        <v>133</v>
      </c>
      <c r="B1204" s="724" t="str">
        <f>$B$133</f>
        <v>Special Education Teacher</v>
      </c>
      <c r="C1204" s="564"/>
      <c r="D1204" s="282"/>
      <c r="G1204" s="1286">
        <f t="shared" si="405"/>
        <v>0</v>
      </c>
      <c r="H1204" s="1286">
        <f t="shared" si="405"/>
        <v>0</v>
      </c>
      <c r="I1204" s="1286">
        <f t="shared" si="405"/>
        <v>0</v>
      </c>
      <c r="J1204" s="1286">
        <f t="shared" si="405"/>
        <v>0</v>
      </c>
      <c r="K1204" s="1286">
        <f t="shared" si="405"/>
        <v>936</v>
      </c>
      <c r="L1204" s="1286">
        <f t="shared" si="405"/>
        <v>936</v>
      </c>
      <c r="M1204" s="1286">
        <f t="shared" si="405"/>
        <v>936</v>
      </c>
      <c r="N1204" s="141"/>
      <c r="R1204" s="282"/>
      <c r="S1204" s="282"/>
      <c r="T1204" s="282"/>
      <c r="U1204" s="282"/>
      <c r="V1204" s="282"/>
      <c r="W1204" s="282"/>
      <c r="X1204" s="282"/>
      <c r="Y1204" s="282"/>
      <c r="Z1204" s="282"/>
      <c r="AA1204" s="282"/>
    </row>
    <row r="1205" spans="1:27" outlineLevel="2">
      <c r="A1205" s="276">
        <f t="shared" si="402"/>
        <v>134</v>
      </c>
      <c r="B1205" s="724" t="str">
        <f>$B$134</f>
        <v>Special Education Teacher</v>
      </c>
      <c r="C1205" s="564"/>
      <c r="D1205" s="282"/>
      <c r="G1205" s="1286">
        <f t="shared" si="405"/>
        <v>0</v>
      </c>
      <c r="H1205" s="1286">
        <f t="shared" si="405"/>
        <v>0</v>
      </c>
      <c r="I1205" s="1286">
        <f t="shared" si="405"/>
        <v>0</v>
      </c>
      <c r="J1205" s="1286">
        <f t="shared" si="405"/>
        <v>0</v>
      </c>
      <c r="K1205" s="1286">
        <f t="shared" si="405"/>
        <v>0</v>
      </c>
      <c r="L1205" s="1286">
        <f t="shared" si="405"/>
        <v>0</v>
      </c>
      <c r="M1205" s="1286">
        <f t="shared" si="405"/>
        <v>936</v>
      </c>
      <c r="N1205" s="141"/>
      <c r="R1205" s="282"/>
      <c r="S1205" s="282"/>
      <c r="T1205" s="282"/>
      <c r="U1205" s="282"/>
      <c r="V1205" s="282"/>
      <c r="W1205" s="282"/>
      <c r="X1205" s="282"/>
      <c r="Y1205" s="282"/>
      <c r="Z1205" s="282"/>
      <c r="AA1205" s="282"/>
    </row>
    <row r="1206" spans="1:27" outlineLevel="2">
      <c r="A1206" s="276">
        <f t="shared" si="402"/>
        <v>135</v>
      </c>
      <c r="B1206" s="724">
        <f>$B$135</f>
        <v>0</v>
      </c>
      <c r="C1206" s="564"/>
      <c r="D1206" s="282"/>
      <c r="G1206" s="1286">
        <f t="shared" si="405"/>
        <v>0</v>
      </c>
      <c r="H1206" s="1286">
        <f t="shared" si="405"/>
        <v>0</v>
      </c>
      <c r="I1206" s="1286">
        <f t="shared" si="405"/>
        <v>0</v>
      </c>
      <c r="J1206" s="1286">
        <f t="shared" si="405"/>
        <v>0</v>
      </c>
      <c r="K1206" s="1286">
        <f t="shared" si="405"/>
        <v>0</v>
      </c>
      <c r="L1206" s="1286">
        <f t="shared" si="405"/>
        <v>0</v>
      </c>
      <c r="M1206" s="1286">
        <f t="shared" si="405"/>
        <v>0</v>
      </c>
      <c r="N1206" s="141"/>
      <c r="R1206" s="282"/>
      <c r="S1206" s="282"/>
      <c r="T1206" s="282"/>
      <c r="U1206" s="282"/>
      <c r="V1206" s="282"/>
      <c r="W1206" s="282"/>
      <c r="X1206" s="282"/>
      <c r="Y1206" s="282"/>
      <c r="Z1206" s="282"/>
      <c r="AA1206" s="282"/>
    </row>
    <row r="1207" spans="1:27" outlineLevel="2">
      <c r="A1207" s="276">
        <f t="shared" si="402"/>
        <v>136</v>
      </c>
      <c r="B1207" s="724">
        <f>$B$136</f>
        <v>0</v>
      </c>
      <c r="C1207" s="564"/>
      <c r="D1207" s="282"/>
      <c r="G1207" s="1286">
        <f t="shared" si="405"/>
        <v>0</v>
      </c>
      <c r="H1207" s="1286">
        <f t="shared" si="405"/>
        <v>0</v>
      </c>
      <c r="I1207" s="1286">
        <f t="shared" si="405"/>
        <v>0</v>
      </c>
      <c r="J1207" s="1286">
        <f t="shared" si="405"/>
        <v>0</v>
      </c>
      <c r="K1207" s="1286">
        <f t="shared" si="405"/>
        <v>0</v>
      </c>
      <c r="L1207" s="1286">
        <f t="shared" si="405"/>
        <v>0</v>
      </c>
      <c r="M1207" s="1286">
        <f t="shared" si="405"/>
        <v>0</v>
      </c>
      <c r="N1207" s="141"/>
      <c r="R1207" s="282"/>
      <c r="S1207" s="282"/>
      <c r="T1207" s="282"/>
      <c r="U1207" s="282"/>
      <c r="V1207" s="282"/>
      <c r="W1207" s="282"/>
      <c r="X1207" s="282"/>
      <c r="Y1207" s="282"/>
      <c r="Z1207" s="282"/>
      <c r="AA1207" s="282"/>
    </row>
    <row r="1208" spans="1:27" outlineLevel="2">
      <c r="A1208" s="276">
        <f t="shared" si="402"/>
        <v>137</v>
      </c>
      <c r="B1208" s="724">
        <f>$B137</f>
        <v>0</v>
      </c>
      <c r="C1208" s="564"/>
      <c r="D1208" s="282"/>
      <c r="G1208" s="1286">
        <f t="shared" si="405"/>
        <v>0</v>
      </c>
      <c r="H1208" s="1286">
        <f t="shared" si="405"/>
        <v>0</v>
      </c>
      <c r="I1208" s="1286">
        <f t="shared" si="405"/>
        <v>0</v>
      </c>
      <c r="J1208" s="1286">
        <f t="shared" si="405"/>
        <v>0</v>
      </c>
      <c r="K1208" s="1286">
        <f t="shared" si="405"/>
        <v>0</v>
      </c>
      <c r="L1208" s="1286">
        <f t="shared" si="405"/>
        <v>0</v>
      </c>
      <c r="M1208" s="1286">
        <f t="shared" si="405"/>
        <v>0</v>
      </c>
      <c r="N1208" s="141"/>
      <c r="R1208" s="282"/>
      <c r="S1208" s="282"/>
      <c r="T1208" s="282"/>
      <c r="U1208" s="282"/>
      <c r="V1208" s="282"/>
      <c r="W1208" s="282"/>
      <c r="X1208" s="282"/>
      <c r="Y1208" s="282"/>
      <c r="Z1208" s="282"/>
      <c r="AA1208" s="282"/>
    </row>
    <row r="1209" spans="1:27" outlineLevel="2">
      <c r="A1209" s="276">
        <f t="shared" si="402"/>
        <v>138</v>
      </c>
      <c r="B1209" s="724">
        <f>$B138</f>
        <v>0</v>
      </c>
      <c r="C1209" s="564"/>
      <c r="D1209" s="282"/>
      <c r="G1209" s="1286">
        <f t="shared" si="405"/>
        <v>0</v>
      </c>
      <c r="H1209" s="1286">
        <f t="shared" si="405"/>
        <v>0</v>
      </c>
      <c r="I1209" s="1286">
        <f t="shared" si="405"/>
        <v>0</v>
      </c>
      <c r="J1209" s="1286">
        <f t="shared" si="405"/>
        <v>0</v>
      </c>
      <c r="K1209" s="1286">
        <f t="shared" si="405"/>
        <v>0</v>
      </c>
      <c r="L1209" s="1286">
        <f t="shared" si="405"/>
        <v>0</v>
      </c>
      <c r="M1209" s="1286">
        <f t="shared" si="405"/>
        <v>0</v>
      </c>
      <c r="N1209" s="141"/>
      <c r="R1209" s="282"/>
      <c r="S1209" s="282"/>
      <c r="T1209" s="282"/>
      <c r="U1209" s="282"/>
      <c r="V1209" s="282"/>
      <c r="W1209" s="282"/>
      <c r="X1209" s="282"/>
      <c r="Y1209" s="282"/>
      <c r="Z1209" s="282"/>
      <c r="AA1209" s="282"/>
    </row>
    <row r="1210" spans="1:27" outlineLevel="2">
      <c r="A1210" s="276">
        <f t="shared" si="402"/>
        <v>139</v>
      </c>
      <c r="B1210" s="724">
        <f>$B139</f>
        <v>0</v>
      </c>
      <c r="C1210" s="564"/>
      <c r="D1210" s="282"/>
      <c r="G1210" s="1286">
        <f t="shared" si="405"/>
        <v>0</v>
      </c>
      <c r="H1210" s="1286">
        <f t="shared" si="405"/>
        <v>0</v>
      </c>
      <c r="I1210" s="1286">
        <f t="shared" si="405"/>
        <v>0</v>
      </c>
      <c r="J1210" s="1286">
        <f t="shared" si="405"/>
        <v>0</v>
      </c>
      <c r="K1210" s="1286">
        <f t="shared" si="405"/>
        <v>0</v>
      </c>
      <c r="L1210" s="1286">
        <f t="shared" si="405"/>
        <v>0</v>
      </c>
      <c r="M1210" s="1286">
        <f t="shared" si="405"/>
        <v>0</v>
      </c>
      <c r="N1210" s="141"/>
      <c r="R1210" s="282"/>
      <c r="S1210" s="282"/>
      <c r="T1210" s="282"/>
      <c r="U1210" s="282"/>
      <c r="V1210" s="282"/>
      <c r="W1210" s="282"/>
      <c r="X1210" s="282"/>
      <c r="Y1210" s="282"/>
      <c r="Z1210" s="282"/>
      <c r="AA1210" s="282"/>
    </row>
    <row r="1211" spans="1:27" outlineLevel="2">
      <c r="A1211" s="276">
        <f t="shared" si="402"/>
        <v>140</v>
      </c>
      <c r="B1211" s="708" t="str">
        <f>$B140</f>
        <v xml:space="preserve">Total Special EducationTeachers </v>
      </c>
      <c r="C1211" s="706"/>
      <c r="D1211" s="723"/>
      <c r="E1211" s="517"/>
      <c r="F1211" s="517"/>
      <c r="G1211" s="1292">
        <f>SUM(G1202:G1210)</f>
        <v>0</v>
      </c>
      <c r="H1211" s="1292">
        <f t="shared" ref="H1211:M1211" si="406">SUM(H1202:H1210)</f>
        <v>936</v>
      </c>
      <c r="I1211" s="1292">
        <f t="shared" si="406"/>
        <v>1872</v>
      </c>
      <c r="J1211" s="1292">
        <f t="shared" si="406"/>
        <v>1872</v>
      </c>
      <c r="K1211" s="1292">
        <f t="shared" si="406"/>
        <v>2808</v>
      </c>
      <c r="L1211" s="1292">
        <f t="shared" si="406"/>
        <v>2808</v>
      </c>
      <c r="M1211" s="1292">
        <f t="shared" si="406"/>
        <v>3744</v>
      </c>
      <c r="N1211" s="141"/>
      <c r="R1211" s="282"/>
      <c r="S1211" s="282"/>
      <c r="T1211" s="282"/>
      <c r="U1211" s="282"/>
      <c r="V1211" s="282"/>
      <c r="W1211" s="282"/>
      <c r="X1211" s="282"/>
      <c r="Y1211" s="282"/>
      <c r="Z1211" s="282"/>
      <c r="AA1211" s="282"/>
    </row>
    <row r="1212" spans="1:27" outlineLevel="2">
      <c r="A1212" s="276">
        <f t="shared" si="402"/>
        <v>141</v>
      </c>
      <c r="B1212" s="724"/>
      <c r="C1212" s="564"/>
      <c r="D1212" s="282"/>
      <c r="G1212" s="1286"/>
      <c r="H1212" s="1286"/>
      <c r="I1212" s="1286"/>
      <c r="J1212" s="1286"/>
      <c r="K1212" s="1286"/>
      <c r="L1212" s="1286"/>
      <c r="M1212" s="1286"/>
      <c r="N1212" s="141"/>
      <c r="R1212" s="282"/>
      <c r="S1212" s="282"/>
      <c r="T1212" s="282"/>
      <c r="U1212" s="282"/>
      <c r="V1212" s="282"/>
      <c r="W1212" s="282"/>
      <c r="X1212" s="282"/>
      <c r="Y1212" s="282"/>
      <c r="Z1212" s="282"/>
      <c r="AA1212" s="282"/>
    </row>
    <row r="1213" spans="1:27" outlineLevel="2">
      <c r="A1213" s="276">
        <f t="shared" si="402"/>
        <v>142</v>
      </c>
      <c r="B1213" s="1392" t="str">
        <f>$B142</f>
        <v>English Language Learner (ELL) Teachers</v>
      </c>
      <c r="C1213" s="742"/>
      <c r="D1213" s="727"/>
      <c r="E1213" s="1285"/>
      <c r="F1213" s="1285"/>
      <c r="G1213" s="1393"/>
      <c r="H1213" s="1393"/>
      <c r="I1213" s="1393"/>
      <c r="J1213" s="1393"/>
      <c r="K1213" s="1393"/>
      <c r="L1213" s="1393"/>
      <c r="M1213" s="1393"/>
      <c r="N1213" s="141"/>
      <c r="R1213" s="282"/>
      <c r="S1213" s="282"/>
      <c r="T1213" s="282"/>
      <c r="U1213" s="282"/>
      <c r="V1213" s="282"/>
      <c r="W1213" s="282"/>
      <c r="X1213" s="282"/>
      <c r="Y1213" s="282"/>
      <c r="Z1213" s="282"/>
      <c r="AA1213" s="282"/>
    </row>
    <row r="1214" spans="1:27" outlineLevel="2">
      <c r="A1214" s="276">
        <f t="shared" si="402"/>
        <v>143</v>
      </c>
      <c r="B1214" s="724" t="str">
        <f>$B143</f>
        <v xml:space="preserve">EL Coordinator </v>
      </c>
      <c r="C1214" s="564"/>
      <c r="D1214" s="282"/>
      <c r="G1214" s="1286">
        <f>G143*$C$94</f>
        <v>0</v>
      </c>
      <c r="H1214" s="1286">
        <f t="shared" ref="H1214:M1214" si="407">H143*$C$94</f>
        <v>936</v>
      </c>
      <c r="I1214" s="1286">
        <f t="shared" si="407"/>
        <v>936</v>
      </c>
      <c r="J1214" s="1286">
        <f t="shared" si="407"/>
        <v>936</v>
      </c>
      <c r="K1214" s="1286">
        <f t="shared" si="407"/>
        <v>936</v>
      </c>
      <c r="L1214" s="1286">
        <f t="shared" si="407"/>
        <v>936</v>
      </c>
      <c r="M1214" s="1286">
        <f t="shared" si="407"/>
        <v>936</v>
      </c>
      <c r="N1214" s="141"/>
      <c r="R1214" s="282"/>
      <c r="S1214" s="282"/>
      <c r="T1214" s="282"/>
      <c r="U1214" s="282"/>
      <c r="V1214" s="282"/>
      <c r="W1214" s="282"/>
      <c r="X1214" s="282"/>
      <c r="Y1214" s="282"/>
      <c r="Z1214" s="282"/>
      <c r="AA1214" s="282"/>
    </row>
    <row r="1215" spans="1:27" outlineLevel="2">
      <c r="A1215" s="276">
        <f t="shared" si="402"/>
        <v>144</v>
      </c>
      <c r="B1215" s="724" t="str">
        <f>$B144</f>
        <v>ELL Teacher</v>
      </c>
      <c r="C1215" s="564"/>
      <c r="D1215" s="282"/>
      <c r="G1215" s="1286">
        <f t="shared" ref="G1215:M1215" si="408">G144*$C$94</f>
        <v>0</v>
      </c>
      <c r="H1215" s="1286">
        <f t="shared" si="408"/>
        <v>0</v>
      </c>
      <c r="I1215" s="1286">
        <f t="shared" si="408"/>
        <v>0</v>
      </c>
      <c r="J1215" s="1286">
        <f t="shared" si="408"/>
        <v>936</v>
      </c>
      <c r="K1215" s="1286">
        <f t="shared" si="408"/>
        <v>936</v>
      </c>
      <c r="L1215" s="1286">
        <f t="shared" si="408"/>
        <v>936</v>
      </c>
      <c r="M1215" s="1286">
        <f t="shared" si="408"/>
        <v>936</v>
      </c>
      <c r="N1215" s="141"/>
      <c r="R1215" s="282"/>
      <c r="S1215" s="282"/>
      <c r="T1215" s="282"/>
      <c r="U1215" s="282"/>
      <c r="V1215" s="282"/>
      <c r="W1215" s="282"/>
      <c r="X1215" s="282"/>
      <c r="Y1215" s="282"/>
      <c r="Z1215" s="282"/>
      <c r="AA1215" s="282"/>
    </row>
    <row r="1216" spans="1:27" outlineLevel="2">
      <c r="A1216" s="276">
        <f t="shared" si="402"/>
        <v>145</v>
      </c>
      <c r="B1216" s="724" t="str">
        <f>$B145</f>
        <v>ELL Teacher</v>
      </c>
      <c r="C1216" s="564"/>
      <c r="D1216" s="282"/>
      <c r="G1216" s="1286">
        <f t="shared" ref="G1216:M1216" si="409">G145*$C$94</f>
        <v>0</v>
      </c>
      <c r="H1216" s="1286">
        <f t="shared" si="409"/>
        <v>0</v>
      </c>
      <c r="I1216" s="1286">
        <f t="shared" si="409"/>
        <v>0</v>
      </c>
      <c r="J1216" s="1286">
        <f t="shared" si="409"/>
        <v>0</v>
      </c>
      <c r="K1216" s="1286">
        <f t="shared" si="409"/>
        <v>0</v>
      </c>
      <c r="L1216" s="1286">
        <f t="shared" si="409"/>
        <v>936</v>
      </c>
      <c r="M1216" s="1286">
        <f t="shared" si="409"/>
        <v>936</v>
      </c>
      <c r="N1216" s="141"/>
      <c r="R1216" s="282"/>
      <c r="S1216" s="282"/>
      <c r="T1216" s="282"/>
      <c r="U1216" s="282"/>
      <c r="V1216" s="282"/>
      <c r="W1216" s="282"/>
      <c r="X1216" s="282"/>
      <c r="Y1216" s="282"/>
      <c r="Z1216" s="282"/>
      <c r="AA1216" s="282"/>
    </row>
    <row r="1217" spans="1:27" outlineLevel="2">
      <c r="A1217" s="276">
        <f t="shared" ref="A1217:A1223" si="410">ROW(A146)</f>
        <v>146</v>
      </c>
      <c r="B1217" s="724">
        <f t="shared" ref="B1217:B1241" si="411">$B146</f>
        <v>0</v>
      </c>
      <c r="C1217" s="564"/>
      <c r="D1217" s="282"/>
      <c r="G1217" s="1286">
        <f t="shared" ref="G1217:M1217" si="412">G146*$C$94</f>
        <v>0</v>
      </c>
      <c r="H1217" s="1286">
        <f t="shared" si="412"/>
        <v>0</v>
      </c>
      <c r="I1217" s="1286">
        <f t="shared" si="412"/>
        <v>0</v>
      </c>
      <c r="J1217" s="1286">
        <f t="shared" si="412"/>
        <v>0</v>
      </c>
      <c r="K1217" s="1286">
        <f t="shared" si="412"/>
        <v>0</v>
      </c>
      <c r="L1217" s="1286">
        <f t="shared" si="412"/>
        <v>0</v>
      </c>
      <c r="M1217" s="1286">
        <f t="shared" si="412"/>
        <v>0</v>
      </c>
      <c r="N1217" s="141"/>
      <c r="R1217" s="282"/>
      <c r="S1217" s="282"/>
      <c r="T1217" s="282"/>
      <c r="U1217" s="282"/>
      <c r="V1217" s="282"/>
      <c r="W1217" s="282"/>
      <c r="X1217" s="282"/>
      <c r="Y1217" s="282"/>
      <c r="Z1217" s="282"/>
      <c r="AA1217" s="282"/>
    </row>
    <row r="1218" spans="1:27" outlineLevel="2">
      <c r="A1218" s="276">
        <f t="shared" si="410"/>
        <v>147</v>
      </c>
      <c r="B1218" s="724">
        <f t="shared" si="411"/>
        <v>0</v>
      </c>
      <c r="C1218" s="564"/>
      <c r="D1218" s="282"/>
      <c r="G1218" s="1286">
        <f t="shared" ref="G1218:M1218" si="413">G147*$C$94</f>
        <v>0</v>
      </c>
      <c r="H1218" s="1286">
        <f t="shared" si="413"/>
        <v>0</v>
      </c>
      <c r="I1218" s="1286">
        <f t="shared" si="413"/>
        <v>0</v>
      </c>
      <c r="J1218" s="1286">
        <f t="shared" si="413"/>
        <v>0</v>
      </c>
      <c r="K1218" s="1286">
        <f t="shared" si="413"/>
        <v>0</v>
      </c>
      <c r="L1218" s="1286">
        <f t="shared" si="413"/>
        <v>0</v>
      </c>
      <c r="M1218" s="1286">
        <f t="shared" si="413"/>
        <v>0</v>
      </c>
      <c r="N1218" s="141"/>
      <c r="R1218" s="282"/>
      <c r="S1218" s="282"/>
      <c r="T1218" s="282"/>
      <c r="U1218" s="282"/>
      <c r="V1218" s="282"/>
      <c r="W1218" s="282"/>
      <c r="X1218" s="282"/>
      <c r="Y1218" s="282"/>
      <c r="Z1218" s="282"/>
      <c r="AA1218" s="282"/>
    </row>
    <row r="1219" spans="1:27" outlineLevel="2">
      <c r="A1219" s="276">
        <f t="shared" si="410"/>
        <v>148</v>
      </c>
      <c r="B1219" s="724">
        <f t="shared" si="411"/>
        <v>0</v>
      </c>
      <c r="C1219" s="564"/>
      <c r="D1219" s="282"/>
      <c r="G1219" s="1286">
        <f t="shared" ref="G1219:M1219" si="414">G148*$C$94</f>
        <v>0</v>
      </c>
      <c r="H1219" s="1286">
        <f t="shared" si="414"/>
        <v>0</v>
      </c>
      <c r="I1219" s="1286">
        <f t="shared" si="414"/>
        <v>0</v>
      </c>
      <c r="J1219" s="1286">
        <f t="shared" si="414"/>
        <v>0</v>
      </c>
      <c r="K1219" s="1286">
        <f t="shared" si="414"/>
        <v>0</v>
      </c>
      <c r="L1219" s="1286">
        <f t="shared" si="414"/>
        <v>0</v>
      </c>
      <c r="M1219" s="1286">
        <f t="shared" si="414"/>
        <v>0</v>
      </c>
      <c r="N1219" s="141"/>
      <c r="R1219" s="282"/>
      <c r="S1219" s="282"/>
      <c r="T1219" s="282"/>
      <c r="U1219" s="282"/>
      <c r="V1219" s="282"/>
      <c r="W1219" s="282"/>
      <c r="X1219" s="282"/>
      <c r="Y1219" s="282"/>
      <c r="Z1219" s="282"/>
      <c r="AA1219" s="282"/>
    </row>
    <row r="1220" spans="1:27" outlineLevel="2">
      <c r="A1220" s="276">
        <f t="shared" si="410"/>
        <v>149</v>
      </c>
      <c r="B1220" s="724">
        <f t="shared" si="411"/>
        <v>0</v>
      </c>
      <c r="C1220" s="564"/>
      <c r="D1220" s="282"/>
      <c r="G1220" s="1286">
        <f t="shared" ref="G1220:M1220" si="415">G149*$C$94</f>
        <v>0</v>
      </c>
      <c r="H1220" s="1286">
        <f t="shared" si="415"/>
        <v>0</v>
      </c>
      <c r="I1220" s="1286">
        <f t="shared" si="415"/>
        <v>0</v>
      </c>
      <c r="J1220" s="1286">
        <f t="shared" si="415"/>
        <v>0</v>
      </c>
      <c r="K1220" s="1286">
        <f t="shared" si="415"/>
        <v>0</v>
      </c>
      <c r="L1220" s="1286">
        <f t="shared" si="415"/>
        <v>0</v>
      </c>
      <c r="M1220" s="1286">
        <f t="shared" si="415"/>
        <v>0</v>
      </c>
      <c r="N1220" s="141"/>
      <c r="R1220" s="282"/>
      <c r="S1220" s="282"/>
      <c r="T1220" s="282"/>
      <c r="U1220" s="282"/>
      <c r="V1220" s="282"/>
      <c r="W1220" s="282"/>
      <c r="X1220" s="282"/>
      <c r="Y1220" s="282"/>
      <c r="Z1220" s="282"/>
      <c r="AA1220" s="282"/>
    </row>
    <row r="1221" spans="1:27" outlineLevel="2">
      <c r="A1221" s="276">
        <f t="shared" si="410"/>
        <v>150</v>
      </c>
      <c r="B1221" s="724">
        <f t="shared" si="411"/>
        <v>0</v>
      </c>
      <c r="C1221" s="564"/>
      <c r="D1221" s="282"/>
      <c r="G1221" s="1286">
        <f t="shared" ref="G1221:M1221" si="416">G150*$C$94</f>
        <v>0</v>
      </c>
      <c r="H1221" s="1286">
        <f t="shared" si="416"/>
        <v>0</v>
      </c>
      <c r="I1221" s="1286">
        <f t="shared" si="416"/>
        <v>0</v>
      </c>
      <c r="J1221" s="1286">
        <f t="shared" si="416"/>
        <v>0</v>
      </c>
      <c r="K1221" s="1286">
        <f t="shared" si="416"/>
        <v>0</v>
      </c>
      <c r="L1221" s="1286">
        <f t="shared" si="416"/>
        <v>0</v>
      </c>
      <c r="M1221" s="1286">
        <f t="shared" si="416"/>
        <v>0</v>
      </c>
      <c r="N1221" s="141"/>
      <c r="R1221" s="282"/>
      <c r="S1221" s="282"/>
      <c r="T1221" s="282"/>
      <c r="U1221" s="282"/>
      <c r="V1221" s="282"/>
      <c r="W1221" s="282"/>
      <c r="X1221" s="282"/>
      <c r="Y1221" s="282"/>
      <c r="Z1221" s="282"/>
      <c r="AA1221" s="282"/>
    </row>
    <row r="1222" spans="1:27" outlineLevel="2">
      <c r="A1222" s="276">
        <f t="shared" si="410"/>
        <v>151</v>
      </c>
      <c r="B1222" s="724">
        <f t="shared" si="411"/>
        <v>0</v>
      </c>
      <c r="C1222" s="564"/>
      <c r="D1222" s="282"/>
      <c r="G1222" s="1286">
        <f t="shared" ref="G1222:M1222" si="417">G151*$C$94</f>
        <v>0</v>
      </c>
      <c r="H1222" s="1286">
        <f t="shared" si="417"/>
        <v>0</v>
      </c>
      <c r="I1222" s="1286">
        <f t="shared" si="417"/>
        <v>0</v>
      </c>
      <c r="J1222" s="1286">
        <f t="shared" si="417"/>
        <v>0</v>
      </c>
      <c r="K1222" s="1286">
        <f t="shared" si="417"/>
        <v>0</v>
      </c>
      <c r="L1222" s="1286">
        <f t="shared" si="417"/>
        <v>0</v>
      </c>
      <c r="M1222" s="1286">
        <f t="shared" si="417"/>
        <v>0</v>
      </c>
      <c r="N1222" s="141"/>
      <c r="R1222" s="282"/>
      <c r="S1222" s="282"/>
      <c r="T1222" s="282"/>
      <c r="U1222" s="282"/>
      <c r="V1222" s="282"/>
      <c r="W1222" s="282"/>
      <c r="X1222" s="282"/>
      <c r="Y1222" s="282"/>
      <c r="Z1222" s="282"/>
      <c r="AA1222" s="282"/>
    </row>
    <row r="1223" spans="1:27" outlineLevel="2">
      <c r="A1223" s="276">
        <f t="shared" si="410"/>
        <v>152</v>
      </c>
      <c r="B1223" s="708" t="str">
        <f t="shared" si="411"/>
        <v>Total ELL Teachers</v>
      </c>
      <c r="C1223" s="706"/>
      <c r="D1223" s="723"/>
      <c r="E1223" s="517"/>
      <c r="F1223" s="517"/>
      <c r="G1223" s="1292">
        <f>SUM(G1214:G1222)</f>
        <v>0</v>
      </c>
      <c r="H1223" s="1292">
        <f t="shared" ref="H1223:M1223" si="418">SUM(H1214:H1222)</f>
        <v>936</v>
      </c>
      <c r="I1223" s="1292">
        <f t="shared" si="418"/>
        <v>936</v>
      </c>
      <c r="J1223" s="1292">
        <f t="shared" si="418"/>
        <v>1872</v>
      </c>
      <c r="K1223" s="1292">
        <f t="shared" si="418"/>
        <v>1872</v>
      </c>
      <c r="L1223" s="1292">
        <f t="shared" si="418"/>
        <v>2808</v>
      </c>
      <c r="M1223" s="1292">
        <f t="shared" si="418"/>
        <v>2808</v>
      </c>
      <c r="N1223" s="141"/>
      <c r="R1223" s="282"/>
      <c r="S1223" s="282"/>
      <c r="T1223" s="282"/>
      <c r="U1223" s="282"/>
      <c r="V1223" s="282"/>
      <c r="W1223" s="282"/>
      <c r="X1223" s="282"/>
      <c r="Y1223" s="282"/>
      <c r="Z1223" s="282"/>
      <c r="AA1223" s="282"/>
    </row>
    <row r="1224" spans="1:27" outlineLevel="2">
      <c r="A1224" s="276">
        <f>ROW(A147)</f>
        <v>147</v>
      </c>
      <c r="B1224" s="740"/>
      <c r="C1224" s="564"/>
      <c r="D1224" s="282"/>
      <c r="E1224" s="385"/>
      <c r="F1224" s="385"/>
      <c r="G1224" s="1286"/>
      <c r="H1224" s="1286"/>
      <c r="I1224" s="1286"/>
      <c r="J1224" s="1286"/>
      <c r="K1224" s="1286"/>
      <c r="L1224" s="1286"/>
      <c r="M1224" s="1286"/>
      <c r="N1224" s="141"/>
      <c r="R1224" s="282"/>
      <c r="S1224" s="282"/>
      <c r="T1224" s="282"/>
      <c r="U1224" s="282"/>
      <c r="V1224" s="282"/>
      <c r="W1224" s="282"/>
      <c r="X1224" s="282"/>
      <c r="Y1224" s="282"/>
      <c r="Z1224" s="282"/>
      <c r="AA1224" s="282"/>
    </row>
    <row r="1225" spans="1:27" outlineLevel="2">
      <c r="A1225" s="276">
        <f>ROW(A148)</f>
        <v>148</v>
      </c>
      <c r="B1225" s="740" t="str">
        <f t="shared" si="411"/>
        <v>Guidance Counselor &amp; Other</v>
      </c>
      <c r="C1225" s="564"/>
      <c r="D1225" s="282"/>
      <c r="G1225" s="1286"/>
      <c r="H1225" s="1286"/>
      <c r="I1225" s="1286"/>
      <c r="J1225" s="1286"/>
      <c r="K1225" s="1286"/>
      <c r="L1225" s="1286"/>
      <c r="M1225" s="1286"/>
      <c r="N1225" s="141"/>
      <c r="R1225" s="282"/>
      <c r="S1225" s="282"/>
      <c r="T1225" s="282"/>
      <c r="U1225" s="282"/>
      <c r="V1225" s="282"/>
      <c r="W1225" s="282"/>
      <c r="X1225" s="282"/>
      <c r="Y1225" s="282"/>
      <c r="Z1225" s="282"/>
      <c r="AA1225" s="282"/>
    </row>
    <row r="1226" spans="1:27" outlineLevel="2">
      <c r="A1226" s="276">
        <f t="shared" ref="A1226:A1233" si="419">ROW(A152)</f>
        <v>152</v>
      </c>
      <c r="B1226" s="739" t="str">
        <f t="shared" si="411"/>
        <v>Counselor</v>
      </c>
      <c r="C1226" s="707"/>
      <c r="D1226" s="545"/>
      <c r="E1226" s="517"/>
      <c r="F1226" s="517"/>
      <c r="G1226" s="1287">
        <f t="shared" ref="G1226:M1226" si="420">G155*$C$94</f>
        <v>0</v>
      </c>
      <c r="H1226" s="1287">
        <f t="shared" si="420"/>
        <v>0</v>
      </c>
      <c r="I1226" s="1287">
        <f t="shared" si="420"/>
        <v>936</v>
      </c>
      <c r="J1226" s="1287">
        <f t="shared" si="420"/>
        <v>936</v>
      </c>
      <c r="K1226" s="1287">
        <f t="shared" si="420"/>
        <v>936</v>
      </c>
      <c r="L1226" s="1287">
        <f t="shared" si="420"/>
        <v>936</v>
      </c>
      <c r="M1226" s="1287">
        <f t="shared" si="420"/>
        <v>936</v>
      </c>
      <c r="N1226" s="141"/>
      <c r="R1226" s="282"/>
      <c r="S1226" s="282"/>
      <c r="T1226" s="282"/>
      <c r="U1226" s="282"/>
      <c r="V1226" s="282"/>
      <c r="W1226" s="282"/>
      <c r="X1226" s="282"/>
      <c r="Y1226" s="282"/>
      <c r="Z1226" s="282"/>
      <c r="AA1226" s="282"/>
    </row>
    <row r="1227" spans="1:27" outlineLevel="2">
      <c r="A1227" s="276">
        <f t="shared" si="419"/>
        <v>153</v>
      </c>
      <c r="B1227" s="724" t="str">
        <f t="shared" si="411"/>
        <v>Counselor</v>
      </c>
      <c r="C1227" s="564"/>
      <c r="D1227" s="282"/>
      <c r="G1227" s="1286">
        <f t="shared" ref="G1227:M1227" si="421">G156*$C$94</f>
        <v>0</v>
      </c>
      <c r="H1227" s="1286">
        <f t="shared" si="421"/>
        <v>0</v>
      </c>
      <c r="I1227" s="1286">
        <f t="shared" si="421"/>
        <v>0</v>
      </c>
      <c r="J1227" s="1286">
        <f t="shared" si="421"/>
        <v>936</v>
      </c>
      <c r="K1227" s="1286">
        <f t="shared" si="421"/>
        <v>936</v>
      </c>
      <c r="L1227" s="1286">
        <f t="shared" si="421"/>
        <v>936</v>
      </c>
      <c r="M1227" s="1286">
        <f t="shared" si="421"/>
        <v>936</v>
      </c>
      <c r="N1227" s="141"/>
      <c r="R1227" s="282"/>
      <c r="S1227" s="282"/>
      <c r="T1227" s="282"/>
      <c r="U1227" s="282"/>
      <c r="V1227" s="282"/>
      <c r="W1227" s="282"/>
      <c r="X1227" s="282"/>
      <c r="Y1227" s="282"/>
      <c r="Z1227" s="282"/>
      <c r="AA1227" s="282"/>
    </row>
    <row r="1228" spans="1:27" outlineLevel="2">
      <c r="A1228" s="276">
        <f t="shared" si="419"/>
        <v>154</v>
      </c>
      <c r="B1228" s="724" t="str">
        <f t="shared" si="411"/>
        <v xml:space="preserve">Janitor / Maintenance </v>
      </c>
      <c r="C1228" s="563"/>
      <c r="D1228" s="421"/>
      <c r="E1228" s="282"/>
      <c r="F1228" s="282"/>
      <c r="G1228" s="1286">
        <f t="shared" ref="G1228:M1228" si="422">G157*$C$94</f>
        <v>0</v>
      </c>
      <c r="H1228" s="1286">
        <f t="shared" si="422"/>
        <v>936</v>
      </c>
      <c r="I1228" s="1286">
        <f t="shared" si="422"/>
        <v>936</v>
      </c>
      <c r="J1228" s="1286">
        <f t="shared" si="422"/>
        <v>936</v>
      </c>
      <c r="K1228" s="1286">
        <f t="shared" si="422"/>
        <v>936</v>
      </c>
      <c r="L1228" s="1286">
        <f t="shared" si="422"/>
        <v>936</v>
      </c>
      <c r="M1228" s="1286">
        <f t="shared" si="422"/>
        <v>936</v>
      </c>
      <c r="N1228" s="141"/>
      <c r="R1228" s="282"/>
      <c r="S1228" s="282"/>
      <c r="T1228" s="282"/>
      <c r="U1228" s="282"/>
      <c r="V1228" s="282"/>
      <c r="W1228" s="282"/>
      <c r="X1228" s="282"/>
      <c r="Y1228" s="282"/>
      <c r="Z1228" s="282"/>
      <c r="AA1228" s="282"/>
    </row>
    <row r="1229" spans="1:27" s="282" customFormat="1" outlineLevel="2">
      <c r="A1229" s="276">
        <f t="shared" si="419"/>
        <v>155</v>
      </c>
      <c r="B1229" s="724" t="str">
        <f t="shared" si="411"/>
        <v xml:space="preserve">Janitor / Maintenance </v>
      </c>
      <c r="C1229" s="563"/>
      <c r="D1229" s="421"/>
      <c r="G1229" s="1286">
        <f t="shared" ref="G1229:M1229" si="423">G158*$C$94</f>
        <v>0</v>
      </c>
      <c r="H1229" s="1286">
        <f t="shared" si="423"/>
        <v>0</v>
      </c>
      <c r="I1229" s="1286">
        <f t="shared" si="423"/>
        <v>0</v>
      </c>
      <c r="J1229" s="1286">
        <f t="shared" si="423"/>
        <v>936</v>
      </c>
      <c r="K1229" s="1286">
        <f t="shared" si="423"/>
        <v>936</v>
      </c>
      <c r="L1229" s="1286">
        <f t="shared" si="423"/>
        <v>936</v>
      </c>
      <c r="M1229" s="1286">
        <f t="shared" si="423"/>
        <v>936</v>
      </c>
      <c r="N1229" s="168"/>
    </row>
    <row r="1230" spans="1:27" s="282" customFormat="1" outlineLevel="2">
      <c r="A1230" s="276">
        <f t="shared" si="419"/>
        <v>156</v>
      </c>
      <c r="B1230" s="724">
        <f t="shared" si="411"/>
        <v>0</v>
      </c>
      <c r="C1230" s="563"/>
      <c r="D1230" s="421"/>
      <c r="G1230" s="1286">
        <f t="shared" ref="G1230:M1230" si="424">G159*$C$94</f>
        <v>0</v>
      </c>
      <c r="H1230" s="1286">
        <f t="shared" si="424"/>
        <v>0</v>
      </c>
      <c r="I1230" s="1286">
        <f t="shared" si="424"/>
        <v>0</v>
      </c>
      <c r="J1230" s="1286">
        <f t="shared" si="424"/>
        <v>0</v>
      </c>
      <c r="K1230" s="1286">
        <f t="shared" si="424"/>
        <v>0</v>
      </c>
      <c r="L1230" s="1286">
        <f t="shared" si="424"/>
        <v>0</v>
      </c>
      <c r="M1230" s="1286">
        <f t="shared" si="424"/>
        <v>0</v>
      </c>
      <c r="N1230" s="168"/>
    </row>
    <row r="1231" spans="1:27" s="282" customFormat="1" outlineLevel="2">
      <c r="A1231" s="276">
        <f t="shared" si="419"/>
        <v>157</v>
      </c>
      <c r="B1231" s="724" t="str">
        <f t="shared" si="411"/>
        <v>Plan Manager</v>
      </c>
      <c r="C1231" s="563"/>
      <c r="D1231" s="421"/>
      <c r="G1231" s="1286">
        <f t="shared" ref="G1231:M1231" si="425">G160*$C$94</f>
        <v>0</v>
      </c>
      <c r="H1231" s="1286">
        <f t="shared" si="425"/>
        <v>0</v>
      </c>
      <c r="I1231" s="1286">
        <f t="shared" si="425"/>
        <v>0</v>
      </c>
      <c r="J1231" s="1286">
        <f t="shared" si="425"/>
        <v>0</v>
      </c>
      <c r="K1231" s="1286">
        <f t="shared" si="425"/>
        <v>0</v>
      </c>
      <c r="L1231" s="1286">
        <f t="shared" si="425"/>
        <v>0</v>
      </c>
      <c r="M1231" s="1286">
        <f t="shared" si="425"/>
        <v>936</v>
      </c>
      <c r="N1231" s="168"/>
    </row>
    <row r="1232" spans="1:27" s="282" customFormat="1" outlineLevel="2">
      <c r="A1232" s="276">
        <f t="shared" si="419"/>
        <v>158</v>
      </c>
      <c r="B1232" s="724" t="str">
        <f t="shared" si="411"/>
        <v>IT Support Technician</v>
      </c>
      <c r="C1232" s="563"/>
      <c r="D1232" s="421"/>
      <c r="G1232" s="1286">
        <f t="shared" ref="G1232:M1232" si="426">G161*$C$94</f>
        <v>0</v>
      </c>
      <c r="H1232" s="1286">
        <f t="shared" si="426"/>
        <v>936</v>
      </c>
      <c r="I1232" s="1286">
        <f t="shared" si="426"/>
        <v>936</v>
      </c>
      <c r="J1232" s="1286">
        <f t="shared" si="426"/>
        <v>936</v>
      </c>
      <c r="K1232" s="1286">
        <f t="shared" si="426"/>
        <v>936</v>
      </c>
      <c r="L1232" s="1286">
        <f t="shared" si="426"/>
        <v>936</v>
      </c>
      <c r="M1232" s="1286">
        <f t="shared" si="426"/>
        <v>936</v>
      </c>
      <c r="N1232" s="168"/>
    </row>
    <row r="1233" spans="1:14" s="282" customFormat="1" outlineLevel="2">
      <c r="A1233" s="276">
        <f t="shared" si="419"/>
        <v>159</v>
      </c>
      <c r="B1233" s="724" t="str">
        <f t="shared" si="411"/>
        <v>IT Support Technician</v>
      </c>
      <c r="C1233" s="563"/>
      <c r="D1233" s="421"/>
      <c r="G1233" s="1286">
        <f t="shared" ref="G1233:M1233" si="427">G162*$C$94</f>
        <v>0</v>
      </c>
      <c r="H1233" s="1286">
        <f t="shared" si="427"/>
        <v>0</v>
      </c>
      <c r="I1233" s="1286">
        <f t="shared" si="427"/>
        <v>0</v>
      </c>
      <c r="J1233" s="1286">
        <f t="shared" si="427"/>
        <v>936</v>
      </c>
      <c r="K1233" s="1286">
        <f t="shared" si="427"/>
        <v>936</v>
      </c>
      <c r="L1233" s="1286">
        <f t="shared" si="427"/>
        <v>936</v>
      </c>
      <c r="M1233" s="1286">
        <f t="shared" si="427"/>
        <v>936</v>
      </c>
      <c r="N1233" s="168"/>
    </row>
    <row r="1234" spans="1:14" s="282" customFormat="1" outlineLevel="2">
      <c r="A1234" s="276">
        <f t="shared" ref="A1234:A1235" si="428">ROW(A160)</f>
        <v>160</v>
      </c>
      <c r="B1234" s="724" t="str">
        <f t="shared" si="411"/>
        <v>Parent Coordinator</v>
      </c>
      <c r="C1234" s="563"/>
      <c r="D1234" s="421"/>
      <c r="G1234" s="1286">
        <f t="shared" ref="G1234:M1234" si="429">G163*$C$94</f>
        <v>0</v>
      </c>
      <c r="H1234" s="1286">
        <f t="shared" si="429"/>
        <v>0</v>
      </c>
      <c r="I1234" s="1286">
        <f t="shared" si="429"/>
        <v>936</v>
      </c>
      <c r="J1234" s="1286">
        <f t="shared" si="429"/>
        <v>936</v>
      </c>
      <c r="K1234" s="1286">
        <f t="shared" si="429"/>
        <v>936</v>
      </c>
      <c r="L1234" s="1286">
        <f t="shared" si="429"/>
        <v>936</v>
      </c>
      <c r="M1234" s="1286">
        <f t="shared" si="429"/>
        <v>936</v>
      </c>
      <c r="N1234" s="168"/>
    </row>
    <row r="1235" spans="1:14" s="282" customFormat="1" outlineLevel="2">
      <c r="A1235" s="276">
        <f t="shared" si="428"/>
        <v>161</v>
      </c>
      <c r="B1235" s="708" t="str">
        <f t="shared" si="411"/>
        <v>Total Guidance Counselors/Other</v>
      </c>
      <c r="C1235" s="707"/>
      <c r="D1235" s="546"/>
      <c r="E1235" s="723"/>
      <c r="F1235" s="723"/>
      <c r="G1235" s="1292">
        <f t="shared" ref="G1235:M1235" si="430">SUM(G1226:G1234)</f>
        <v>0</v>
      </c>
      <c r="H1235" s="1292">
        <f t="shared" si="430"/>
        <v>1872</v>
      </c>
      <c r="I1235" s="1292">
        <f t="shared" si="430"/>
        <v>3744</v>
      </c>
      <c r="J1235" s="1292">
        <f t="shared" si="430"/>
        <v>6552</v>
      </c>
      <c r="K1235" s="1292">
        <f t="shared" si="430"/>
        <v>6552</v>
      </c>
      <c r="L1235" s="1292">
        <f t="shared" si="430"/>
        <v>6552</v>
      </c>
      <c r="M1235" s="1292">
        <f t="shared" si="430"/>
        <v>7488</v>
      </c>
      <c r="N1235" s="168"/>
    </row>
    <row r="1236" spans="1:14" s="282" customFormat="1" outlineLevel="2">
      <c r="A1236" s="276">
        <f>ROW(A160)</f>
        <v>160</v>
      </c>
      <c r="B1236" s="724"/>
      <c r="C1236" s="563"/>
      <c r="D1236" s="421"/>
      <c r="G1236" s="1286"/>
      <c r="H1236" s="1286"/>
      <c r="I1236" s="1286"/>
      <c r="J1236" s="1286"/>
      <c r="K1236" s="1286"/>
      <c r="L1236" s="1286"/>
      <c r="M1236" s="1286"/>
      <c r="N1236" s="168"/>
    </row>
    <row r="1237" spans="1:14" s="282" customFormat="1" outlineLevel="2">
      <c r="A1237" s="276">
        <f>ROW(A170)</f>
        <v>170</v>
      </c>
      <c r="B1237" s="545" t="str">
        <f t="shared" si="411"/>
        <v xml:space="preserve">Total Special Education/ELL Teachers/Guidance Counselors </v>
      </c>
      <c r="C1237" s="707"/>
      <c r="D1237" s="546"/>
      <c r="E1237" s="723"/>
      <c r="F1237" s="723"/>
      <c r="G1237" s="1292">
        <f>+G1235+G1223+G1211</f>
        <v>0</v>
      </c>
      <c r="H1237" s="1292">
        <f t="shared" ref="H1237:M1237" si="431">+H1235+H1223+H1211</f>
        <v>3744</v>
      </c>
      <c r="I1237" s="1292">
        <f t="shared" si="431"/>
        <v>6552</v>
      </c>
      <c r="J1237" s="1292">
        <f t="shared" si="431"/>
        <v>10296</v>
      </c>
      <c r="K1237" s="1292">
        <f t="shared" si="431"/>
        <v>11232</v>
      </c>
      <c r="L1237" s="1292">
        <f t="shared" si="431"/>
        <v>12168</v>
      </c>
      <c r="M1237" s="1292">
        <f t="shared" si="431"/>
        <v>14040</v>
      </c>
      <c r="N1237" s="168"/>
    </row>
    <row r="1238" spans="1:14" s="282" customFormat="1" outlineLevel="2">
      <c r="A1238" s="276">
        <f t="shared" ref="A1238:A1242" si="432">ROW(A171)</f>
        <v>171</v>
      </c>
      <c r="B1238" s="1394"/>
      <c r="C1238" s="1395"/>
      <c r="D1238" s="1396"/>
      <c r="E1238" s="1397"/>
      <c r="F1238" s="1397"/>
      <c r="G1238" s="1398"/>
      <c r="H1238" s="1398"/>
      <c r="I1238" s="1398"/>
      <c r="J1238" s="1398"/>
      <c r="K1238" s="1398"/>
      <c r="L1238" s="1398"/>
      <c r="M1238" s="1398"/>
      <c r="N1238" s="168"/>
    </row>
    <row r="1239" spans="1:14" s="282" customFormat="1" outlineLevel="2">
      <c r="A1239" s="276">
        <f t="shared" si="432"/>
        <v>172</v>
      </c>
      <c r="B1239" s="1392" t="str">
        <f t="shared" si="411"/>
        <v>Grade Level (Core) Teachers</v>
      </c>
      <c r="C1239" s="742"/>
      <c r="D1239" s="743"/>
      <c r="E1239" s="727"/>
      <c r="F1239" s="727"/>
      <c r="G1239" s="1393"/>
      <c r="H1239" s="1393"/>
      <c r="I1239" s="1393"/>
      <c r="J1239" s="1393"/>
      <c r="K1239" s="1393"/>
      <c r="L1239" s="1393"/>
      <c r="M1239" s="1393"/>
      <c r="N1239" s="168"/>
    </row>
    <row r="1240" spans="1:14" s="282" customFormat="1" outlineLevel="2">
      <c r="A1240" s="276">
        <f t="shared" si="432"/>
        <v>173</v>
      </c>
      <c r="B1240" s="724" t="str">
        <f t="shared" si="411"/>
        <v>Teacher</v>
      </c>
      <c r="C1240" s="563"/>
      <c r="D1240" s="421"/>
      <c r="G1240" s="1286"/>
      <c r="H1240" s="1286"/>
      <c r="I1240" s="1286"/>
      <c r="J1240" s="1286"/>
      <c r="K1240" s="1286"/>
      <c r="L1240" s="1286"/>
      <c r="M1240" s="1286"/>
      <c r="N1240" s="168"/>
    </row>
    <row r="1241" spans="1:14" s="282" customFormat="1" outlineLevel="2">
      <c r="A1241" s="276">
        <f t="shared" si="432"/>
        <v>174</v>
      </c>
      <c r="B1241" s="1391" t="str">
        <f t="shared" si="411"/>
        <v>Fall of School Year 1 =</v>
      </c>
      <c r="C1241" s="742"/>
      <c r="D1241" s="743"/>
      <c r="E1241" s="289"/>
      <c r="F1241" s="289"/>
      <c r="G1241" s="1291"/>
      <c r="H1241" s="1291"/>
      <c r="I1241" s="1291"/>
      <c r="J1241" s="1291"/>
      <c r="K1241" s="1291"/>
      <c r="L1241" s="1291"/>
      <c r="M1241" s="1291"/>
      <c r="N1241" s="168"/>
    </row>
    <row r="1242" spans="1:14" s="282" customFormat="1" outlineLevel="2">
      <c r="A1242" s="276">
        <f t="shared" si="432"/>
        <v>175</v>
      </c>
      <c r="B1242" s="724"/>
      <c r="C1242" s="563"/>
      <c r="D1242" s="421"/>
      <c r="G1242" s="1286"/>
      <c r="H1242" s="1286"/>
      <c r="I1242" s="1286"/>
      <c r="J1242" s="1286"/>
      <c r="K1242" s="1286"/>
      <c r="L1242" s="1286"/>
      <c r="M1242" s="1286"/>
      <c r="N1242" s="168"/>
    </row>
    <row r="1243" spans="1:14" s="282" customFormat="1" outlineLevel="2">
      <c r="A1243" s="276">
        <f t="shared" ref="A1243:A1270" si="433">ROW(A172)</f>
        <v>172</v>
      </c>
      <c r="B1243" s="724">
        <f>$B172</f>
        <v>0</v>
      </c>
      <c r="C1243" s="563"/>
      <c r="D1243" s="421"/>
      <c r="G1243" s="1286">
        <f t="shared" ref="G1243:M1245" si="434">G172*$C$94</f>
        <v>0</v>
      </c>
      <c r="H1243" s="1286">
        <f t="shared" si="434"/>
        <v>0</v>
      </c>
      <c r="I1243" s="1286">
        <f t="shared" si="434"/>
        <v>0</v>
      </c>
      <c r="J1243" s="1286">
        <f t="shared" si="434"/>
        <v>0</v>
      </c>
      <c r="K1243" s="1286">
        <f t="shared" si="434"/>
        <v>0</v>
      </c>
      <c r="L1243" s="1286">
        <f t="shared" si="434"/>
        <v>0</v>
      </c>
      <c r="M1243" s="1286">
        <f t="shared" si="434"/>
        <v>0</v>
      </c>
      <c r="N1243" s="168"/>
    </row>
    <row r="1244" spans="1:14" s="282" customFormat="1" outlineLevel="2">
      <c r="A1244" s="276">
        <f t="shared" si="433"/>
        <v>173</v>
      </c>
      <c r="B1244" s="724">
        <f>$B173</f>
        <v>0</v>
      </c>
      <c r="C1244" s="563"/>
      <c r="D1244" s="421"/>
      <c r="G1244" s="1286">
        <f t="shared" si="434"/>
        <v>0</v>
      </c>
      <c r="H1244" s="1286">
        <f t="shared" si="434"/>
        <v>0</v>
      </c>
      <c r="I1244" s="1286">
        <f t="shared" si="434"/>
        <v>0</v>
      </c>
      <c r="J1244" s="1286">
        <f t="shared" si="434"/>
        <v>0</v>
      </c>
      <c r="K1244" s="1286">
        <f t="shared" si="434"/>
        <v>0</v>
      </c>
      <c r="L1244" s="1286">
        <f t="shared" si="434"/>
        <v>0</v>
      </c>
      <c r="M1244" s="1286">
        <f t="shared" si="434"/>
        <v>0</v>
      </c>
      <c r="N1244" s="168"/>
    </row>
    <row r="1245" spans="1:14" s="282" customFormat="1" outlineLevel="2">
      <c r="A1245" s="276">
        <f t="shared" si="433"/>
        <v>174</v>
      </c>
      <c r="B1245" s="724">
        <f>$B174</f>
        <v>0</v>
      </c>
      <c r="C1245" s="563"/>
      <c r="D1245" s="421"/>
      <c r="G1245" s="1286">
        <f t="shared" si="434"/>
        <v>0</v>
      </c>
      <c r="H1245" s="1286">
        <f t="shared" si="434"/>
        <v>0</v>
      </c>
      <c r="I1245" s="1286">
        <f t="shared" si="434"/>
        <v>0</v>
      </c>
      <c r="J1245" s="1286">
        <f t="shared" si="434"/>
        <v>0</v>
      </c>
      <c r="K1245" s="1286">
        <f t="shared" si="434"/>
        <v>0</v>
      </c>
      <c r="L1245" s="1286">
        <f t="shared" si="434"/>
        <v>0</v>
      </c>
      <c r="M1245" s="1286">
        <f t="shared" si="434"/>
        <v>0</v>
      </c>
      <c r="N1245" s="168"/>
    </row>
    <row r="1246" spans="1:14" s="282" customFormat="1" outlineLevel="2">
      <c r="A1246" s="276">
        <f t="shared" si="433"/>
        <v>175</v>
      </c>
      <c r="B1246" s="724"/>
      <c r="C1246" s="563"/>
      <c r="D1246" s="421"/>
      <c r="G1246" s="1286"/>
      <c r="H1246" s="1286"/>
      <c r="I1246" s="1286"/>
      <c r="J1246" s="1286"/>
      <c r="K1246" s="1286"/>
      <c r="L1246" s="1286"/>
      <c r="M1246" s="1286"/>
      <c r="N1246" s="168"/>
    </row>
    <row r="1247" spans="1:14" s="282" customFormat="1" outlineLevel="2">
      <c r="A1247" s="276">
        <f t="shared" si="433"/>
        <v>176</v>
      </c>
      <c r="B1247" s="724" t="str">
        <f>$B176</f>
        <v>Kindergarten Teacher</v>
      </c>
      <c r="C1247" s="563"/>
      <c r="D1247" s="421"/>
      <c r="G1247" s="1286">
        <f t="shared" ref="G1247:M1251" si="435">G176*$C$94</f>
        <v>0</v>
      </c>
      <c r="H1247" s="1286">
        <f t="shared" si="435"/>
        <v>936</v>
      </c>
      <c r="I1247" s="1286">
        <f t="shared" si="435"/>
        <v>936</v>
      </c>
      <c r="J1247" s="1286">
        <f t="shared" si="435"/>
        <v>936</v>
      </c>
      <c r="K1247" s="1286">
        <f t="shared" si="435"/>
        <v>936</v>
      </c>
      <c r="L1247" s="1286">
        <f t="shared" si="435"/>
        <v>936</v>
      </c>
      <c r="M1247" s="1286">
        <f t="shared" si="435"/>
        <v>936</v>
      </c>
      <c r="N1247" s="168"/>
    </row>
    <row r="1248" spans="1:14" s="282" customFormat="1" outlineLevel="2">
      <c r="A1248" s="276">
        <f t="shared" si="433"/>
        <v>177</v>
      </c>
      <c r="B1248" s="724" t="str">
        <f>$B177</f>
        <v>Kindergarten Teacher</v>
      </c>
      <c r="C1248" s="563"/>
      <c r="D1248" s="421"/>
      <c r="G1248" s="1286">
        <f t="shared" si="435"/>
        <v>0</v>
      </c>
      <c r="H1248" s="1286">
        <f t="shared" si="435"/>
        <v>936</v>
      </c>
      <c r="I1248" s="1286">
        <f t="shared" si="435"/>
        <v>936</v>
      </c>
      <c r="J1248" s="1286">
        <f t="shared" si="435"/>
        <v>936</v>
      </c>
      <c r="K1248" s="1286">
        <f t="shared" si="435"/>
        <v>936</v>
      </c>
      <c r="L1248" s="1286">
        <f t="shared" si="435"/>
        <v>936</v>
      </c>
      <c r="M1248" s="1286">
        <f t="shared" si="435"/>
        <v>936</v>
      </c>
      <c r="N1248" s="168"/>
    </row>
    <row r="1249" spans="1:27" s="282" customFormat="1" outlineLevel="2">
      <c r="A1249" s="276">
        <f t="shared" si="433"/>
        <v>178</v>
      </c>
      <c r="B1249" s="724" t="str">
        <f>$B178</f>
        <v>Kindergarten Teacher</v>
      </c>
      <c r="C1249" s="563"/>
      <c r="D1249" s="421"/>
      <c r="G1249" s="1286">
        <f t="shared" si="435"/>
        <v>0</v>
      </c>
      <c r="H1249" s="1286">
        <f t="shared" si="435"/>
        <v>936</v>
      </c>
      <c r="I1249" s="1286">
        <f t="shared" si="435"/>
        <v>936</v>
      </c>
      <c r="J1249" s="1286">
        <f t="shared" si="435"/>
        <v>936</v>
      </c>
      <c r="K1249" s="1286">
        <f t="shared" si="435"/>
        <v>936</v>
      </c>
      <c r="L1249" s="1286">
        <f t="shared" si="435"/>
        <v>936</v>
      </c>
      <c r="M1249" s="1286">
        <f t="shared" si="435"/>
        <v>936</v>
      </c>
      <c r="N1249" s="168"/>
    </row>
    <row r="1250" spans="1:27" s="282" customFormat="1" outlineLevel="2">
      <c r="A1250" s="276">
        <f t="shared" si="433"/>
        <v>179</v>
      </c>
      <c r="B1250" s="724">
        <f>$B179</f>
        <v>0</v>
      </c>
      <c r="C1250" s="563"/>
      <c r="D1250" s="421"/>
      <c r="G1250" s="1286">
        <f t="shared" si="435"/>
        <v>0</v>
      </c>
      <c r="H1250" s="1286">
        <f t="shared" si="435"/>
        <v>0</v>
      </c>
      <c r="I1250" s="1286">
        <f t="shared" si="435"/>
        <v>0</v>
      </c>
      <c r="J1250" s="1286">
        <f t="shared" si="435"/>
        <v>0</v>
      </c>
      <c r="K1250" s="1286">
        <f t="shared" si="435"/>
        <v>0</v>
      </c>
      <c r="L1250" s="1286">
        <f t="shared" si="435"/>
        <v>0</v>
      </c>
      <c r="M1250" s="1286">
        <f t="shared" si="435"/>
        <v>0</v>
      </c>
      <c r="N1250" s="168"/>
    </row>
    <row r="1251" spans="1:27" outlineLevel="2">
      <c r="A1251" s="276">
        <f t="shared" si="433"/>
        <v>180</v>
      </c>
      <c r="B1251" s="724">
        <f>$B180</f>
        <v>0</v>
      </c>
      <c r="C1251" s="563"/>
      <c r="D1251" s="421"/>
      <c r="G1251" s="1286">
        <f t="shared" si="435"/>
        <v>0</v>
      </c>
      <c r="H1251" s="1286">
        <f t="shared" si="435"/>
        <v>0</v>
      </c>
      <c r="I1251" s="1286">
        <f t="shared" si="435"/>
        <v>0</v>
      </c>
      <c r="J1251" s="1286">
        <f t="shared" si="435"/>
        <v>0</v>
      </c>
      <c r="K1251" s="1286">
        <f t="shared" si="435"/>
        <v>0</v>
      </c>
      <c r="L1251" s="1286">
        <f t="shared" si="435"/>
        <v>0</v>
      </c>
      <c r="M1251" s="1286">
        <f t="shared" si="435"/>
        <v>0</v>
      </c>
      <c r="N1251" s="141"/>
      <c r="R1251" s="282"/>
      <c r="S1251" s="282"/>
      <c r="T1251" s="282"/>
      <c r="U1251" s="282"/>
      <c r="V1251" s="282"/>
      <c r="W1251" s="282"/>
      <c r="X1251" s="282"/>
      <c r="Y1251" s="282"/>
      <c r="Z1251" s="282"/>
      <c r="AA1251" s="282"/>
    </row>
    <row r="1252" spans="1:27" outlineLevel="2">
      <c r="A1252" s="276">
        <f t="shared" si="433"/>
        <v>181</v>
      </c>
      <c r="B1252" s="724"/>
      <c r="C1252" s="564"/>
      <c r="D1252" s="282"/>
      <c r="G1252" s="1286"/>
      <c r="H1252" s="1286"/>
      <c r="I1252" s="1286"/>
      <c r="J1252" s="1286"/>
      <c r="K1252" s="1286"/>
      <c r="L1252" s="1286"/>
      <c r="M1252" s="1286"/>
      <c r="N1252" s="141"/>
      <c r="R1252" s="282"/>
      <c r="S1252" s="282"/>
      <c r="T1252" s="282"/>
      <c r="U1252" s="282"/>
      <c r="V1252" s="282"/>
      <c r="W1252" s="282"/>
      <c r="X1252" s="282"/>
      <c r="Y1252" s="282"/>
      <c r="Z1252" s="282"/>
      <c r="AA1252" s="282"/>
    </row>
    <row r="1253" spans="1:27" s="282" customFormat="1" outlineLevel="2">
      <c r="A1253" s="276">
        <f t="shared" si="433"/>
        <v>182</v>
      </c>
      <c r="B1253" s="724" t="str">
        <f>$B182</f>
        <v>1st Grade Teacher</v>
      </c>
      <c r="C1253" s="563"/>
      <c r="D1253" s="421"/>
      <c r="G1253" s="1286">
        <f t="shared" ref="G1253:M1257" si="436">G182*$C$94</f>
        <v>0</v>
      </c>
      <c r="H1253" s="1286">
        <f t="shared" si="436"/>
        <v>936</v>
      </c>
      <c r="I1253" s="1286">
        <f t="shared" si="436"/>
        <v>936</v>
      </c>
      <c r="J1253" s="1286">
        <f t="shared" si="436"/>
        <v>936</v>
      </c>
      <c r="K1253" s="1286">
        <f t="shared" si="436"/>
        <v>936</v>
      </c>
      <c r="L1253" s="1286">
        <f t="shared" si="436"/>
        <v>936</v>
      </c>
      <c r="M1253" s="1286">
        <f t="shared" si="436"/>
        <v>936</v>
      </c>
      <c r="N1253" s="168"/>
    </row>
    <row r="1254" spans="1:27" s="282" customFormat="1" outlineLevel="2">
      <c r="A1254" s="276">
        <f t="shared" si="433"/>
        <v>183</v>
      </c>
      <c r="B1254" s="724" t="str">
        <f>$B183</f>
        <v>1st Grade Teacher</v>
      </c>
      <c r="C1254" s="563"/>
      <c r="D1254" s="421"/>
      <c r="G1254" s="1286">
        <f t="shared" si="436"/>
        <v>0</v>
      </c>
      <c r="H1254" s="1286">
        <f t="shared" si="436"/>
        <v>936</v>
      </c>
      <c r="I1254" s="1286">
        <f t="shared" si="436"/>
        <v>936</v>
      </c>
      <c r="J1254" s="1286">
        <f t="shared" si="436"/>
        <v>936</v>
      </c>
      <c r="K1254" s="1286">
        <f t="shared" si="436"/>
        <v>936</v>
      </c>
      <c r="L1254" s="1286">
        <f t="shared" si="436"/>
        <v>936</v>
      </c>
      <c r="M1254" s="1286">
        <f t="shared" si="436"/>
        <v>936</v>
      </c>
      <c r="N1254" s="168"/>
    </row>
    <row r="1255" spans="1:27" s="282" customFormat="1" outlineLevel="2">
      <c r="A1255" s="276">
        <f t="shared" si="433"/>
        <v>184</v>
      </c>
      <c r="B1255" s="724" t="str">
        <f>$B184</f>
        <v>1st Grade Teacher</v>
      </c>
      <c r="C1255" s="563"/>
      <c r="D1255" s="421"/>
      <c r="G1255" s="1286">
        <f t="shared" si="436"/>
        <v>0</v>
      </c>
      <c r="H1255" s="1286">
        <f t="shared" si="436"/>
        <v>0</v>
      </c>
      <c r="I1255" s="1286">
        <f t="shared" si="436"/>
        <v>936</v>
      </c>
      <c r="J1255" s="1286">
        <f t="shared" si="436"/>
        <v>936</v>
      </c>
      <c r="K1255" s="1286">
        <f t="shared" si="436"/>
        <v>936</v>
      </c>
      <c r="L1255" s="1286">
        <f t="shared" si="436"/>
        <v>936</v>
      </c>
      <c r="M1255" s="1286">
        <f t="shared" si="436"/>
        <v>936</v>
      </c>
      <c r="N1255" s="168"/>
    </row>
    <row r="1256" spans="1:27" s="282" customFormat="1" outlineLevel="2">
      <c r="A1256" s="276">
        <f t="shared" si="433"/>
        <v>185</v>
      </c>
      <c r="B1256" s="724">
        <f>$B185</f>
        <v>0</v>
      </c>
      <c r="C1256" s="563"/>
      <c r="D1256" s="421"/>
      <c r="G1256" s="1286">
        <f t="shared" si="436"/>
        <v>0</v>
      </c>
      <c r="H1256" s="1286">
        <f t="shared" si="436"/>
        <v>0</v>
      </c>
      <c r="I1256" s="1286">
        <f t="shared" si="436"/>
        <v>0</v>
      </c>
      <c r="J1256" s="1286">
        <f t="shared" si="436"/>
        <v>0</v>
      </c>
      <c r="K1256" s="1286">
        <f t="shared" si="436"/>
        <v>0</v>
      </c>
      <c r="L1256" s="1286">
        <f t="shared" si="436"/>
        <v>0</v>
      </c>
      <c r="M1256" s="1286">
        <f t="shared" si="436"/>
        <v>0</v>
      </c>
      <c r="N1256" s="168"/>
    </row>
    <row r="1257" spans="1:27" s="282" customFormat="1" outlineLevel="2">
      <c r="A1257" s="276">
        <f t="shared" si="433"/>
        <v>186</v>
      </c>
      <c r="B1257" s="724">
        <f>$B186</f>
        <v>0</v>
      </c>
      <c r="C1257" s="563"/>
      <c r="D1257" s="421"/>
      <c r="G1257" s="1286">
        <f t="shared" si="436"/>
        <v>0</v>
      </c>
      <c r="H1257" s="1286">
        <f t="shared" si="436"/>
        <v>0</v>
      </c>
      <c r="I1257" s="1286">
        <f t="shared" si="436"/>
        <v>0</v>
      </c>
      <c r="J1257" s="1286">
        <f t="shared" si="436"/>
        <v>0</v>
      </c>
      <c r="K1257" s="1286">
        <f t="shared" si="436"/>
        <v>0</v>
      </c>
      <c r="L1257" s="1286">
        <f t="shared" si="436"/>
        <v>0</v>
      </c>
      <c r="M1257" s="1286">
        <f t="shared" si="436"/>
        <v>0</v>
      </c>
      <c r="N1257" s="168"/>
    </row>
    <row r="1258" spans="1:27" s="282" customFormat="1" outlineLevel="2">
      <c r="A1258" s="276">
        <f t="shared" si="433"/>
        <v>187</v>
      </c>
      <c r="B1258" s="724"/>
      <c r="C1258" s="563"/>
      <c r="D1258" s="421"/>
      <c r="G1258" s="1286"/>
      <c r="H1258" s="1286"/>
      <c r="I1258" s="1286"/>
      <c r="J1258" s="1286"/>
      <c r="K1258" s="1286"/>
      <c r="L1258" s="1286"/>
      <c r="M1258" s="1286"/>
      <c r="N1258" s="168"/>
    </row>
    <row r="1259" spans="1:27" s="282" customFormat="1" outlineLevel="2">
      <c r="A1259" s="276">
        <f t="shared" si="433"/>
        <v>188</v>
      </c>
      <c r="B1259" s="724" t="str">
        <f>$B188</f>
        <v>2nd Grade Teacher</v>
      </c>
      <c r="C1259" s="563"/>
      <c r="D1259" s="421"/>
      <c r="G1259" s="1286">
        <f t="shared" ref="G1259:M1263" si="437">G188*$C$94</f>
        <v>0</v>
      </c>
      <c r="H1259" s="1286">
        <f t="shared" si="437"/>
        <v>936</v>
      </c>
      <c r="I1259" s="1286">
        <f t="shared" si="437"/>
        <v>936</v>
      </c>
      <c r="J1259" s="1286">
        <f t="shared" si="437"/>
        <v>936</v>
      </c>
      <c r="K1259" s="1286">
        <f t="shared" si="437"/>
        <v>936</v>
      </c>
      <c r="L1259" s="1286">
        <f t="shared" si="437"/>
        <v>936</v>
      </c>
      <c r="M1259" s="1286">
        <f t="shared" si="437"/>
        <v>936</v>
      </c>
      <c r="N1259" s="168"/>
    </row>
    <row r="1260" spans="1:27" s="282" customFormat="1" outlineLevel="2">
      <c r="A1260" s="276">
        <f t="shared" si="433"/>
        <v>189</v>
      </c>
      <c r="B1260" s="724" t="str">
        <f>$B189</f>
        <v>2nd Grade Teacher</v>
      </c>
      <c r="C1260" s="563"/>
      <c r="D1260" s="421"/>
      <c r="G1260" s="1286">
        <f t="shared" si="437"/>
        <v>0</v>
      </c>
      <c r="H1260" s="1286">
        <f t="shared" si="437"/>
        <v>0</v>
      </c>
      <c r="I1260" s="1286">
        <f t="shared" si="437"/>
        <v>936</v>
      </c>
      <c r="J1260" s="1286">
        <f t="shared" si="437"/>
        <v>936</v>
      </c>
      <c r="K1260" s="1286">
        <f t="shared" si="437"/>
        <v>936</v>
      </c>
      <c r="L1260" s="1286">
        <f t="shared" si="437"/>
        <v>936</v>
      </c>
      <c r="M1260" s="1286">
        <f t="shared" si="437"/>
        <v>936</v>
      </c>
      <c r="N1260" s="168"/>
    </row>
    <row r="1261" spans="1:27" s="282" customFormat="1" outlineLevel="2">
      <c r="A1261" s="276">
        <f t="shared" si="433"/>
        <v>190</v>
      </c>
      <c r="B1261" s="724" t="str">
        <f>$B190</f>
        <v>2nd Grade Teacher</v>
      </c>
      <c r="C1261" s="563"/>
      <c r="D1261" s="421"/>
      <c r="G1261" s="1286">
        <f t="shared" si="437"/>
        <v>0</v>
      </c>
      <c r="H1261" s="1286">
        <f t="shared" si="437"/>
        <v>0</v>
      </c>
      <c r="I1261" s="1286">
        <f t="shared" si="437"/>
        <v>0</v>
      </c>
      <c r="J1261" s="1286">
        <f t="shared" si="437"/>
        <v>936</v>
      </c>
      <c r="K1261" s="1286">
        <f t="shared" si="437"/>
        <v>936</v>
      </c>
      <c r="L1261" s="1286">
        <f t="shared" si="437"/>
        <v>936</v>
      </c>
      <c r="M1261" s="1286">
        <f t="shared" si="437"/>
        <v>936</v>
      </c>
      <c r="N1261" s="168"/>
    </row>
    <row r="1262" spans="1:27" s="282" customFormat="1" outlineLevel="2">
      <c r="A1262" s="276">
        <f t="shared" si="433"/>
        <v>191</v>
      </c>
      <c r="B1262" s="724">
        <f>$B191</f>
        <v>0</v>
      </c>
      <c r="C1262" s="563"/>
      <c r="D1262" s="421"/>
      <c r="G1262" s="1286">
        <f t="shared" si="437"/>
        <v>0</v>
      </c>
      <c r="H1262" s="1286">
        <f t="shared" si="437"/>
        <v>0</v>
      </c>
      <c r="I1262" s="1286">
        <f t="shared" si="437"/>
        <v>0</v>
      </c>
      <c r="J1262" s="1286">
        <f t="shared" si="437"/>
        <v>0</v>
      </c>
      <c r="K1262" s="1286">
        <f t="shared" si="437"/>
        <v>0</v>
      </c>
      <c r="L1262" s="1286">
        <f t="shared" si="437"/>
        <v>0</v>
      </c>
      <c r="M1262" s="1286">
        <f t="shared" si="437"/>
        <v>0</v>
      </c>
      <c r="N1262" s="168"/>
    </row>
    <row r="1263" spans="1:27" outlineLevel="2">
      <c r="A1263" s="276">
        <f t="shared" si="433"/>
        <v>192</v>
      </c>
      <c r="B1263" s="724">
        <f>$B192</f>
        <v>0</v>
      </c>
      <c r="C1263" s="563"/>
      <c r="D1263" s="421"/>
      <c r="G1263" s="1286">
        <f t="shared" si="437"/>
        <v>0</v>
      </c>
      <c r="H1263" s="1286">
        <f t="shared" si="437"/>
        <v>0</v>
      </c>
      <c r="I1263" s="1286">
        <f t="shared" si="437"/>
        <v>0</v>
      </c>
      <c r="J1263" s="1286">
        <f t="shared" si="437"/>
        <v>0</v>
      </c>
      <c r="K1263" s="1286">
        <f t="shared" si="437"/>
        <v>0</v>
      </c>
      <c r="L1263" s="1286">
        <f t="shared" si="437"/>
        <v>0</v>
      </c>
      <c r="M1263" s="1286">
        <f t="shared" si="437"/>
        <v>0</v>
      </c>
      <c r="N1263" s="141"/>
      <c r="R1263" s="282"/>
      <c r="S1263" s="282"/>
      <c r="T1263" s="282"/>
      <c r="U1263" s="282"/>
      <c r="V1263" s="282"/>
      <c r="W1263" s="282"/>
      <c r="X1263" s="282"/>
      <c r="Y1263" s="282"/>
      <c r="Z1263" s="282"/>
      <c r="AA1263" s="282"/>
    </row>
    <row r="1264" spans="1:27" outlineLevel="2">
      <c r="A1264" s="276">
        <f t="shared" si="433"/>
        <v>193</v>
      </c>
      <c r="B1264" s="724"/>
      <c r="C1264" s="564"/>
      <c r="D1264" s="282"/>
      <c r="G1264" s="1286"/>
      <c r="H1264" s="1286"/>
      <c r="I1264" s="1286"/>
      <c r="J1264" s="1286"/>
      <c r="K1264" s="1286"/>
      <c r="L1264" s="1286"/>
      <c r="M1264" s="1286"/>
      <c r="N1264" s="141"/>
      <c r="R1264" s="282"/>
      <c r="S1264" s="282"/>
      <c r="T1264" s="282"/>
      <c r="U1264" s="282"/>
      <c r="V1264" s="282"/>
      <c r="W1264" s="282"/>
      <c r="X1264" s="282"/>
      <c r="Y1264" s="282"/>
      <c r="Z1264" s="282"/>
      <c r="AA1264" s="282"/>
    </row>
    <row r="1265" spans="1:27" s="282" customFormat="1" outlineLevel="2">
      <c r="A1265" s="276">
        <f t="shared" si="433"/>
        <v>194</v>
      </c>
      <c r="B1265" s="724" t="str">
        <f>$B194</f>
        <v>3rd Grade Teacher</v>
      </c>
      <c r="C1265" s="563"/>
      <c r="D1265" s="421"/>
      <c r="G1265" s="1286">
        <f t="shared" ref="G1265:M1269" si="438">G194*$C$94</f>
        <v>0</v>
      </c>
      <c r="H1265" s="1286">
        <f t="shared" si="438"/>
        <v>936</v>
      </c>
      <c r="I1265" s="1286">
        <f t="shared" si="438"/>
        <v>936</v>
      </c>
      <c r="J1265" s="1286">
        <f t="shared" si="438"/>
        <v>936</v>
      </c>
      <c r="K1265" s="1286">
        <f t="shared" si="438"/>
        <v>936</v>
      </c>
      <c r="L1265" s="1286">
        <f t="shared" si="438"/>
        <v>936</v>
      </c>
      <c r="M1265" s="1286">
        <f t="shared" si="438"/>
        <v>936</v>
      </c>
      <c r="N1265" s="168"/>
    </row>
    <row r="1266" spans="1:27" s="282" customFormat="1" outlineLevel="2">
      <c r="A1266" s="276">
        <f t="shared" si="433"/>
        <v>195</v>
      </c>
      <c r="B1266" s="724" t="str">
        <f>$B195</f>
        <v>3rd Grade Teacher</v>
      </c>
      <c r="C1266" s="563"/>
      <c r="D1266" s="421"/>
      <c r="G1266" s="1286">
        <f t="shared" si="438"/>
        <v>0</v>
      </c>
      <c r="H1266" s="1286">
        <f t="shared" si="438"/>
        <v>0</v>
      </c>
      <c r="I1266" s="1286">
        <f t="shared" si="438"/>
        <v>0</v>
      </c>
      <c r="J1266" s="1286">
        <f t="shared" si="438"/>
        <v>936</v>
      </c>
      <c r="K1266" s="1286">
        <f t="shared" si="438"/>
        <v>936</v>
      </c>
      <c r="L1266" s="1286">
        <f t="shared" si="438"/>
        <v>936</v>
      </c>
      <c r="M1266" s="1286">
        <f t="shared" si="438"/>
        <v>936</v>
      </c>
      <c r="N1266" s="168"/>
    </row>
    <row r="1267" spans="1:27" s="282" customFormat="1" outlineLevel="2">
      <c r="A1267" s="276">
        <f t="shared" si="433"/>
        <v>196</v>
      </c>
      <c r="B1267" s="724" t="str">
        <f>$B196</f>
        <v>3rd Grade Teacher</v>
      </c>
      <c r="C1267" s="563"/>
      <c r="D1267" s="421"/>
      <c r="G1267" s="1286">
        <f t="shared" si="438"/>
        <v>0</v>
      </c>
      <c r="H1267" s="1286">
        <f t="shared" si="438"/>
        <v>0</v>
      </c>
      <c r="I1267" s="1286">
        <f t="shared" si="438"/>
        <v>0</v>
      </c>
      <c r="J1267" s="1286">
        <f t="shared" si="438"/>
        <v>0</v>
      </c>
      <c r="K1267" s="1286">
        <f t="shared" si="438"/>
        <v>936</v>
      </c>
      <c r="L1267" s="1286">
        <f t="shared" si="438"/>
        <v>936</v>
      </c>
      <c r="M1267" s="1286">
        <f t="shared" si="438"/>
        <v>936</v>
      </c>
      <c r="N1267" s="168"/>
    </row>
    <row r="1268" spans="1:27" s="282" customFormat="1" outlineLevel="2">
      <c r="A1268" s="276">
        <f t="shared" si="433"/>
        <v>197</v>
      </c>
      <c r="B1268" s="724">
        <f>$B197</f>
        <v>0</v>
      </c>
      <c r="C1268" s="563"/>
      <c r="D1268" s="421"/>
      <c r="G1268" s="1286">
        <f t="shared" si="438"/>
        <v>0</v>
      </c>
      <c r="H1268" s="1286">
        <f t="shared" si="438"/>
        <v>0</v>
      </c>
      <c r="I1268" s="1286">
        <f t="shared" si="438"/>
        <v>0</v>
      </c>
      <c r="J1268" s="1286">
        <f t="shared" si="438"/>
        <v>0</v>
      </c>
      <c r="K1268" s="1286">
        <f t="shared" si="438"/>
        <v>0</v>
      </c>
      <c r="L1268" s="1286">
        <f t="shared" si="438"/>
        <v>0</v>
      </c>
      <c r="M1268" s="1286">
        <f t="shared" si="438"/>
        <v>0</v>
      </c>
      <c r="N1268" s="168"/>
    </row>
    <row r="1269" spans="1:27" s="282" customFormat="1" outlineLevel="2">
      <c r="A1269" s="276">
        <f t="shared" si="433"/>
        <v>198</v>
      </c>
      <c r="B1269" s="724">
        <f>$B198</f>
        <v>0</v>
      </c>
      <c r="C1269" s="563"/>
      <c r="D1269" s="421"/>
      <c r="G1269" s="1286">
        <f t="shared" si="438"/>
        <v>0</v>
      </c>
      <c r="H1269" s="1286">
        <f t="shared" si="438"/>
        <v>0</v>
      </c>
      <c r="I1269" s="1286">
        <f t="shared" si="438"/>
        <v>0</v>
      </c>
      <c r="J1269" s="1286">
        <f t="shared" si="438"/>
        <v>0</v>
      </c>
      <c r="K1269" s="1286">
        <f t="shared" si="438"/>
        <v>0</v>
      </c>
      <c r="L1269" s="1286">
        <f t="shared" si="438"/>
        <v>0</v>
      </c>
      <c r="M1269" s="1286">
        <f t="shared" si="438"/>
        <v>0</v>
      </c>
      <c r="N1269" s="168"/>
    </row>
    <row r="1270" spans="1:27" s="282" customFormat="1" outlineLevel="2">
      <c r="A1270" s="276">
        <f t="shared" si="433"/>
        <v>199</v>
      </c>
      <c r="B1270" s="724"/>
      <c r="C1270" s="563"/>
      <c r="D1270" s="421"/>
      <c r="G1270" s="1286"/>
      <c r="H1270" s="1286"/>
      <c r="I1270" s="1286"/>
      <c r="J1270" s="1286"/>
      <c r="K1270" s="1286"/>
      <c r="L1270" s="1286"/>
      <c r="M1270" s="1286"/>
      <c r="N1270" s="168"/>
    </row>
    <row r="1271" spans="1:27" s="282" customFormat="1" outlineLevel="2">
      <c r="A1271" s="276">
        <f t="shared" ref="A1271:A1302" si="439">ROW(A340)</f>
        <v>340</v>
      </c>
      <c r="B1271" s="724" t="str">
        <f>$B200</f>
        <v>4th Grade Teacher</v>
      </c>
      <c r="C1271" s="563"/>
      <c r="D1271" s="421"/>
      <c r="G1271" s="1286">
        <f t="shared" ref="G1271:M1275" si="440">G200*$C$94</f>
        <v>0</v>
      </c>
      <c r="H1271" s="1286">
        <f t="shared" si="440"/>
        <v>936</v>
      </c>
      <c r="I1271" s="1286">
        <f t="shared" si="440"/>
        <v>936</v>
      </c>
      <c r="J1271" s="1286">
        <f t="shared" si="440"/>
        <v>936</v>
      </c>
      <c r="K1271" s="1286">
        <f t="shared" si="440"/>
        <v>936</v>
      </c>
      <c r="L1271" s="1286">
        <f t="shared" si="440"/>
        <v>936</v>
      </c>
      <c r="M1271" s="1286">
        <f t="shared" si="440"/>
        <v>936</v>
      </c>
      <c r="N1271" s="168"/>
    </row>
    <row r="1272" spans="1:27" s="282" customFormat="1" outlineLevel="2">
      <c r="A1272" s="276">
        <f t="shared" si="439"/>
        <v>341</v>
      </c>
      <c r="B1272" s="724" t="str">
        <f>$B201</f>
        <v>4th Grade Teacher</v>
      </c>
      <c r="C1272" s="563"/>
      <c r="D1272" s="421"/>
      <c r="G1272" s="1286">
        <f t="shared" si="440"/>
        <v>0</v>
      </c>
      <c r="H1272" s="1286">
        <f t="shared" si="440"/>
        <v>0</v>
      </c>
      <c r="I1272" s="1286">
        <f t="shared" si="440"/>
        <v>0</v>
      </c>
      <c r="J1272" s="1286">
        <f t="shared" si="440"/>
        <v>0</v>
      </c>
      <c r="K1272" s="1286">
        <f t="shared" si="440"/>
        <v>936</v>
      </c>
      <c r="L1272" s="1286">
        <f t="shared" si="440"/>
        <v>936</v>
      </c>
      <c r="M1272" s="1286">
        <f t="shared" si="440"/>
        <v>936</v>
      </c>
      <c r="N1272" s="168"/>
    </row>
    <row r="1273" spans="1:27" s="282" customFormat="1" outlineLevel="2">
      <c r="A1273" s="276">
        <f t="shared" si="439"/>
        <v>342</v>
      </c>
      <c r="B1273" s="724" t="str">
        <f>$B202</f>
        <v>4th Grade Teacher</v>
      </c>
      <c r="C1273" s="563"/>
      <c r="D1273" s="421"/>
      <c r="G1273" s="1286">
        <f t="shared" si="440"/>
        <v>0</v>
      </c>
      <c r="H1273" s="1286">
        <f t="shared" si="440"/>
        <v>0</v>
      </c>
      <c r="I1273" s="1286">
        <f t="shared" si="440"/>
        <v>0</v>
      </c>
      <c r="J1273" s="1286">
        <f t="shared" si="440"/>
        <v>0</v>
      </c>
      <c r="K1273" s="1286">
        <f t="shared" si="440"/>
        <v>0</v>
      </c>
      <c r="L1273" s="1286">
        <f t="shared" si="440"/>
        <v>936</v>
      </c>
      <c r="M1273" s="1286">
        <f t="shared" si="440"/>
        <v>936</v>
      </c>
      <c r="N1273" s="168"/>
    </row>
    <row r="1274" spans="1:27" s="282" customFormat="1" outlineLevel="2">
      <c r="A1274" s="276">
        <f t="shared" si="439"/>
        <v>343</v>
      </c>
      <c r="B1274" s="724">
        <f>$B203</f>
        <v>0</v>
      </c>
      <c r="C1274" s="563"/>
      <c r="D1274" s="421"/>
      <c r="G1274" s="1286">
        <f t="shared" si="440"/>
        <v>0</v>
      </c>
      <c r="H1274" s="1286">
        <f t="shared" si="440"/>
        <v>0</v>
      </c>
      <c r="I1274" s="1286">
        <f t="shared" si="440"/>
        <v>0</v>
      </c>
      <c r="J1274" s="1286">
        <f t="shared" si="440"/>
        <v>0</v>
      </c>
      <c r="K1274" s="1286">
        <f t="shared" si="440"/>
        <v>0</v>
      </c>
      <c r="L1274" s="1286">
        <f t="shared" si="440"/>
        <v>0</v>
      </c>
      <c r="M1274" s="1286">
        <f t="shared" si="440"/>
        <v>0</v>
      </c>
      <c r="N1274" s="168"/>
    </row>
    <row r="1275" spans="1:27" outlineLevel="2">
      <c r="A1275" s="276">
        <f t="shared" si="439"/>
        <v>344</v>
      </c>
      <c r="B1275" s="724">
        <f>$B204</f>
        <v>0</v>
      </c>
      <c r="C1275" s="563"/>
      <c r="D1275" s="421"/>
      <c r="G1275" s="1286">
        <f t="shared" si="440"/>
        <v>0</v>
      </c>
      <c r="H1275" s="1286">
        <f t="shared" si="440"/>
        <v>0</v>
      </c>
      <c r="I1275" s="1286">
        <f t="shared" si="440"/>
        <v>0</v>
      </c>
      <c r="J1275" s="1286">
        <f t="shared" si="440"/>
        <v>0</v>
      </c>
      <c r="K1275" s="1286">
        <f t="shared" si="440"/>
        <v>0</v>
      </c>
      <c r="L1275" s="1286">
        <f t="shared" si="440"/>
        <v>0</v>
      </c>
      <c r="M1275" s="1286">
        <f t="shared" si="440"/>
        <v>0</v>
      </c>
      <c r="N1275" s="141"/>
      <c r="R1275" s="282"/>
      <c r="S1275" s="282"/>
      <c r="T1275" s="282"/>
      <c r="U1275" s="282"/>
      <c r="V1275" s="282"/>
      <c r="W1275" s="282"/>
      <c r="X1275" s="282"/>
      <c r="Y1275" s="282"/>
      <c r="Z1275" s="282"/>
      <c r="AA1275" s="282"/>
    </row>
    <row r="1276" spans="1:27" outlineLevel="2">
      <c r="A1276" s="276">
        <f t="shared" si="439"/>
        <v>345</v>
      </c>
      <c r="B1276" s="724"/>
      <c r="C1276" s="564"/>
      <c r="D1276" s="282"/>
      <c r="G1276" s="1286"/>
      <c r="H1276" s="1286"/>
      <c r="I1276" s="1286"/>
      <c r="J1276" s="1286"/>
      <c r="K1276" s="1286"/>
      <c r="L1276" s="1286"/>
      <c r="M1276" s="1286"/>
      <c r="N1276" s="141"/>
      <c r="R1276" s="282"/>
      <c r="S1276" s="282"/>
      <c r="T1276" s="282"/>
      <c r="U1276" s="282"/>
      <c r="V1276" s="282"/>
      <c r="W1276" s="282"/>
      <c r="X1276" s="282"/>
      <c r="Y1276" s="282"/>
      <c r="Z1276" s="282"/>
      <c r="AA1276" s="282"/>
    </row>
    <row r="1277" spans="1:27" s="282" customFormat="1" outlineLevel="2">
      <c r="A1277" s="276">
        <f t="shared" si="439"/>
        <v>346</v>
      </c>
      <c r="B1277" s="724" t="str">
        <f>$B206</f>
        <v>5th Grade Teacher</v>
      </c>
      <c r="C1277" s="563"/>
      <c r="D1277" s="421"/>
      <c r="G1277" s="1286">
        <f t="shared" ref="G1277:M1281" si="441">G206*$C$94</f>
        <v>0</v>
      </c>
      <c r="H1277" s="1286">
        <f t="shared" si="441"/>
        <v>936</v>
      </c>
      <c r="I1277" s="1286">
        <f t="shared" si="441"/>
        <v>936</v>
      </c>
      <c r="J1277" s="1286">
        <f t="shared" si="441"/>
        <v>936</v>
      </c>
      <c r="K1277" s="1286">
        <f t="shared" si="441"/>
        <v>936</v>
      </c>
      <c r="L1277" s="1286">
        <f t="shared" si="441"/>
        <v>936</v>
      </c>
      <c r="M1277" s="1286">
        <f t="shared" si="441"/>
        <v>936</v>
      </c>
      <c r="N1277" s="168"/>
    </row>
    <row r="1278" spans="1:27" s="282" customFormat="1" outlineLevel="2">
      <c r="A1278" s="276">
        <f t="shared" si="439"/>
        <v>347</v>
      </c>
      <c r="B1278" s="724" t="str">
        <f>$B207</f>
        <v>5th Grade Teacher</v>
      </c>
      <c r="C1278" s="563"/>
      <c r="D1278" s="421"/>
      <c r="G1278" s="1286">
        <f t="shared" si="441"/>
        <v>0</v>
      </c>
      <c r="H1278" s="1286">
        <f t="shared" si="441"/>
        <v>0</v>
      </c>
      <c r="I1278" s="1286">
        <f t="shared" si="441"/>
        <v>0</v>
      </c>
      <c r="J1278" s="1286">
        <f t="shared" si="441"/>
        <v>0</v>
      </c>
      <c r="K1278" s="1286">
        <f t="shared" si="441"/>
        <v>0</v>
      </c>
      <c r="L1278" s="1286">
        <f t="shared" si="441"/>
        <v>936</v>
      </c>
      <c r="M1278" s="1286">
        <f t="shared" si="441"/>
        <v>936</v>
      </c>
      <c r="N1278" s="168"/>
    </row>
    <row r="1279" spans="1:27" s="282" customFormat="1" outlineLevel="2">
      <c r="A1279" s="276">
        <f t="shared" si="439"/>
        <v>348</v>
      </c>
      <c r="B1279" s="724" t="str">
        <f>$B208</f>
        <v>5th Grade Teacher</v>
      </c>
      <c r="C1279" s="563"/>
      <c r="D1279" s="421"/>
      <c r="G1279" s="1286">
        <f t="shared" si="441"/>
        <v>0</v>
      </c>
      <c r="H1279" s="1286">
        <f t="shared" si="441"/>
        <v>0</v>
      </c>
      <c r="I1279" s="1286">
        <f t="shared" si="441"/>
        <v>0</v>
      </c>
      <c r="J1279" s="1286">
        <f t="shared" si="441"/>
        <v>0</v>
      </c>
      <c r="K1279" s="1286">
        <f t="shared" si="441"/>
        <v>0</v>
      </c>
      <c r="L1279" s="1286">
        <f t="shared" si="441"/>
        <v>0</v>
      </c>
      <c r="M1279" s="1286">
        <f t="shared" si="441"/>
        <v>936</v>
      </c>
      <c r="N1279" s="168"/>
    </row>
    <row r="1280" spans="1:27" s="282" customFormat="1" outlineLevel="2">
      <c r="A1280" s="276">
        <f t="shared" si="439"/>
        <v>349</v>
      </c>
      <c r="B1280" s="724">
        <f>$B209</f>
        <v>0</v>
      </c>
      <c r="C1280" s="563"/>
      <c r="D1280" s="421"/>
      <c r="G1280" s="1286">
        <f t="shared" si="441"/>
        <v>0</v>
      </c>
      <c r="H1280" s="1286">
        <f t="shared" si="441"/>
        <v>0</v>
      </c>
      <c r="I1280" s="1286">
        <f t="shared" si="441"/>
        <v>0</v>
      </c>
      <c r="J1280" s="1286">
        <f t="shared" si="441"/>
        <v>0</v>
      </c>
      <c r="K1280" s="1286">
        <f t="shared" si="441"/>
        <v>0</v>
      </c>
      <c r="L1280" s="1286">
        <f t="shared" si="441"/>
        <v>0</v>
      </c>
      <c r="M1280" s="1286">
        <f t="shared" si="441"/>
        <v>0</v>
      </c>
      <c r="N1280" s="168"/>
    </row>
    <row r="1281" spans="1:27" s="282" customFormat="1" outlineLevel="2">
      <c r="A1281" s="276">
        <f t="shared" si="439"/>
        <v>350</v>
      </c>
      <c r="B1281" s="724">
        <f>$B210</f>
        <v>0</v>
      </c>
      <c r="C1281" s="563"/>
      <c r="D1281" s="421"/>
      <c r="G1281" s="1286">
        <f t="shared" si="441"/>
        <v>0</v>
      </c>
      <c r="H1281" s="1286">
        <f t="shared" si="441"/>
        <v>0</v>
      </c>
      <c r="I1281" s="1286">
        <f t="shared" si="441"/>
        <v>0</v>
      </c>
      <c r="J1281" s="1286">
        <f t="shared" si="441"/>
        <v>0</v>
      </c>
      <c r="K1281" s="1286">
        <f t="shared" si="441"/>
        <v>0</v>
      </c>
      <c r="L1281" s="1286">
        <f t="shared" si="441"/>
        <v>0</v>
      </c>
      <c r="M1281" s="1286">
        <f t="shared" si="441"/>
        <v>0</v>
      </c>
      <c r="N1281" s="168"/>
    </row>
    <row r="1282" spans="1:27" s="282" customFormat="1" outlineLevel="2">
      <c r="A1282" s="276">
        <f t="shared" si="439"/>
        <v>351</v>
      </c>
      <c r="B1282" s="724"/>
      <c r="C1282" s="563"/>
      <c r="D1282" s="421"/>
      <c r="G1282" s="1286"/>
      <c r="H1282" s="1286"/>
      <c r="I1282" s="1286"/>
      <c r="J1282" s="1286"/>
      <c r="K1282" s="1286"/>
      <c r="L1282" s="1286"/>
      <c r="M1282" s="1286"/>
      <c r="N1282" s="168"/>
    </row>
    <row r="1283" spans="1:27" s="282" customFormat="1" outlineLevel="2">
      <c r="A1283" s="276">
        <f t="shared" si="439"/>
        <v>352</v>
      </c>
      <c r="B1283" s="724" t="str">
        <f>$B212</f>
        <v>6th Grade Teacher</v>
      </c>
      <c r="C1283" s="563"/>
      <c r="D1283" s="421"/>
      <c r="G1283" s="1286">
        <f t="shared" ref="G1283:M1287" si="442">G212*$C$94</f>
        <v>0</v>
      </c>
      <c r="H1283" s="1286">
        <f t="shared" si="442"/>
        <v>936</v>
      </c>
      <c r="I1283" s="1286">
        <f t="shared" si="442"/>
        <v>936</v>
      </c>
      <c r="J1283" s="1286">
        <f t="shared" si="442"/>
        <v>936</v>
      </c>
      <c r="K1283" s="1286">
        <f t="shared" si="442"/>
        <v>936</v>
      </c>
      <c r="L1283" s="1286">
        <f t="shared" si="442"/>
        <v>936</v>
      </c>
      <c r="M1283" s="1286">
        <f t="shared" si="442"/>
        <v>936</v>
      </c>
      <c r="N1283" s="168"/>
    </row>
    <row r="1284" spans="1:27" s="282" customFormat="1" outlineLevel="2">
      <c r="A1284" s="276">
        <f t="shared" si="439"/>
        <v>353</v>
      </c>
      <c r="B1284" s="724" t="str">
        <f>$B213</f>
        <v>6th Grade Teacher</v>
      </c>
      <c r="C1284" s="563"/>
      <c r="D1284" s="421"/>
      <c r="G1284" s="1286">
        <f t="shared" si="442"/>
        <v>0</v>
      </c>
      <c r="H1284" s="1286">
        <f t="shared" si="442"/>
        <v>936</v>
      </c>
      <c r="I1284" s="1286">
        <f t="shared" si="442"/>
        <v>936</v>
      </c>
      <c r="J1284" s="1286">
        <f t="shared" si="442"/>
        <v>936</v>
      </c>
      <c r="K1284" s="1286">
        <f t="shared" si="442"/>
        <v>936</v>
      </c>
      <c r="L1284" s="1286">
        <f t="shared" si="442"/>
        <v>936</v>
      </c>
      <c r="M1284" s="1286">
        <f t="shared" si="442"/>
        <v>936</v>
      </c>
      <c r="N1284" s="168"/>
    </row>
    <row r="1285" spans="1:27" s="282" customFormat="1" outlineLevel="2">
      <c r="A1285" s="276">
        <f t="shared" si="439"/>
        <v>354</v>
      </c>
      <c r="B1285" s="724" t="str">
        <f>$B214</f>
        <v>6th Grade Teacher</v>
      </c>
      <c r="C1285" s="563"/>
      <c r="D1285" s="421"/>
      <c r="G1285" s="1286">
        <f t="shared" si="442"/>
        <v>0</v>
      </c>
      <c r="H1285" s="1286">
        <f t="shared" si="442"/>
        <v>0</v>
      </c>
      <c r="I1285" s="1286">
        <f t="shared" si="442"/>
        <v>0</v>
      </c>
      <c r="J1285" s="1286">
        <f t="shared" si="442"/>
        <v>0</v>
      </c>
      <c r="K1285" s="1286">
        <f t="shared" si="442"/>
        <v>0</v>
      </c>
      <c r="L1285" s="1286">
        <f t="shared" si="442"/>
        <v>0</v>
      </c>
      <c r="M1285" s="1286">
        <f t="shared" si="442"/>
        <v>936</v>
      </c>
      <c r="N1285" s="168"/>
    </row>
    <row r="1286" spans="1:27" s="282" customFormat="1" outlineLevel="2">
      <c r="A1286" s="276">
        <f t="shared" si="439"/>
        <v>355</v>
      </c>
      <c r="B1286" s="724">
        <f>$B215</f>
        <v>0</v>
      </c>
      <c r="C1286" s="563"/>
      <c r="D1286" s="421"/>
      <c r="G1286" s="1286">
        <f t="shared" si="442"/>
        <v>0</v>
      </c>
      <c r="H1286" s="1286">
        <f t="shared" si="442"/>
        <v>0</v>
      </c>
      <c r="I1286" s="1286">
        <f t="shared" si="442"/>
        <v>0</v>
      </c>
      <c r="J1286" s="1286">
        <f t="shared" si="442"/>
        <v>0</v>
      </c>
      <c r="K1286" s="1286">
        <f t="shared" si="442"/>
        <v>0</v>
      </c>
      <c r="L1286" s="1286">
        <f t="shared" si="442"/>
        <v>0</v>
      </c>
      <c r="M1286" s="1286">
        <f t="shared" si="442"/>
        <v>0</v>
      </c>
      <c r="N1286" s="168"/>
    </row>
    <row r="1287" spans="1:27" outlineLevel="2">
      <c r="A1287" s="276">
        <f t="shared" si="439"/>
        <v>356</v>
      </c>
      <c r="B1287" s="724">
        <f>$B216</f>
        <v>0</v>
      </c>
      <c r="C1287" s="563"/>
      <c r="D1287" s="421"/>
      <c r="G1287" s="1286">
        <f t="shared" si="442"/>
        <v>0</v>
      </c>
      <c r="H1287" s="1286">
        <f t="shared" si="442"/>
        <v>0</v>
      </c>
      <c r="I1287" s="1286">
        <f t="shared" si="442"/>
        <v>0</v>
      </c>
      <c r="J1287" s="1286">
        <f t="shared" si="442"/>
        <v>0</v>
      </c>
      <c r="K1287" s="1286">
        <f t="shared" si="442"/>
        <v>0</v>
      </c>
      <c r="L1287" s="1286">
        <f t="shared" si="442"/>
        <v>0</v>
      </c>
      <c r="M1287" s="1286">
        <f t="shared" si="442"/>
        <v>0</v>
      </c>
      <c r="N1287" s="141"/>
      <c r="R1287" s="282"/>
      <c r="S1287" s="282"/>
      <c r="T1287" s="282"/>
      <c r="U1287" s="282"/>
      <c r="V1287" s="282"/>
      <c r="W1287" s="282"/>
      <c r="X1287" s="282"/>
      <c r="Y1287" s="282"/>
      <c r="Z1287" s="282"/>
      <c r="AA1287" s="282"/>
    </row>
    <row r="1288" spans="1:27" outlineLevel="2">
      <c r="A1288" s="276">
        <f t="shared" si="439"/>
        <v>357</v>
      </c>
      <c r="B1288" s="724"/>
      <c r="C1288" s="564"/>
      <c r="D1288" s="282"/>
      <c r="G1288" s="1286"/>
      <c r="H1288" s="1286"/>
      <c r="I1288" s="1286"/>
      <c r="J1288" s="1286"/>
      <c r="K1288" s="1286"/>
      <c r="L1288" s="1286"/>
      <c r="M1288" s="1286"/>
      <c r="N1288" s="141"/>
      <c r="R1288" s="282"/>
      <c r="S1288" s="282"/>
      <c r="T1288" s="282"/>
      <c r="U1288" s="282"/>
      <c r="V1288" s="282"/>
      <c r="W1288" s="282"/>
      <c r="X1288" s="282"/>
      <c r="Y1288" s="282"/>
      <c r="Z1288" s="282"/>
      <c r="AA1288" s="282"/>
    </row>
    <row r="1289" spans="1:27" s="282" customFormat="1" outlineLevel="2">
      <c r="A1289" s="276">
        <f t="shared" si="439"/>
        <v>358</v>
      </c>
      <c r="B1289" s="724" t="str">
        <f t="shared" ref="B1289:B1294" si="443">$B218</f>
        <v>7th Grade Teacher</v>
      </c>
      <c r="C1289" s="563"/>
      <c r="D1289" s="421"/>
      <c r="G1289" s="1286">
        <f t="shared" ref="G1289:M1294" si="444">G218*$C$94</f>
        <v>0</v>
      </c>
      <c r="H1289" s="1286">
        <f t="shared" si="444"/>
        <v>936</v>
      </c>
      <c r="I1289" s="1286">
        <f t="shared" si="444"/>
        <v>936</v>
      </c>
      <c r="J1289" s="1286">
        <f t="shared" si="444"/>
        <v>936</v>
      </c>
      <c r="K1289" s="1286">
        <f t="shared" si="444"/>
        <v>936</v>
      </c>
      <c r="L1289" s="1286">
        <f t="shared" si="444"/>
        <v>936</v>
      </c>
      <c r="M1289" s="1286">
        <f t="shared" si="444"/>
        <v>936</v>
      </c>
      <c r="N1289" s="168"/>
    </row>
    <row r="1290" spans="1:27" s="282" customFormat="1" outlineLevel="2">
      <c r="A1290" s="276">
        <f t="shared" si="439"/>
        <v>359</v>
      </c>
      <c r="B1290" s="724" t="str">
        <f t="shared" si="443"/>
        <v>7th Grade Teacher</v>
      </c>
      <c r="C1290" s="563"/>
      <c r="D1290" s="421"/>
      <c r="G1290" s="1286">
        <f t="shared" si="444"/>
        <v>0</v>
      </c>
      <c r="H1290" s="1286">
        <f t="shared" si="444"/>
        <v>936</v>
      </c>
      <c r="I1290" s="1286">
        <f t="shared" si="444"/>
        <v>936</v>
      </c>
      <c r="J1290" s="1286">
        <f t="shared" si="444"/>
        <v>936</v>
      </c>
      <c r="K1290" s="1286">
        <f t="shared" si="444"/>
        <v>936</v>
      </c>
      <c r="L1290" s="1286">
        <f t="shared" si="444"/>
        <v>936</v>
      </c>
      <c r="M1290" s="1286">
        <f t="shared" si="444"/>
        <v>936</v>
      </c>
      <c r="N1290" s="168"/>
    </row>
    <row r="1291" spans="1:27" s="282" customFormat="1" outlineLevel="2">
      <c r="A1291" s="276">
        <f t="shared" si="439"/>
        <v>360</v>
      </c>
      <c r="B1291" s="724" t="str">
        <f t="shared" si="443"/>
        <v>7th Grade Teacher</v>
      </c>
      <c r="C1291" s="563"/>
      <c r="D1291" s="421"/>
      <c r="G1291" s="1286">
        <f t="shared" si="444"/>
        <v>0</v>
      </c>
      <c r="H1291" s="1286">
        <f t="shared" si="444"/>
        <v>0</v>
      </c>
      <c r="I1291" s="1286">
        <f t="shared" si="444"/>
        <v>0</v>
      </c>
      <c r="J1291" s="1286">
        <f t="shared" si="444"/>
        <v>0</v>
      </c>
      <c r="K1291" s="1286">
        <f t="shared" si="444"/>
        <v>0</v>
      </c>
      <c r="L1291" s="1286">
        <f t="shared" si="444"/>
        <v>0</v>
      </c>
      <c r="M1291" s="1286">
        <f t="shared" si="444"/>
        <v>936</v>
      </c>
      <c r="N1291" s="168"/>
    </row>
    <row r="1292" spans="1:27" s="282" customFormat="1" outlineLevel="2">
      <c r="A1292" s="276">
        <f t="shared" si="439"/>
        <v>361</v>
      </c>
      <c r="B1292" s="724">
        <f t="shared" si="443"/>
        <v>0</v>
      </c>
      <c r="C1292" s="563"/>
      <c r="D1292" s="421"/>
      <c r="G1292" s="1286">
        <f t="shared" si="444"/>
        <v>0</v>
      </c>
      <c r="H1292" s="1286">
        <f t="shared" si="444"/>
        <v>0</v>
      </c>
      <c r="I1292" s="1286">
        <f t="shared" si="444"/>
        <v>0</v>
      </c>
      <c r="J1292" s="1286">
        <f t="shared" si="444"/>
        <v>0</v>
      </c>
      <c r="K1292" s="1286">
        <f t="shared" si="444"/>
        <v>0</v>
      </c>
      <c r="L1292" s="1286">
        <f t="shared" si="444"/>
        <v>0</v>
      </c>
      <c r="M1292" s="1286">
        <f t="shared" si="444"/>
        <v>0</v>
      </c>
      <c r="N1292" s="168"/>
    </row>
    <row r="1293" spans="1:27" s="282" customFormat="1" outlineLevel="2">
      <c r="A1293" s="276">
        <f t="shared" si="439"/>
        <v>362</v>
      </c>
      <c r="B1293" s="724">
        <f t="shared" si="443"/>
        <v>0</v>
      </c>
      <c r="C1293" s="563"/>
      <c r="D1293" s="421"/>
      <c r="G1293" s="1286">
        <f t="shared" si="444"/>
        <v>0</v>
      </c>
      <c r="H1293" s="1286">
        <f t="shared" si="444"/>
        <v>0</v>
      </c>
      <c r="I1293" s="1286">
        <f t="shared" si="444"/>
        <v>0</v>
      </c>
      <c r="J1293" s="1286">
        <f t="shared" si="444"/>
        <v>0</v>
      </c>
      <c r="K1293" s="1286">
        <f t="shared" si="444"/>
        <v>0</v>
      </c>
      <c r="L1293" s="1286">
        <f t="shared" si="444"/>
        <v>0</v>
      </c>
      <c r="M1293" s="1286">
        <f t="shared" si="444"/>
        <v>0</v>
      </c>
      <c r="N1293" s="168"/>
    </row>
    <row r="1294" spans="1:27" s="282" customFormat="1" outlineLevel="2">
      <c r="A1294" s="276">
        <f t="shared" si="439"/>
        <v>363</v>
      </c>
      <c r="B1294" s="724">
        <f t="shared" si="443"/>
        <v>0</v>
      </c>
      <c r="C1294" s="563"/>
      <c r="D1294" s="421"/>
      <c r="G1294" s="1286">
        <f t="shared" si="444"/>
        <v>0</v>
      </c>
      <c r="H1294" s="1286">
        <f t="shared" si="444"/>
        <v>0</v>
      </c>
      <c r="I1294" s="1286">
        <f t="shared" si="444"/>
        <v>0</v>
      </c>
      <c r="J1294" s="1286">
        <f t="shared" si="444"/>
        <v>0</v>
      </c>
      <c r="K1294" s="1286">
        <f t="shared" si="444"/>
        <v>0</v>
      </c>
      <c r="L1294" s="1286">
        <f t="shared" si="444"/>
        <v>0</v>
      </c>
      <c r="M1294" s="1286">
        <f t="shared" si="444"/>
        <v>0</v>
      </c>
      <c r="N1294" s="168"/>
    </row>
    <row r="1295" spans="1:27" outlineLevel="2">
      <c r="A1295" s="276">
        <f t="shared" si="439"/>
        <v>364</v>
      </c>
      <c r="B1295" s="724"/>
      <c r="C1295" s="564"/>
      <c r="D1295" s="282"/>
      <c r="G1295" s="1286"/>
      <c r="H1295" s="1286"/>
      <c r="I1295" s="1286"/>
      <c r="J1295" s="1286"/>
      <c r="K1295" s="1286"/>
      <c r="L1295" s="1286"/>
      <c r="M1295" s="1286"/>
      <c r="N1295" s="141"/>
      <c r="R1295" s="282"/>
      <c r="S1295" s="282"/>
      <c r="T1295" s="282"/>
      <c r="U1295" s="282"/>
      <c r="V1295" s="282"/>
      <c r="W1295" s="282"/>
      <c r="X1295" s="282"/>
      <c r="Y1295" s="282"/>
      <c r="Z1295" s="282"/>
      <c r="AA1295" s="282"/>
    </row>
    <row r="1296" spans="1:27" s="282" customFormat="1" outlineLevel="2">
      <c r="A1296" s="276">
        <f t="shared" si="439"/>
        <v>365</v>
      </c>
      <c r="B1296" s="724" t="str">
        <f>$B225</f>
        <v>8th Grade Teacher</v>
      </c>
      <c r="C1296" s="563"/>
      <c r="D1296" s="421"/>
      <c r="G1296" s="1286">
        <f t="shared" ref="G1296:M1300" si="445">G225*$C$94</f>
        <v>0</v>
      </c>
      <c r="H1296" s="1286">
        <f t="shared" si="445"/>
        <v>0</v>
      </c>
      <c r="I1296" s="1286">
        <f t="shared" si="445"/>
        <v>936</v>
      </c>
      <c r="J1296" s="1286">
        <f t="shared" si="445"/>
        <v>936</v>
      </c>
      <c r="K1296" s="1286">
        <f t="shared" si="445"/>
        <v>936</v>
      </c>
      <c r="L1296" s="1286">
        <f t="shared" si="445"/>
        <v>936</v>
      </c>
      <c r="M1296" s="1286">
        <f t="shared" si="445"/>
        <v>936</v>
      </c>
      <c r="N1296" s="168"/>
    </row>
    <row r="1297" spans="1:14" s="282" customFormat="1" outlineLevel="2">
      <c r="A1297" s="276">
        <f t="shared" si="439"/>
        <v>366</v>
      </c>
      <c r="B1297" s="724" t="str">
        <f>$B$226</f>
        <v>8th Grade Teacher</v>
      </c>
      <c r="C1297" s="563"/>
      <c r="D1297" s="421"/>
      <c r="G1297" s="1286">
        <f t="shared" si="445"/>
        <v>0</v>
      </c>
      <c r="H1297" s="1286">
        <f t="shared" si="445"/>
        <v>0</v>
      </c>
      <c r="I1297" s="1286">
        <f t="shared" si="445"/>
        <v>936</v>
      </c>
      <c r="J1297" s="1286">
        <f t="shared" si="445"/>
        <v>936</v>
      </c>
      <c r="K1297" s="1286">
        <f t="shared" si="445"/>
        <v>936</v>
      </c>
      <c r="L1297" s="1286">
        <f t="shared" si="445"/>
        <v>936</v>
      </c>
      <c r="M1297" s="1286">
        <f t="shared" si="445"/>
        <v>936</v>
      </c>
      <c r="N1297" s="168"/>
    </row>
    <row r="1298" spans="1:14" s="282" customFormat="1" outlineLevel="2">
      <c r="A1298" s="276">
        <f t="shared" si="439"/>
        <v>367</v>
      </c>
      <c r="B1298" s="724" t="str">
        <f>$B$227</f>
        <v>8th Grade Teacher</v>
      </c>
      <c r="C1298" s="563"/>
      <c r="D1298" s="421"/>
      <c r="G1298" s="1286">
        <f t="shared" si="445"/>
        <v>0</v>
      </c>
      <c r="H1298" s="1286">
        <f t="shared" si="445"/>
        <v>0</v>
      </c>
      <c r="I1298" s="1286">
        <f t="shared" si="445"/>
        <v>0</v>
      </c>
      <c r="J1298" s="1286">
        <f t="shared" si="445"/>
        <v>0</v>
      </c>
      <c r="K1298" s="1286">
        <f t="shared" si="445"/>
        <v>0</v>
      </c>
      <c r="L1298" s="1286">
        <f t="shared" si="445"/>
        <v>0</v>
      </c>
      <c r="M1298" s="1286">
        <f t="shared" si="445"/>
        <v>936</v>
      </c>
      <c r="N1298" s="168"/>
    </row>
    <row r="1299" spans="1:14" s="282" customFormat="1" outlineLevel="2">
      <c r="A1299" s="276">
        <f t="shared" si="439"/>
        <v>368</v>
      </c>
      <c r="B1299" s="724">
        <f>$B$228</f>
        <v>0</v>
      </c>
      <c r="C1299" s="563"/>
      <c r="D1299" s="421"/>
      <c r="G1299" s="1286">
        <f t="shared" si="445"/>
        <v>0</v>
      </c>
      <c r="H1299" s="1286">
        <f t="shared" si="445"/>
        <v>0</v>
      </c>
      <c r="I1299" s="1286">
        <f t="shared" si="445"/>
        <v>0</v>
      </c>
      <c r="J1299" s="1286">
        <f t="shared" si="445"/>
        <v>0</v>
      </c>
      <c r="K1299" s="1286">
        <f t="shared" si="445"/>
        <v>0</v>
      </c>
      <c r="L1299" s="1286">
        <f t="shared" si="445"/>
        <v>0</v>
      </c>
      <c r="M1299" s="1286">
        <f t="shared" si="445"/>
        <v>0</v>
      </c>
      <c r="N1299" s="168"/>
    </row>
    <row r="1300" spans="1:14" s="282" customFormat="1" outlineLevel="2">
      <c r="A1300" s="276">
        <f t="shared" si="439"/>
        <v>369</v>
      </c>
      <c r="B1300" s="724">
        <f>$B$229</f>
        <v>0</v>
      </c>
      <c r="C1300" s="563"/>
      <c r="D1300" s="421"/>
      <c r="G1300" s="1286">
        <f t="shared" si="445"/>
        <v>0</v>
      </c>
      <c r="H1300" s="1286">
        <f t="shared" si="445"/>
        <v>0</v>
      </c>
      <c r="I1300" s="1286">
        <f t="shared" si="445"/>
        <v>0</v>
      </c>
      <c r="J1300" s="1286">
        <f t="shared" si="445"/>
        <v>0</v>
      </c>
      <c r="K1300" s="1286">
        <f t="shared" si="445"/>
        <v>0</v>
      </c>
      <c r="L1300" s="1286">
        <f t="shared" si="445"/>
        <v>0</v>
      </c>
      <c r="M1300" s="1286">
        <f t="shared" si="445"/>
        <v>0</v>
      </c>
      <c r="N1300" s="168"/>
    </row>
    <row r="1301" spans="1:14" s="282" customFormat="1" outlineLevel="2">
      <c r="A1301" s="276">
        <f t="shared" si="439"/>
        <v>370</v>
      </c>
      <c r="B1301" s="724"/>
      <c r="C1301" s="563"/>
      <c r="D1301" s="421"/>
      <c r="G1301" s="1286"/>
      <c r="H1301" s="1286"/>
      <c r="I1301" s="1286"/>
      <c r="J1301" s="1286"/>
      <c r="K1301" s="1286"/>
      <c r="L1301" s="1286"/>
      <c r="M1301" s="1286"/>
      <c r="N1301" s="168"/>
    </row>
    <row r="1302" spans="1:14" s="282" customFormat="1" outlineLevel="2">
      <c r="A1302" s="276">
        <f t="shared" si="439"/>
        <v>371</v>
      </c>
      <c r="B1302" s="282" t="str">
        <f>$B$231</f>
        <v>9th Grade Teacher</v>
      </c>
      <c r="C1302" s="563"/>
      <c r="D1302" s="421"/>
      <c r="G1302" s="1286">
        <f t="shared" ref="G1302:M1306" si="446">G231*$C$94</f>
        <v>0</v>
      </c>
      <c r="H1302" s="1286">
        <f t="shared" si="446"/>
        <v>0</v>
      </c>
      <c r="I1302" s="1286">
        <f t="shared" si="446"/>
        <v>0</v>
      </c>
      <c r="J1302" s="1286">
        <f t="shared" si="446"/>
        <v>936</v>
      </c>
      <c r="K1302" s="1286">
        <f t="shared" si="446"/>
        <v>936</v>
      </c>
      <c r="L1302" s="1286">
        <f t="shared" si="446"/>
        <v>936</v>
      </c>
      <c r="M1302" s="1286">
        <f t="shared" si="446"/>
        <v>936</v>
      </c>
      <c r="N1302" s="168"/>
    </row>
    <row r="1303" spans="1:14" s="282" customFormat="1" outlineLevel="2">
      <c r="A1303" s="276">
        <f t="shared" ref="A1303:A1334" si="447">ROW(A372)</f>
        <v>372</v>
      </c>
      <c r="B1303" s="282" t="str">
        <f>$B$232</f>
        <v>9th Grade Teacher</v>
      </c>
      <c r="C1303" s="563"/>
      <c r="D1303" s="421"/>
      <c r="G1303" s="1286">
        <f t="shared" si="446"/>
        <v>0</v>
      </c>
      <c r="H1303" s="1286">
        <f t="shared" si="446"/>
        <v>0</v>
      </c>
      <c r="I1303" s="1286">
        <f t="shared" si="446"/>
        <v>0</v>
      </c>
      <c r="J1303" s="1286">
        <f t="shared" si="446"/>
        <v>936</v>
      </c>
      <c r="K1303" s="1286">
        <f t="shared" si="446"/>
        <v>936</v>
      </c>
      <c r="L1303" s="1286">
        <f t="shared" si="446"/>
        <v>936</v>
      </c>
      <c r="M1303" s="1286">
        <f t="shared" si="446"/>
        <v>936</v>
      </c>
      <c r="N1303" s="168"/>
    </row>
    <row r="1304" spans="1:14" s="282" customFormat="1" outlineLevel="2">
      <c r="A1304" s="276">
        <f t="shared" si="447"/>
        <v>373</v>
      </c>
      <c r="B1304" s="282" t="str">
        <f>$B$233</f>
        <v>9th Grade Teacher</v>
      </c>
      <c r="C1304" s="563"/>
      <c r="D1304" s="421"/>
      <c r="G1304" s="1286">
        <f t="shared" si="446"/>
        <v>0</v>
      </c>
      <c r="H1304" s="1286">
        <f t="shared" si="446"/>
        <v>0</v>
      </c>
      <c r="I1304" s="1286">
        <f t="shared" si="446"/>
        <v>0</v>
      </c>
      <c r="J1304" s="1286">
        <f t="shared" si="446"/>
        <v>936</v>
      </c>
      <c r="K1304" s="1286">
        <f t="shared" si="446"/>
        <v>936</v>
      </c>
      <c r="L1304" s="1286">
        <f t="shared" si="446"/>
        <v>936</v>
      </c>
      <c r="M1304" s="1286">
        <f t="shared" si="446"/>
        <v>936</v>
      </c>
      <c r="N1304" s="168"/>
    </row>
    <row r="1305" spans="1:14" s="282" customFormat="1" outlineLevel="2">
      <c r="A1305" s="276">
        <f t="shared" si="447"/>
        <v>374</v>
      </c>
      <c r="B1305" s="282">
        <f>$B$234</f>
        <v>0</v>
      </c>
      <c r="C1305" s="563"/>
      <c r="D1305" s="421"/>
      <c r="G1305" s="1286">
        <f t="shared" si="446"/>
        <v>0</v>
      </c>
      <c r="H1305" s="1286">
        <f t="shared" si="446"/>
        <v>0</v>
      </c>
      <c r="I1305" s="1286">
        <f t="shared" si="446"/>
        <v>0</v>
      </c>
      <c r="J1305" s="1286">
        <f t="shared" si="446"/>
        <v>0</v>
      </c>
      <c r="K1305" s="1286">
        <f t="shared" si="446"/>
        <v>0</v>
      </c>
      <c r="L1305" s="1286">
        <f t="shared" si="446"/>
        <v>0</v>
      </c>
      <c r="M1305" s="1286">
        <f t="shared" si="446"/>
        <v>0</v>
      </c>
      <c r="N1305" s="168"/>
    </row>
    <row r="1306" spans="1:14" s="282" customFormat="1" outlineLevel="2">
      <c r="A1306" s="276">
        <f t="shared" si="447"/>
        <v>375</v>
      </c>
      <c r="B1306" s="282">
        <f>$B$235</f>
        <v>0</v>
      </c>
      <c r="C1306" s="563"/>
      <c r="D1306" s="421"/>
      <c r="G1306" s="1286">
        <f t="shared" si="446"/>
        <v>0</v>
      </c>
      <c r="H1306" s="1286">
        <f t="shared" si="446"/>
        <v>0</v>
      </c>
      <c r="I1306" s="1286">
        <f t="shared" si="446"/>
        <v>0</v>
      </c>
      <c r="J1306" s="1286">
        <f t="shared" si="446"/>
        <v>0</v>
      </c>
      <c r="K1306" s="1286">
        <f t="shared" si="446"/>
        <v>0</v>
      </c>
      <c r="L1306" s="1286">
        <f t="shared" si="446"/>
        <v>0</v>
      </c>
      <c r="M1306" s="1286">
        <f t="shared" si="446"/>
        <v>0</v>
      </c>
      <c r="N1306" s="168"/>
    </row>
    <row r="1307" spans="1:14" s="282" customFormat="1" outlineLevel="2">
      <c r="A1307" s="276">
        <f t="shared" si="447"/>
        <v>376</v>
      </c>
      <c r="C1307" s="563"/>
      <c r="D1307" s="421"/>
      <c r="G1307" s="1286"/>
      <c r="H1307" s="1286"/>
      <c r="I1307" s="1286"/>
      <c r="J1307" s="1286"/>
      <c r="K1307" s="1286"/>
      <c r="L1307" s="1286"/>
      <c r="M1307" s="1286"/>
      <c r="N1307" s="168"/>
    </row>
    <row r="1308" spans="1:14" s="282" customFormat="1" outlineLevel="2">
      <c r="A1308" s="276">
        <f t="shared" si="447"/>
        <v>377</v>
      </c>
      <c r="B1308" s="282" t="str">
        <f>$B$237</f>
        <v>10th Grade Teacher</v>
      </c>
      <c r="C1308" s="563"/>
      <c r="D1308" s="421"/>
      <c r="G1308" s="1286">
        <f t="shared" ref="G1308:M1312" si="448">G237*$C$94</f>
        <v>0</v>
      </c>
      <c r="H1308" s="1286">
        <f t="shared" si="448"/>
        <v>0</v>
      </c>
      <c r="I1308" s="1286">
        <f t="shared" si="448"/>
        <v>0</v>
      </c>
      <c r="J1308" s="1286">
        <f t="shared" si="448"/>
        <v>0</v>
      </c>
      <c r="K1308" s="1286">
        <f t="shared" si="448"/>
        <v>936</v>
      </c>
      <c r="L1308" s="1286">
        <f t="shared" si="448"/>
        <v>936</v>
      </c>
      <c r="M1308" s="1286">
        <f t="shared" si="448"/>
        <v>936</v>
      </c>
      <c r="N1308" s="168"/>
    </row>
    <row r="1309" spans="1:14" s="282" customFormat="1" outlineLevel="2">
      <c r="A1309" s="276">
        <f t="shared" si="447"/>
        <v>378</v>
      </c>
      <c r="B1309" s="282" t="str">
        <f>$B$238</f>
        <v>10th Grade Teacher</v>
      </c>
      <c r="C1309" s="563"/>
      <c r="D1309" s="421"/>
      <c r="G1309" s="1286">
        <f t="shared" si="448"/>
        <v>0</v>
      </c>
      <c r="H1309" s="1286">
        <f t="shared" si="448"/>
        <v>0</v>
      </c>
      <c r="I1309" s="1286">
        <f t="shared" si="448"/>
        <v>0</v>
      </c>
      <c r="J1309" s="1286">
        <f t="shared" si="448"/>
        <v>0</v>
      </c>
      <c r="K1309" s="1286">
        <f t="shared" si="448"/>
        <v>936</v>
      </c>
      <c r="L1309" s="1286">
        <f t="shared" si="448"/>
        <v>936</v>
      </c>
      <c r="M1309" s="1286">
        <f t="shared" si="448"/>
        <v>936</v>
      </c>
      <c r="N1309" s="168"/>
    </row>
    <row r="1310" spans="1:14" s="282" customFormat="1" outlineLevel="2">
      <c r="A1310" s="276">
        <f t="shared" si="447"/>
        <v>379</v>
      </c>
      <c r="B1310" s="282" t="str">
        <f>$B$239</f>
        <v>10th Grade Teacher</v>
      </c>
      <c r="C1310" s="563"/>
      <c r="D1310" s="421"/>
      <c r="G1310" s="1286">
        <f t="shared" si="448"/>
        <v>0</v>
      </c>
      <c r="H1310" s="1286">
        <f t="shared" si="448"/>
        <v>0</v>
      </c>
      <c r="I1310" s="1286">
        <f t="shared" si="448"/>
        <v>0</v>
      </c>
      <c r="J1310" s="1286">
        <f t="shared" si="448"/>
        <v>0</v>
      </c>
      <c r="K1310" s="1286">
        <f t="shared" si="448"/>
        <v>936</v>
      </c>
      <c r="L1310" s="1286">
        <f t="shared" si="448"/>
        <v>936</v>
      </c>
      <c r="M1310" s="1286">
        <f t="shared" si="448"/>
        <v>936</v>
      </c>
      <c r="N1310" s="168"/>
    </row>
    <row r="1311" spans="1:14" s="282" customFormat="1" outlineLevel="2">
      <c r="A1311" s="276">
        <f t="shared" si="447"/>
        <v>380</v>
      </c>
      <c r="B1311" s="282">
        <f>$B$240</f>
        <v>0</v>
      </c>
      <c r="C1311" s="563"/>
      <c r="D1311" s="421"/>
      <c r="G1311" s="1286">
        <f t="shared" si="448"/>
        <v>0</v>
      </c>
      <c r="H1311" s="1286">
        <f t="shared" si="448"/>
        <v>0</v>
      </c>
      <c r="I1311" s="1286">
        <f t="shared" si="448"/>
        <v>0</v>
      </c>
      <c r="J1311" s="1286">
        <f t="shared" si="448"/>
        <v>0</v>
      </c>
      <c r="K1311" s="1286">
        <f t="shared" si="448"/>
        <v>0</v>
      </c>
      <c r="L1311" s="1286">
        <f t="shared" si="448"/>
        <v>0</v>
      </c>
      <c r="M1311" s="1286">
        <f t="shared" si="448"/>
        <v>0</v>
      </c>
      <c r="N1311" s="168"/>
    </row>
    <row r="1312" spans="1:14" s="282" customFormat="1" outlineLevel="2">
      <c r="A1312" s="276">
        <f t="shared" si="447"/>
        <v>381</v>
      </c>
      <c r="B1312" s="282">
        <f>$B$241</f>
        <v>0</v>
      </c>
      <c r="C1312" s="563"/>
      <c r="D1312" s="421"/>
      <c r="G1312" s="1286">
        <f t="shared" si="448"/>
        <v>0</v>
      </c>
      <c r="H1312" s="1286">
        <f t="shared" si="448"/>
        <v>0</v>
      </c>
      <c r="I1312" s="1286">
        <f t="shared" si="448"/>
        <v>0</v>
      </c>
      <c r="J1312" s="1286">
        <f t="shared" si="448"/>
        <v>0</v>
      </c>
      <c r="K1312" s="1286">
        <f t="shared" si="448"/>
        <v>0</v>
      </c>
      <c r="L1312" s="1286">
        <f t="shared" si="448"/>
        <v>0</v>
      </c>
      <c r="M1312" s="1286">
        <f t="shared" si="448"/>
        <v>0</v>
      </c>
      <c r="N1312" s="168"/>
    </row>
    <row r="1313" spans="1:27" outlineLevel="2">
      <c r="A1313" s="276">
        <f t="shared" si="447"/>
        <v>382</v>
      </c>
      <c r="B1313" s="282"/>
      <c r="C1313" s="564"/>
      <c r="D1313" s="282"/>
      <c r="G1313" s="1286"/>
      <c r="H1313" s="1286"/>
      <c r="I1313" s="1286"/>
      <c r="J1313" s="1286"/>
      <c r="K1313" s="1286"/>
      <c r="L1313" s="1286"/>
      <c r="M1313" s="1286"/>
      <c r="N1313" s="141"/>
      <c r="R1313" s="282"/>
      <c r="S1313" s="282"/>
      <c r="T1313" s="282"/>
      <c r="U1313" s="282"/>
      <c r="V1313" s="282"/>
      <c r="W1313" s="282"/>
      <c r="X1313" s="282"/>
      <c r="Y1313" s="282"/>
      <c r="Z1313" s="282"/>
      <c r="AA1313" s="282"/>
    </row>
    <row r="1314" spans="1:27" s="282" customFormat="1" outlineLevel="2">
      <c r="A1314" s="276">
        <f t="shared" si="447"/>
        <v>383</v>
      </c>
      <c r="B1314" s="282" t="str">
        <f>$B$243</f>
        <v>11th Grade Teacher</v>
      </c>
      <c r="C1314" s="563"/>
      <c r="D1314" s="421"/>
      <c r="G1314" s="1286">
        <f t="shared" ref="G1314:M1318" si="449">G243*$C$94</f>
        <v>0</v>
      </c>
      <c r="H1314" s="1286">
        <f t="shared" si="449"/>
        <v>0</v>
      </c>
      <c r="I1314" s="1286">
        <f t="shared" si="449"/>
        <v>0</v>
      </c>
      <c r="J1314" s="1286">
        <f t="shared" si="449"/>
        <v>0</v>
      </c>
      <c r="K1314" s="1286">
        <f t="shared" si="449"/>
        <v>0</v>
      </c>
      <c r="L1314" s="1286">
        <f t="shared" si="449"/>
        <v>936</v>
      </c>
      <c r="M1314" s="1286">
        <f t="shared" si="449"/>
        <v>936</v>
      </c>
      <c r="N1314" s="168"/>
    </row>
    <row r="1315" spans="1:27" s="282" customFormat="1" outlineLevel="2">
      <c r="A1315" s="276">
        <f t="shared" si="447"/>
        <v>384</v>
      </c>
      <c r="B1315" s="282" t="str">
        <f>$B$244</f>
        <v>11th Grade Teacher</v>
      </c>
      <c r="C1315" s="563"/>
      <c r="D1315" s="421"/>
      <c r="G1315" s="1286">
        <f t="shared" si="449"/>
        <v>0</v>
      </c>
      <c r="H1315" s="1286">
        <f t="shared" si="449"/>
        <v>0</v>
      </c>
      <c r="I1315" s="1286">
        <f t="shared" si="449"/>
        <v>0</v>
      </c>
      <c r="J1315" s="1286">
        <f t="shared" si="449"/>
        <v>0</v>
      </c>
      <c r="K1315" s="1286">
        <f t="shared" si="449"/>
        <v>0</v>
      </c>
      <c r="L1315" s="1286">
        <f t="shared" si="449"/>
        <v>936</v>
      </c>
      <c r="M1315" s="1286">
        <f t="shared" si="449"/>
        <v>936</v>
      </c>
      <c r="N1315" s="168"/>
    </row>
    <row r="1316" spans="1:27" s="282" customFormat="1" outlineLevel="2">
      <c r="A1316" s="276">
        <f t="shared" si="447"/>
        <v>385</v>
      </c>
      <c r="B1316" s="282" t="str">
        <f>$B$245</f>
        <v>11th Grade Teacher</v>
      </c>
      <c r="C1316" s="563"/>
      <c r="D1316" s="421"/>
      <c r="G1316" s="1286">
        <f t="shared" si="449"/>
        <v>0</v>
      </c>
      <c r="H1316" s="1286">
        <f t="shared" si="449"/>
        <v>0</v>
      </c>
      <c r="I1316" s="1286">
        <f t="shared" si="449"/>
        <v>0</v>
      </c>
      <c r="J1316" s="1286">
        <f t="shared" si="449"/>
        <v>0</v>
      </c>
      <c r="K1316" s="1286">
        <f t="shared" si="449"/>
        <v>0</v>
      </c>
      <c r="L1316" s="1286">
        <f t="shared" si="449"/>
        <v>936</v>
      </c>
      <c r="M1316" s="1286">
        <f t="shared" si="449"/>
        <v>936</v>
      </c>
      <c r="N1316" s="168"/>
    </row>
    <row r="1317" spans="1:27" s="282" customFormat="1" outlineLevel="2">
      <c r="A1317" s="276">
        <f t="shared" si="447"/>
        <v>386</v>
      </c>
      <c r="B1317" s="282">
        <f>$B$246</f>
        <v>0</v>
      </c>
      <c r="C1317" s="563"/>
      <c r="D1317" s="421"/>
      <c r="G1317" s="1286">
        <f t="shared" si="449"/>
        <v>0</v>
      </c>
      <c r="H1317" s="1286">
        <f t="shared" si="449"/>
        <v>0</v>
      </c>
      <c r="I1317" s="1286">
        <f t="shared" si="449"/>
        <v>0</v>
      </c>
      <c r="J1317" s="1286">
        <f t="shared" si="449"/>
        <v>0</v>
      </c>
      <c r="K1317" s="1286">
        <f t="shared" si="449"/>
        <v>0</v>
      </c>
      <c r="L1317" s="1286">
        <f t="shared" si="449"/>
        <v>0</v>
      </c>
      <c r="M1317" s="1286">
        <f t="shared" si="449"/>
        <v>0</v>
      </c>
      <c r="N1317" s="168"/>
    </row>
    <row r="1318" spans="1:27" s="282" customFormat="1" outlineLevel="2">
      <c r="A1318" s="276">
        <f t="shared" si="447"/>
        <v>387</v>
      </c>
      <c r="B1318" s="282">
        <f>$B$247</f>
        <v>0</v>
      </c>
      <c r="C1318" s="563"/>
      <c r="D1318" s="421"/>
      <c r="G1318" s="1286">
        <f t="shared" si="449"/>
        <v>0</v>
      </c>
      <c r="H1318" s="1286">
        <f t="shared" si="449"/>
        <v>0</v>
      </c>
      <c r="I1318" s="1286">
        <f t="shared" si="449"/>
        <v>0</v>
      </c>
      <c r="J1318" s="1286">
        <f t="shared" si="449"/>
        <v>0</v>
      </c>
      <c r="K1318" s="1286">
        <f t="shared" si="449"/>
        <v>0</v>
      </c>
      <c r="L1318" s="1286">
        <f t="shared" si="449"/>
        <v>0</v>
      </c>
      <c r="M1318" s="1286">
        <f t="shared" si="449"/>
        <v>0</v>
      </c>
      <c r="N1318" s="168"/>
    </row>
    <row r="1319" spans="1:27" outlineLevel="2">
      <c r="A1319" s="276">
        <f t="shared" si="447"/>
        <v>388</v>
      </c>
      <c r="B1319" s="282"/>
      <c r="C1319" s="564"/>
      <c r="D1319" s="282"/>
      <c r="G1319" s="1286"/>
      <c r="H1319" s="1286"/>
      <c r="I1319" s="1286"/>
      <c r="J1319" s="1286"/>
      <c r="K1319" s="1286"/>
      <c r="L1319" s="1286"/>
      <c r="M1319" s="1286"/>
      <c r="N1319" s="141"/>
      <c r="R1319" s="282"/>
      <c r="S1319" s="282"/>
      <c r="T1319" s="282"/>
      <c r="U1319" s="282"/>
      <c r="V1319" s="282"/>
      <c r="W1319" s="282"/>
      <c r="X1319" s="282"/>
      <c r="Y1319" s="282"/>
      <c r="Z1319" s="282"/>
      <c r="AA1319" s="282"/>
    </row>
    <row r="1320" spans="1:27" s="282" customFormat="1" outlineLevel="2">
      <c r="A1320" s="276">
        <f t="shared" si="447"/>
        <v>389</v>
      </c>
      <c r="B1320" s="282" t="str">
        <f>$B$249</f>
        <v>12th Grade Teacher</v>
      </c>
      <c r="C1320" s="563"/>
      <c r="D1320" s="421"/>
      <c r="G1320" s="1286">
        <f t="shared" ref="G1320:M1324" si="450">G249*$C$94</f>
        <v>0</v>
      </c>
      <c r="H1320" s="1286">
        <f t="shared" si="450"/>
        <v>0</v>
      </c>
      <c r="I1320" s="1286">
        <f t="shared" si="450"/>
        <v>0</v>
      </c>
      <c r="J1320" s="1286">
        <f t="shared" si="450"/>
        <v>0</v>
      </c>
      <c r="K1320" s="1286">
        <f t="shared" si="450"/>
        <v>0</v>
      </c>
      <c r="L1320" s="1286">
        <f t="shared" si="450"/>
        <v>0</v>
      </c>
      <c r="M1320" s="1286">
        <f t="shared" si="450"/>
        <v>936</v>
      </c>
      <c r="N1320" s="168"/>
    </row>
    <row r="1321" spans="1:27" s="282" customFormat="1" outlineLevel="2">
      <c r="A1321" s="276">
        <f t="shared" si="447"/>
        <v>390</v>
      </c>
      <c r="B1321" s="282" t="str">
        <f>$B$250</f>
        <v>12th Grade Teacher</v>
      </c>
      <c r="C1321" s="563"/>
      <c r="D1321" s="421"/>
      <c r="G1321" s="1286">
        <f t="shared" si="450"/>
        <v>0</v>
      </c>
      <c r="H1321" s="1286">
        <f t="shared" si="450"/>
        <v>0</v>
      </c>
      <c r="I1321" s="1286">
        <f t="shared" si="450"/>
        <v>0</v>
      </c>
      <c r="J1321" s="1286">
        <f t="shared" si="450"/>
        <v>0</v>
      </c>
      <c r="K1321" s="1286">
        <f t="shared" si="450"/>
        <v>0</v>
      </c>
      <c r="L1321" s="1286">
        <f t="shared" si="450"/>
        <v>0</v>
      </c>
      <c r="M1321" s="1286">
        <f t="shared" si="450"/>
        <v>936</v>
      </c>
      <c r="N1321" s="168"/>
    </row>
    <row r="1322" spans="1:27" s="282" customFormat="1" outlineLevel="2">
      <c r="A1322" s="276">
        <f t="shared" si="447"/>
        <v>391</v>
      </c>
      <c r="B1322" s="282" t="str">
        <f>$B$251</f>
        <v>12th Grade Teacher</v>
      </c>
      <c r="C1322" s="563"/>
      <c r="D1322" s="421"/>
      <c r="G1322" s="1286">
        <f t="shared" si="450"/>
        <v>0</v>
      </c>
      <c r="H1322" s="1286">
        <f t="shared" si="450"/>
        <v>0</v>
      </c>
      <c r="I1322" s="1286">
        <f t="shared" si="450"/>
        <v>0</v>
      </c>
      <c r="J1322" s="1286">
        <f t="shared" si="450"/>
        <v>0</v>
      </c>
      <c r="K1322" s="1286">
        <f t="shared" si="450"/>
        <v>0</v>
      </c>
      <c r="L1322" s="1286">
        <f t="shared" si="450"/>
        <v>0</v>
      </c>
      <c r="M1322" s="1286">
        <f t="shared" si="450"/>
        <v>936</v>
      </c>
      <c r="N1322" s="168"/>
    </row>
    <row r="1323" spans="1:27" s="282" customFormat="1" outlineLevel="2">
      <c r="A1323" s="276">
        <f t="shared" si="447"/>
        <v>392</v>
      </c>
      <c r="B1323" s="282">
        <f>$B$252</f>
        <v>0</v>
      </c>
      <c r="C1323" s="563"/>
      <c r="D1323" s="421"/>
      <c r="G1323" s="1286">
        <f t="shared" si="450"/>
        <v>0</v>
      </c>
      <c r="H1323" s="1286">
        <f t="shared" si="450"/>
        <v>0</v>
      </c>
      <c r="I1323" s="1286">
        <f t="shared" si="450"/>
        <v>0</v>
      </c>
      <c r="J1323" s="1286">
        <f t="shared" si="450"/>
        <v>0</v>
      </c>
      <c r="K1323" s="1286">
        <f t="shared" si="450"/>
        <v>0</v>
      </c>
      <c r="L1323" s="1286">
        <f t="shared" si="450"/>
        <v>0</v>
      </c>
      <c r="M1323" s="1286">
        <f t="shared" si="450"/>
        <v>0</v>
      </c>
      <c r="N1323" s="168"/>
    </row>
    <row r="1324" spans="1:27" s="282" customFormat="1" outlineLevel="2">
      <c r="A1324" s="276">
        <f t="shared" si="447"/>
        <v>393</v>
      </c>
      <c r="B1324" s="282">
        <f>$B$253</f>
        <v>0</v>
      </c>
      <c r="C1324" s="563"/>
      <c r="D1324" s="421"/>
      <c r="G1324" s="1286">
        <f t="shared" si="450"/>
        <v>0</v>
      </c>
      <c r="H1324" s="1286">
        <f t="shared" si="450"/>
        <v>0</v>
      </c>
      <c r="I1324" s="1286">
        <f t="shared" si="450"/>
        <v>0</v>
      </c>
      <c r="J1324" s="1286">
        <f t="shared" si="450"/>
        <v>0</v>
      </c>
      <c r="K1324" s="1286">
        <f t="shared" si="450"/>
        <v>0</v>
      </c>
      <c r="L1324" s="1286">
        <f t="shared" si="450"/>
        <v>0</v>
      </c>
      <c r="M1324" s="1286">
        <f t="shared" si="450"/>
        <v>0</v>
      </c>
      <c r="N1324" s="168"/>
    </row>
    <row r="1325" spans="1:27" s="282" customFormat="1" outlineLevel="2">
      <c r="A1325" s="276">
        <f t="shared" si="447"/>
        <v>394</v>
      </c>
      <c r="C1325" s="563"/>
      <c r="D1325" s="421"/>
      <c r="G1325" s="1286"/>
      <c r="H1325" s="1286"/>
      <c r="I1325" s="1286"/>
      <c r="J1325" s="1286"/>
      <c r="K1325" s="1286"/>
      <c r="L1325" s="1286"/>
      <c r="M1325" s="1286"/>
      <c r="N1325" s="168"/>
    </row>
    <row r="1326" spans="1:27" s="282" customFormat="1" outlineLevel="2">
      <c r="A1326" s="276">
        <f t="shared" si="447"/>
        <v>395</v>
      </c>
      <c r="B1326" s="282" t="str">
        <f>$B$255</f>
        <v>Instructional Aide</v>
      </c>
      <c r="C1326" s="563"/>
      <c r="D1326" s="421"/>
      <c r="G1326" s="1286">
        <f t="shared" ref="G1326:M1330" si="451">G255*$C$94</f>
        <v>0</v>
      </c>
      <c r="H1326" s="1286">
        <f t="shared" si="451"/>
        <v>936</v>
      </c>
      <c r="I1326" s="1286">
        <f t="shared" si="451"/>
        <v>936</v>
      </c>
      <c r="J1326" s="1286">
        <f t="shared" si="451"/>
        <v>936</v>
      </c>
      <c r="K1326" s="1286">
        <f t="shared" si="451"/>
        <v>936</v>
      </c>
      <c r="L1326" s="1286">
        <f t="shared" si="451"/>
        <v>936</v>
      </c>
      <c r="M1326" s="1286">
        <f t="shared" si="451"/>
        <v>936</v>
      </c>
      <c r="N1326" s="168"/>
    </row>
    <row r="1327" spans="1:27" s="282" customFormat="1" outlineLevel="2">
      <c r="A1327" s="276">
        <f t="shared" si="447"/>
        <v>396</v>
      </c>
      <c r="B1327" s="282" t="str">
        <f>$B$256</f>
        <v>Instructional Aide</v>
      </c>
      <c r="C1327" s="563"/>
      <c r="D1327" s="421"/>
      <c r="G1327" s="1286">
        <f t="shared" si="451"/>
        <v>0</v>
      </c>
      <c r="H1327" s="1286">
        <f t="shared" si="451"/>
        <v>0</v>
      </c>
      <c r="I1327" s="1286">
        <f t="shared" si="451"/>
        <v>936</v>
      </c>
      <c r="J1327" s="1286">
        <f t="shared" si="451"/>
        <v>936</v>
      </c>
      <c r="K1327" s="1286">
        <f t="shared" si="451"/>
        <v>936</v>
      </c>
      <c r="L1327" s="1286">
        <f t="shared" si="451"/>
        <v>936</v>
      </c>
      <c r="M1327" s="1286">
        <f t="shared" si="451"/>
        <v>936</v>
      </c>
      <c r="N1327" s="168"/>
    </row>
    <row r="1328" spans="1:27" s="282" customFormat="1" outlineLevel="2">
      <c r="A1328" s="276">
        <f t="shared" si="447"/>
        <v>397</v>
      </c>
      <c r="B1328" s="282" t="str">
        <f>$B$257</f>
        <v>Instructional Aide</v>
      </c>
      <c r="C1328" s="563"/>
      <c r="D1328" s="421"/>
      <c r="G1328" s="1286">
        <f t="shared" si="451"/>
        <v>0</v>
      </c>
      <c r="H1328" s="1286">
        <f t="shared" si="451"/>
        <v>0</v>
      </c>
      <c r="I1328" s="1286">
        <f t="shared" si="451"/>
        <v>936</v>
      </c>
      <c r="J1328" s="1286">
        <f t="shared" si="451"/>
        <v>936</v>
      </c>
      <c r="K1328" s="1286">
        <f t="shared" si="451"/>
        <v>936</v>
      </c>
      <c r="L1328" s="1286">
        <f t="shared" si="451"/>
        <v>936</v>
      </c>
      <c r="M1328" s="1286">
        <f t="shared" si="451"/>
        <v>936</v>
      </c>
      <c r="N1328" s="168"/>
    </row>
    <row r="1329" spans="1:27" s="282" customFormat="1" outlineLevel="2">
      <c r="A1329" s="276">
        <f t="shared" si="447"/>
        <v>398</v>
      </c>
      <c r="B1329" s="282" t="str">
        <f>$B$258</f>
        <v>Instructional Aide</v>
      </c>
      <c r="C1329" s="563"/>
      <c r="D1329" s="421"/>
      <c r="G1329" s="1286">
        <f t="shared" si="451"/>
        <v>0</v>
      </c>
      <c r="H1329" s="1286">
        <f t="shared" si="451"/>
        <v>0</v>
      </c>
      <c r="I1329" s="1286">
        <f t="shared" si="451"/>
        <v>0</v>
      </c>
      <c r="J1329" s="1286">
        <f t="shared" si="451"/>
        <v>936</v>
      </c>
      <c r="K1329" s="1286">
        <f t="shared" si="451"/>
        <v>936</v>
      </c>
      <c r="L1329" s="1286">
        <f t="shared" si="451"/>
        <v>936</v>
      </c>
      <c r="M1329" s="1286">
        <f t="shared" si="451"/>
        <v>936</v>
      </c>
      <c r="N1329" s="168"/>
    </row>
    <row r="1330" spans="1:27" s="282" customFormat="1" outlineLevel="2">
      <c r="A1330" s="276">
        <f t="shared" si="447"/>
        <v>399</v>
      </c>
      <c r="B1330" s="282" t="str">
        <f>$B$259</f>
        <v>Instructional Aide</v>
      </c>
      <c r="C1330" s="563"/>
      <c r="D1330" s="421"/>
      <c r="G1330" s="1286">
        <f t="shared" si="451"/>
        <v>0</v>
      </c>
      <c r="H1330" s="1286">
        <f t="shared" si="451"/>
        <v>0</v>
      </c>
      <c r="I1330" s="1286">
        <f t="shared" si="451"/>
        <v>0</v>
      </c>
      <c r="J1330" s="1286">
        <f t="shared" si="451"/>
        <v>936</v>
      </c>
      <c r="K1330" s="1286">
        <f t="shared" si="451"/>
        <v>936</v>
      </c>
      <c r="L1330" s="1286">
        <f t="shared" si="451"/>
        <v>936</v>
      </c>
      <c r="M1330" s="1286">
        <f t="shared" si="451"/>
        <v>936</v>
      </c>
      <c r="N1330" s="168"/>
    </row>
    <row r="1331" spans="1:27" s="282" customFormat="1" outlineLevel="2">
      <c r="A1331" s="276">
        <f t="shared" si="447"/>
        <v>400</v>
      </c>
      <c r="C1331" s="563"/>
      <c r="D1331" s="421"/>
      <c r="G1331" s="1286"/>
      <c r="H1331" s="1286"/>
      <c r="I1331" s="1286"/>
      <c r="J1331" s="1286"/>
      <c r="K1331" s="1286"/>
      <c r="L1331" s="1286"/>
      <c r="M1331" s="1286"/>
      <c r="N1331" s="168"/>
    </row>
    <row r="1332" spans="1:27" s="282" customFormat="1" outlineLevel="2">
      <c r="A1332" s="276">
        <f t="shared" si="447"/>
        <v>401</v>
      </c>
      <c r="B1332" s="282" t="str">
        <f>$B$261</f>
        <v>Instructional Aide</v>
      </c>
      <c r="C1332" s="563"/>
      <c r="D1332" s="421"/>
      <c r="G1332" s="1286">
        <f t="shared" ref="G1332:M1336" si="452">G261*$C$94</f>
        <v>0</v>
      </c>
      <c r="H1332" s="1286">
        <f t="shared" si="452"/>
        <v>0</v>
      </c>
      <c r="I1332" s="1286">
        <f t="shared" si="452"/>
        <v>0</v>
      </c>
      <c r="J1332" s="1286">
        <f t="shared" si="452"/>
        <v>0</v>
      </c>
      <c r="K1332" s="1286">
        <f t="shared" si="452"/>
        <v>936</v>
      </c>
      <c r="L1332" s="1286">
        <f t="shared" si="452"/>
        <v>936</v>
      </c>
      <c r="M1332" s="1286">
        <f t="shared" si="452"/>
        <v>936</v>
      </c>
      <c r="N1332" s="168"/>
    </row>
    <row r="1333" spans="1:27" s="282" customFormat="1" outlineLevel="2">
      <c r="A1333" s="276">
        <f t="shared" si="447"/>
        <v>402</v>
      </c>
      <c r="B1333" s="282" t="str">
        <f>$B$262</f>
        <v>Instructional Aide</v>
      </c>
      <c r="C1333" s="563"/>
      <c r="D1333" s="421"/>
      <c r="G1333" s="1286">
        <f t="shared" si="452"/>
        <v>0</v>
      </c>
      <c r="H1333" s="1286">
        <f t="shared" si="452"/>
        <v>0</v>
      </c>
      <c r="I1333" s="1286">
        <f t="shared" si="452"/>
        <v>0</v>
      </c>
      <c r="J1333" s="1286">
        <f t="shared" si="452"/>
        <v>0</v>
      </c>
      <c r="K1333" s="1286">
        <f t="shared" si="452"/>
        <v>936</v>
      </c>
      <c r="L1333" s="1286">
        <f t="shared" si="452"/>
        <v>936</v>
      </c>
      <c r="M1333" s="1286">
        <f t="shared" si="452"/>
        <v>936</v>
      </c>
      <c r="N1333" s="168"/>
    </row>
    <row r="1334" spans="1:27" s="282" customFormat="1" outlineLevel="2">
      <c r="A1334" s="276">
        <f t="shared" si="447"/>
        <v>403</v>
      </c>
      <c r="B1334" s="282" t="str">
        <f>$B$263</f>
        <v>Instructional Aide</v>
      </c>
      <c r="C1334" s="563"/>
      <c r="D1334" s="421"/>
      <c r="G1334" s="1286">
        <f t="shared" si="452"/>
        <v>0</v>
      </c>
      <c r="H1334" s="1286">
        <f t="shared" si="452"/>
        <v>0</v>
      </c>
      <c r="I1334" s="1286">
        <f t="shared" si="452"/>
        <v>0</v>
      </c>
      <c r="J1334" s="1286">
        <f t="shared" si="452"/>
        <v>0</v>
      </c>
      <c r="K1334" s="1286">
        <f t="shared" si="452"/>
        <v>0</v>
      </c>
      <c r="L1334" s="1286">
        <f t="shared" si="452"/>
        <v>936</v>
      </c>
      <c r="M1334" s="1286">
        <f t="shared" si="452"/>
        <v>936</v>
      </c>
      <c r="N1334" s="168"/>
    </row>
    <row r="1335" spans="1:27" s="282" customFormat="1" outlineLevel="2">
      <c r="A1335" s="276">
        <f t="shared" ref="A1335:A1343" si="453">ROW(A404)</f>
        <v>404</v>
      </c>
      <c r="B1335" s="282" t="str">
        <f>$B$264</f>
        <v>Instructional Aide</v>
      </c>
      <c r="C1335" s="563"/>
      <c r="D1335" s="421"/>
      <c r="G1335" s="1286">
        <f t="shared" si="452"/>
        <v>0</v>
      </c>
      <c r="H1335" s="1286">
        <f t="shared" si="452"/>
        <v>0</v>
      </c>
      <c r="I1335" s="1286">
        <f t="shared" si="452"/>
        <v>0</v>
      </c>
      <c r="J1335" s="1286">
        <f t="shared" si="452"/>
        <v>0</v>
      </c>
      <c r="K1335" s="1286">
        <f t="shared" si="452"/>
        <v>0</v>
      </c>
      <c r="L1335" s="1286">
        <f t="shared" si="452"/>
        <v>936</v>
      </c>
      <c r="M1335" s="1286">
        <f t="shared" si="452"/>
        <v>936</v>
      </c>
      <c r="N1335" s="168"/>
    </row>
    <row r="1336" spans="1:27" s="282" customFormat="1" outlineLevel="2">
      <c r="A1336" s="276">
        <f t="shared" si="453"/>
        <v>405</v>
      </c>
      <c r="B1336" s="282" t="str">
        <f>$B$265</f>
        <v>Instructional Aide</v>
      </c>
      <c r="C1336" s="563"/>
      <c r="D1336" s="421"/>
      <c r="G1336" s="1286">
        <f t="shared" si="452"/>
        <v>0</v>
      </c>
      <c r="H1336" s="1286">
        <f t="shared" si="452"/>
        <v>0</v>
      </c>
      <c r="I1336" s="1286">
        <f t="shared" si="452"/>
        <v>0</v>
      </c>
      <c r="J1336" s="1286">
        <f t="shared" si="452"/>
        <v>0</v>
      </c>
      <c r="K1336" s="1286">
        <f t="shared" si="452"/>
        <v>0</v>
      </c>
      <c r="L1336" s="1286">
        <f t="shared" si="452"/>
        <v>0</v>
      </c>
      <c r="M1336" s="1286">
        <f t="shared" si="452"/>
        <v>936</v>
      </c>
      <c r="N1336" s="168"/>
    </row>
    <row r="1337" spans="1:27" outlineLevel="2">
      <c r="A1337" s="276">
        <f t="shared" si="453"/>
        <v>406</v>
      </c>
      <c r="B1337" s="282"/>
      <c r="C1337" s="564"/>
      <c r="D1337" s="282"/>
      <c r="G1337" s="1286"/>
      <c r="H1337" s="1286"/>
      <c r="I1337" s="1286"/>
      <c r="J1337" s="1286"/>
      <c r="K1337" s="1286"/>
      <c r="L1337" s="1286"/>
      <c r="M1337" s="1286"/>
      <c r="N1337" s="141"/>
      <c r="R1337" s="282"/>
      <c r="S1337" s="282"/>
      <c r="T1337" s="282"/>
      <c r="U1337" s="282"/>
      <c r="V1337" s="282"/>
      <c r="W1337" s="282"/>
      <c r="X1337" s="282"/>
      <c r="Y1337" s="282"/>
      <c r="Z1337" s="282"/>
      <c r="AA1337" s="282"/>
    </row>
    <row r="1338" spans="1:27" outlineLevel="2">
      <c r="A1338" s="276">
        <f t="shared" si="453"/>
        <v>407</v>
      </c>
      <c r="B1338" s="545" t="s">
        <v>236</v>
      </c>
      <c r="C1338" s="707"/>
      <c r="D1338" s="545"/>
      <c r="E1338" s="517"/>
      <c r="F1338" s="517"/>
      <c r="G1338" s="1287">
        <f t="shared" ref="G1338:M1338" si="454">SUM(G1229:G1336)</f>
        <v>0</v>
      </c>
      <c r="H1338" s="1287">
        <f t="shared" si="454"/>
        <v>19656</v>
      </c>
      <c r="I1338" s="1287">
        <f t="shared" si="454"/>
        <v>30888</v>
      </c>
      <c r="J1338" s="1287">
        <f t="shared" si="454"/>
        <v>45864</v>
      </c>
      <c r="K1338" s="1287">
        <f t="shared" si="454"/>
        <v>53352</v>
      </c>
      <c r="L1338" s="1287">
        <f t="shared" si="454"/>
        <v>60840</v>
      </c>
      <c r="M1338" s="1287">
        <f t="shared" si="454"/>
        <v>72072</v>
      </c>
      <c r="N1338" s="141"/>
      <c r="R1338" s="282"/>
      <c r="S1338" s="282"/>
      <c r="T1338" s="282"/>
      <c r="U1338" s="282"/>
      <c r="V1338" s="282"/>
      <c r="W1338" s="282"/>
      <c r="X1338" s="282"/>
      <c r="Y1338" s="282"/>
      <c r="Z1338" s="282"/>
      <c r="AA1338" s="282"/>
    </row>
    <row r="1339" spans="1:27" outlineLevel="2">
      <c r="A1339" s="276">
        <f t="shared" si="453"/>
        <v>408</v>
      </c>
      <c r="B1339" s="282"/>
      <c r="C1339" s="564"/>
      <c r="D1339" s="282"/>
      <c r="G1339" s="1286"/>
      <c r="H1339" s="1286"/>
      <c r="I1339" s="1286"/>
      <c r="J1339" s="1286"/>
      <c r="K1339" s="1286"/>
      <c r="L1339" s="1286"/>
      <c r="M1339" s="1286"/>
      <c r="N1339" s="141"/>
    </row>
    <row r="1340" spans="1:27" outlineLevel="2">
      <c r="A1340" s="276">
        <f t="shared" si="453"/>
        <v>409</v>
      </c>
      <c r="B1340" s="282"/>
      <c r="C1340" s="564"/>
      <c r="D1340" s="282"/>
      <c r="G1340" s="1286"/>
      <c r="H1340" s="1286"/>
      <c r="I1340" s="1286"/>
      <c r="J1340" s="1286"/>
      <c r="K1340" s="1286"/>
      <c r="L1340" s="1286"/>
      <c r="M1340" s="1286"/>
      <c r="N1340" s="141"/>
    </row>
    <row r="1341" spans="1:27" outlineLevel="1">
      <c r="A1341" s="276">
        <f t="shared" si="453"/>
        <v>410</v>
      </c>
      <c r="B1341" s="529" t="s">
        <v>731</v>
      </c>
      <c r="C1341" s="746"/>
      <c r="D1341" s="529"/>
      <c r="E1341" s="517"/>
      <c r="F1341" s="517"/>
      <c r="G1341" s="1288">
        <f>G1338+G1199+G1237</f>
        <v>0</v>
      </c>
      <c r="H1341" s="1288">
        <f t="shared" ref="H1341:M1341" si="455">H1338+H1199+H1237</f>
        <v>26208</v>
      </c>
      <c r="I1341" s="1288">
        <f t="shared" si="455"/>
        <v>41184</v>
      </c>
      <c r="J1341" s="1288">
        <f t="shared" si="455"/>
        <v>60840</v>
      </c>
      <c r="K1341" s="1288">
        <f t="shared" si="455"/>
        <v>70200</v>
      </c>
      <c r="L1341" s="1288">
        <f t="shared" si="455"/>
        <v>79560</v>
      </c>
      <c r="M1341" s="1288">
        <f t="shared" si="455"/>
        <v>93600</v>
      </c>
      <c r="N1341" s="141"/>
    </row>
    <row r="1342" spans="1:27" outlineLevel="1">
      <c r="A1342" s="276">
        <f t="shared" si="453"/>
        <v>411</v>
      </c>
      <c r="B1342" s="385"/>
      <c r="C1342" s="565"/>
      <c r="D1342" s="385"/>
      <c r="E1342" s="275"/>
      <c r="F1342" s="275"/>
      <c r="G1342" s="141"/>
      <c r="H1342" s="963"/>
      <c r="I1342" s="963"/>
      <c r="J1342" s="963"/>
      <c r="K1342" s="963"/>
      <c r="L1342" s="963"/>
      <c r="M1342" s="963"/>
      <c r="N1342" s="141"/>
    </row>
    <row r="1343" spans="1:27">
      <c r="A1343" s="276">
        <f t="shared" si="453"/>
        <v>412</v>
      </c>
      <c r="B1343" s="279" t="s">
        <v>98</v>
      </c>
      <c r="C1343" s="566"/>
      <c r="D1343" s="529"/>
      <c r="G1343" s="182">
        <f t="shared" ref="G1343:M1343" si="456">G1341+G1182+G1026+G873+G719+G566</f>
        <v>0</v>
      </c>
      <c r="H1343" s="1296">
        <f t="shared" si="456"/>
        <v>471034</v>
      </c>
      <c r="I1343" s="1296">
        <f t="shared" si="456"/>
        <v>728005.76749999996</v>
      </c>
      <c r="J1343" s="1296">
        <f t="shared" si="456"/>
        <v>1008907.45005</v>
      </c>
      <c r="K1343" s="1296">
        <f t="shared" si="456"/>
        <v>1273851.903224</v>
      </c>
      <c r="L1343" s="1296">
        <f t="shared" si="456"/>
        <v>1547801.1556367313</v>
      </c>
      <c r="M1343" s="1296">
        <f t="shared" si="456"/>
        <v>1907927.1067165486</v>
      </c>
      <c r="N1343" s="141"/>
    </row>
    <row r="1344" spans="1:27" s="380" customFormat="1">
      <c r="A1344" s="276">
        <f>ROW()</f>
        <v>1344</v>
      </c>
      <c r="B1344" s="380" t="s">
        <v>36</v>
      </c>
      <c r="C1344" s="567"/>
      <c r="G1344" s="1297">
        <f>IFERROR(G1343/G421,0)</f>
        <v>0</v>
      </c>
      <c r="H1344" s="1297">
        <f t="shared" ref="H1344:M1344" si="457">IF(OR(H1343=0,H421=0),0,H1343/H421)</f>
        <v>0.48989495579823195</v>
      </c>
      <c r="I1344" s="1297">
        <f t="shared" si="457"/>
        <v>0.50074510522098292</v>
      </c>
      <c r="J1344" s="1297">
        <f t="shared" si="457"/>
        <v>0.50104954431596294</v>
      </c>
      <c r="K1344" s="1297">
        <f t="shared" si="457"/>
        <v>0.50454661090092701</v>
      </c>
      <c r="L1344" s="1297">
        <f t="shared" si="457"/>
        <v>0.5031837832170406</v>
      </c>
      <c r="M1344" s="1297">
        <f t="shared" si="457"/>
        <v>0.50476757620559898</v>
      </c>
      <c r="N1344" s="309"/>
    </row>
    <row r="1345" spans="1:14">
      <c r="A1345" s="276">
        <f>ROW()</f>
        <v>1345</v>
      </c>
      <c r="C1345" s="568"/>
      <c r="G1345" s="179"/>
      <c r="H1345" s="179"/>
      <c r="I1345" s="179"/>
      <c r="J1345" s="179"/>
      <c r="K1345" s="179"/>
      <c r="L1345" s="179"/>
      <c r="M1345" s="179"/>
      <c r="N1345" s="141"/>
    </row>
    <row r="1346" spans="1:14" outlineLevel="1">
      <c r="A1346" s="276">
        <f>ROW()</f>
        <v>1346</v>
      </c>
      <c r="B1346" s="223" t="s">
        <v>224</v>
      </c>
      <c r="C1346" s="568"/>
      <c r="G1346" s="179"/>
      <c r="H1346" s="179"/>
      <c r="I1346" s="179"/>
      <c r="J1346" s="179"/>
      <c r="K1346" s="179"/>
      <c r="L1346" s="179"/>
      <c r="M1346" s="179"/>
      <c r="N1346" s="141"/>
    </row>
    <row r="1347" spans="1:14" outlineLevel="1">
      <c r="A1347" s="276">
        <f>ROW()</f>
        <v>1347</v>
      </c>
      <c r="C1347" s="568"/>
      <c r="G1347" s="179"/>
      <c r="H1347" s="179"/>
      <c r="I1347" s="179"/>
      <c r="J1347" s="179"/>
      <c r="K1347" s="179"/>
      <c r="L1347" s="179"/>
      <c r="M1347" s="179"/>
      <c r="N1347" s="141"/>
    </row>
    <row r="1348" spans="1:14" outlineLevel="1">
      <c r="A1348" s="276">
        <f>ROW()</f>
        <v>1348</v>
      </c>
      <c r="B1348" s="217" t="s">
        <v>109</v>
      </c>
      <c r="C1348" s="568"/>
      <c r="G1348" s="179"/>
      <c r="H1348" s="179"/>
      <c r="I1348" s="179"/>
      <c r="J1348" s="179"/>
      <c r="K1348" s="179"/>
      <c r="L1348" s="179"/>
      <c r="M1348" s="179"/>
      <c r="N1348" s="141"/>
    </row>
    <row r="1349" spans="1:14" outlineLevel="1">
      <c r="A1349" s="276">
        <f>ROW()</f>
        <v>1349</v>
      </c>
      <c r="B1349" s="217" t="s">
        <v>186</v>
      </c>
      <c r="C1349" s="568"/>
      <c r="G1349" s="434"/>
      <c r="H1349" s="434">
        <v>1</v>
      </c>
      <c r="I1349" s="434">
        <v>2</v>
      </c>
      <c r="J1349" s="434">
        <v>8</v>
      </c>
      <c r="K1349" s="434">
        <v>10</v>
      </c>
      <c r="L1349" s="434">
        <v>12</v>
      </c>
      <c r="M1349" s="434">
        <v>12</v>
      </c>
      <c r="N1349" s="141"/>
    </row>
    <row r="1350" spans="1:14" outlineLevel="1">
      <c r="A1350" s="276">
        <f>ROW()</f>
        <v>1350</v>
      </c>
      <c r="B1350" s="217" t="s">
        <v>111</v>
      </c>
      <c r="C1350" s="569">
        <v>0</v>
      </c>
      <c r="D1350" s="544">
        <v>0</v>
      </c>
      <c r="G1350" s="195">
        <f>$C$1350*G1349</f>
        <v>0</v>
      </c>
      <c r="H1350" s="195">
        <f t="shared" ref="H1350:M1350" si="458">$C$1350*H1349</f>
        <v>0</v>
      </c>
      <c r="I1350" s="195">
        <f t="shared" si="458"/>
        <v>0</v>
      </c>
      <c r="J1350" s="195">
        <f t="shared" si="458"/>
        <v>0</v>
      </c>
      <c r="K1350" s="195">
        <f t="shared" si="458"/>
        <v>0</v>
      </c>
      <c r="L1350" s="195">
        <f t="shared" si="458"/>
        <v>0</v>
      </c>
      <c r="M1350" s="195">
        <f t="shared" si="458"/>
        <v>0</v>
      </c>
      <c r="N1350" s="141"/>
    </row>
    <row r="1351" spans="1:14" outlineLevel="1">
      <c r="A1351" s="276">
        <f>ROW()</f>
        <v>1351</v>
      </c>
      <c r="C1351" s="1193"/>
      <c r="D1351" s="1194"/>
      <c r="G1351" s="179"/>
      <c r="H1351" s="179"/>
      <c r="I1351" s="179"/>
      <c r="J1351" s="179"/>
      <c r="K1351" s="179"/>
      <c r="L1351" s="179"/>
      <c r="M1351" s="179"/>
      <c r="N1351" s="141"/>
    </row>
    <row r="1352" spans="1:14" outlineLevel="1">
      <c r="A1352" s="276">
        <f>ROW()</f>
        <v>1352</v>
      </c>
      <c r="B1352" s="217" t="s">
        <v>109</v>
      </c>
      <c r="C1352" s="948"/>
      <c r="D1352" s="141"/>
      <c r="G1352" s="179"/>
      <c r="H1352" s="179"/>
      <c r="I1352" s="179"/>
      <c r="J1352" s="179"/>
      <c r="K1352" s="179"/>
      <c r="L1352" s="179"/>
      <c r="M1352" s="179"/>
      <c r="N1352" s="141"/>
    </row>
    <row r="1353" spans="1:14" outlineLevel="1">
      <c r="A1353" s="276">
        <f>ROW()</f>
        <v>1353</v>
      </c>
      <c r="B1353" s="217" t="s">
        <v>186</v>
      </c>
      <c r="C1353" s="948"/>
      <c r="D1353" s="141"/>
      <c r="G1353" s="434"/>
      <c r="H1353" s="434">
        <v>1</v>
      </c>
      <c r="I1353" s="434">
        <v>2</v>
      </c>
      <c r="J1353" s="434">
        <v>3</v>
      </c>
      <c r="K1353" s="434">
        <v>3</v>
      </c>
      <c r="L1353" s="434">
        <v>3</v>
      </c>
      <c r="M1353" s="434">
        <v>3</v>
      </c>
      <c r="N1353" s="141"/>
    </row>
    <row r="1354" spans="1:14" outlineLevel="1">
      <c r="A1354" s="276">
        <f>ROW()</f>
        <v>1354</v>
      </c>
      <c r="B1354" s="217" t="s">
        <v>111</v>
      </c>
      <c r="C1354" s="569">
        <v>0</v>
      </c>
      <c r="D1354" s="544"/>
      <c r="G1354" s="195">
        <f>$C$1354*G1353</f>
        <v>0</v>
      </c>
      <c r="H1354" s="195">
        <f t="shared" ref="H1354:M1354" si="459">$C$1354*H1353</f>
        <v>0</v>
      </c>
      <c r="I1354" s="195">
        <f t="shared" si="459"/>
        <v>0</v>
      </c>
      <c r="J1354" s="195">
        <f t="shared" si="459"/>
        <v>0</v>
      </c>
      <c r="K1354" s="195">
        <f t="shared" si="459"/>
        <v>0</v>
      </c>
      <c r="L1354" s="195">
        <f t="shared" si="459"/>
        <v>0</v>
      </c>
      <c r="M1354" s="195">
        <f t="shared" si="459"/>
        <v>0</v>
      </c>
      <c r="N1354" s="141"/>
    </row>
    <row r="1355" spans="1:14" outlineLevel="1">
      <c r="A1355" s="276">
        <f>ROW()</f>
        <v>1355</v>
      </c>
      <c r="C1355" s="948"/>
      <c r="D1355" s="141"/>
      <c r="G1355" s="179"/>
      <c r="H1355" s="179"/>
      <c r="I1355" s="179"/>
      <c r="J1355" s="179"/>
      <c r="K1355" s="179"/>
      <c r="L1355" s="179"/>
      <c r="M1355" s="179"/>
      <c r="N1355" s="141"/>
    </row>
    <row r="1356" spans="1:14" outlineLevel="1">
      <c r="A1356" s="276">
        <f>ROW()</f>
        <v>1356</v>
      </c>
      <c r="B1356" s="217" t="s">
        <v>109</v>
      </c>
      <c r="C1356" s="948"/>
      <c r="D1356" s="141"/>
      <c r="G1356" s="179"/>
      <c r="H1356" s="179"/>
      <c r="I1356" s="179"/>
      <c r="J1356" s="179"/>
      <c r="K1356" s="179"/>
      <c r="L1356" s="179"/>
      <c r="M1356" s="179"/>
      <c r="N1356" s="141"/>
    </row>
    <row r="1357" spans="1:14" outlineLevel="1">
      <c r="A1357" s="276">
        <f>ROW()</f>
        <v>1357</v>
      </c>
      <c r="B1357" s="217" t="s">
        <v>186</v>
      </c>
      <c r="C1357" s="948"/>
      <c r="D1357" s="141"/>
      <c r="G1357" s="434"/>
      <c r="H1357" s="434"/>
      <c r="I1357" s="434"/>
      <c r="J1357" s="434"/>
      <c r="K1357" s="434"/>
      <c r="L1357" s="434"/>
      <c r="M1357" s="434"/>
      <c r="N1357" s="141"/>
    </row>
    <row r="1358" spans="1:14" outlineLevel="1">
      <c r="A1358" s="276">
        <f>ROW()</f>
        <v>1358</v>
      </c>
      <c r="B1358" s="217" t="s">
        <v>111</v>
      </c>
      <c r="C1358" s="570"/>
      <c r="D1358" s="435"/>
      <c r="G1358" s="195">
        <f>$C$1358*G1357</f>
        <v>0</v>
      </c>
      <c r="H1358" s="195">
        <f>$C$1358*H1357</f>
        <v>0</v>
      </c>
      <c r="I1358" s="195">
        <f>$C$1358*I1357</f>
        <v>0</v>
      </c>
      <c r="J1358" s="195">
        <f>I1358*$C$46</f>
        <v>0</v>
      </c>
      <c r="K1358" s="195">
        <f>J1358*$C$46</f>
        <v>0</v>
      </c>
      <c r="L1358" s="195">
        <f>K1358*$C$46</f>
        <v>0</v>
      </c>
      <c r="M1358" s="195">
        <f>L1358*$C$46</f>
        <v>0</v>
      </c>
      <c r="N1358" s="141"/>
    </row>
    <row r="1359" spans="1:14" outlineLevel="1">
      <c r="A1359" s="276">
        <f>ROW()</f>
        <v>1359</v>
      </c>
      <c r="C1359" s="948"/>
      <c r="D1359" s="141"/>
      <c r="G1359" s="179"/>
      <c r="H1359" s="179"/>
      <c r="I1359" s="179"/>
      <c r="J1359" s="179"/>
      <c r="K1359" s="179"/>
      <c r="L1359" s="179"/>
      <c r="M1359" s="179"/>
      <c r="N1359" s="141"/>
    </row>
    <row r="1360" spans="1:14" outlineLevel="1">
      <c r="A1360" s="276">
        <f>ROW()</f>
        <v>1360</v>
      </c>
      <c r="B1360" s="217" t="s">
        <v>109</v>
      </c>
      <c r="C1360" s="948"/>
      <c r="D1360" s="141"/>
      <c r="G1360" s="179"/>
      <c r="H1360" s="179"/>
      <c r="I1360" s="179"/>
      <c r="J1360" s="179"/>
      <c r="K1360" s="179"/>
      <c r="L1360" s="179"/>
      <c r="M1360" s="179"/>
      <c r="N1360" s="141"/>
    </row>
    <row r="1361" spans="1:14" outlineLevel="1">
      <c r="A1361" s="276">
        <f>ROW()</f>
        <v>1361</v>
      </c>
      <c r="B1361" s="217" t="s">
        <v>186</v>
      </c>
      <c r="C1361" s="948"/>
      <c r="D1361" s="141"/>
      <c r="G1361" s="434"/>
      <c r="H1361" s="434"/>
      <c r="I1361" s="434"/>
      <c r="J1361" s="434"/>
      <c r="K1361" s="434"/>
      <c r="L1361" s="434"/>
      <c r="M1361" s="434"/>
      <c r="N1361" s="141"/>
    </row>
    <row r="1362" spans="1:14" outlineLevel="1">
      <c r="A1362" s="276">
        <f>ROW()</f>
        <v>1362</v>
      </c>
      <c r="B1362" s="217" t="s">
        <v>111</v>
      </c>
      <c r="C1362" s="570"/>
      <c r="D1362" s="435"/>
      <c r="G1362" s="195">
        <f>$C$1362*G1361</f>
        <v>0</v>
      </c>
      <c r="H1362" s="195">
        <f t="shared" ref="H1362:M1362" si="460">$C$1362*H1361</f>
        <v>0</v>
      </c>
      <c r="I1362" s="195">
        <f t="shared" si="460"/>
        <v>0</v>
      </c>
      <c r="J1362" s="195">
        <f t="shared" si="460"/>
        <v>0</v>
      </c>
      <c r="K1362" s="195">
        <f t="shared" si="460"/>
        <v>0</v>
      </c>
      <c r="L1362" s="195">
        <f t="shared" si="460"/>
        <v>0</v>
      </c>
      <c r="M1362" s="195">
        <f t="shared" si="460"/>
        <v>0</v>
      </c>
      <c r="N1362" s="141"/>
    </row>
    <row r="1363" spans="1:14" outlineLevel="1">
      <c r="A1363" s="276">
        <f>ROW()</f>
        <v>1363</v>
      </c>
      <c r="C1363" s="948"/>
      <c r="D1363" s="141"/>
      <c r="G1363" s="179"/>
      <c r="H1363" s="179"/>
      <c r="I1363" s="179"/>
      <c r="J1363" s="179"/>
      <c r="K1363" s="179"/>
      <c r="L1363" s="179"/>
      <c r="M1363" s="179"/>
      <c r="N1363" s="141"/>
    </row>
    <row r="1364" spans="1:14" outlineLevel="1">
      <c r="A1364" s="276">
        <f>ROW()</f>
        <v>1364</v>
      </c>
      <c r="B1364" s="217" t="s">
        <v>109</v>
      </c>
      <c r="C1364" s="948"/>
      <c r="D1364" s="141"/>
      <c r="G1364" s="179"/>
      <c r="H1364" s="179"/>
      <c r="I1364" s="179"/>
      <c r="J1364" s="179"/>
      <c r="K1364" s="179"/>
      <c r="L1364" s="179"/>
      <c r="M1364" s="179"/>
      <c r="N1364" s="141"/>
    </row>
    <row r="1365" spans="1:14" outlineLevel="1">
      <c r="A1365" s="276">
        <f>ROW()</f>
        <v>1365</v>
      </c>
      <c r="B1365" s="217" t="s">
        <v>186</v>
      </c>
      <c r="C1365" s="948"/>
      <c r="D1365" s="141"/>
      <c r="G1365" s="434"/>
      <c r="H1365" s="434"/>
      <c r="I1365" s="434"/>
      <c r="J1365" s="434"/>
      <c r="K1365" s="434"/>
      <c r="L1365" s="434"/>
      <c r="M1365" s="434"/>
      <c r="N1365" s="141"/>
    </row>
    <row r="1366" spans="1:14" outlineLevel="1">
      <c r="A1366" s="276">
        <f>ROW()</f>
        <v>1366</v>
      </c>
      <c r="B1366" s="217" t="s">
        <v>111</v>
      </c>
      <c r="C1366" s="570"/>
      <c r="D1366" s="435"/>
      <c r="G1366" s="195">
        <f>$C$1366*G1365</f>
        <v>0</v>
      </c>
      <c r="H1366" s="195">
        <f t="shared" ref="H1366:M1366" si="461">$C$1366*H1365</f>
        <v>0</v>
      </c>
      <c r="I1366" s="195">
        <f t="shared" si="461"/>
        <v>0</v>
      </c>
      <c r="J1366" s="195">
        <f t="shared" si="461"/>
        <v>0</v>
      </c>
      <c r="K1366" s="195">
        <f t="shared" si="461"/>
        <v>0</v>
      </c>
      <c r="L1366" s="195">
        <f t="shared" si="461"/>
        <v>0</v>
      </c>
      <c r="M1366" s="195">
        <f t="shared" si="461"/>
        <v>0</v>
      </c>
      <c r="N1366" s="141"/>
    </row>
    <row r="1367" spans="1:14" ht="15" thickBot="1">
      <c r="A1367" s="276">
        <f>ROW()</f>
        <v>1367</v>
      </c>
      <c r="C1367" s="568"/>
      <c r="G1367" s="179"/>
      <c r="H1367" s="179"/>
      <c r="I1367" s="179"/>
      <c r="J1367" s="179"/>
      <c r="K1367" s="179"/>
      <c r="L1367" s="179"/>
      <c r="M1367" s="179"/>
      <c r="N1367" s="141"/>
    </row>
    <row r="1368" spans="1:14" ht="15" thickBot="1">
      <c r="A1368" s="276">
        <f>ROW()</f>
        <v>1368</v>
      </c>
      <c r="B1368" s="381" t="s">
        <v>597</v>
      </c>
      <c r="C1368" s="571">
        <f>SUM(G1368:M1368)</f>
        <v>0</v>
      </c>
      <c r="D1368" s="382"/>
      <c r="E1368" s="382"/>
      <c r="F1368" s="382"/>
      <c r="G1368" s="1298">
        <f t="shared" ref="G1368:M1368" si="462">G1366+G1362+G1358+G1354+G1350</f>
        <v>0</v>
      </c>
      <c r="H1368" s="1298">
        <f t="shared" si="462"/>
        <v>0</v>
      </c>
      <c r="I1368" s="1298">
        <f t="shared" si="462"/>
        <v>0</v>
      </c>
      <c r="J1368" s="1298">
        <f t="shared" si="462"/>
        <v>0</v>
      </c>
      <c r="K1368" s="1298">
        <f t="shared" si="462"/>
        <v>0</v>
      </c>
      <c r="L1368" s="1298">
        <f t="shared" si="462"/>
        <v>0</v>
      </c>
      <c r="M1368" s="1298">
        <f t="shared" si="462"/>
        <v>0</v>
      </c>
      <c r="N1368" s="141"/>
    </row>
    <row r="1369" spans="1:14" ht="15" thickBot="1">
      <c r="A1369" s="276">
        <f>ROW()</f>
        <v>1369</v>
      </c>
      <c r="B1369" s="378"/>
      <c r="C1369" s="562"/>
      <c r="D1369" s="378"/>
      <c r="E1369" s="378"/>
      <c r="F1369" s="378"/>
      <c r="G1369" s="463"/>
      <c r="H1369" s="463"/>
      <c r="I1369" s="463"/>
      <c r="J1369" s="463"/>
      <c r="K1369" s="463"/>
      <c r="L1369" s="463"/>
      <c r="M1369" s="463"/>
      <c r="N1369" s="141"/>
    </row>
    <row r="1370" spans="1:14" ht="15" thickBot="1">
      <c r="A1370" s="276">
        <f>ROW()</f>
        <v>1370</v>
      </c>
      <c r="B1370" s="381" t="s">
        <v>157</v>
      </c>
      <c r="C1370" s="571">
        <f>SUM(G1370:M1370)</f>
        <v>0</v>
      </c>
      <c r="D1370" s="382"/>
      <c r="E1370" s="382"/>
      <c r="F1370" s="382"/>
      <c r="G1370" s="1298">
        <f t="shared" ref="G1370:M1370" si="463">G421*$C$97</f>
        <v>0</v>
      </c>
      <c r="H1370" s="1298">
        <f t="shared" si="463"/>
        <v>0</v>
      </c>
      <c r="I1370" s="1298">
        <f t="shared" si="463"/>
        <v>0</v>
      </c>
      <c r="J1370" s="1298">
        <f t="shared" si="463"/>
        <v>0</v>
      </c>
      <c r="K1370" s="1298">
        <f t="shared" si="463"/>
        <v>0</v>
      </c>
      <c r="L1370" s="1298">
        <f t="shared" si="463"/>
        <v>0</v>
      </c>
      <c r="M1370" s="1298">
        <f t="shared" si="463"/>
        <v>0</v>
      </c>
      <c r="N1370" s="141"/>
    </row>
    <row r="1371" spans="1:14" ht="15" thickBot="1">
      <c r="A1371" s="276">
        <f>ROW()</f>
        <v>1371</v>
      </c>
      <c r="B1371" s="378"/>
      <c r="C1371" s="562"/>
      <c r="D1371" s="378"/>
      <c r="E1371" s="378"/>
      <c r="F1371" s="378"/>
      <c r="G1371" s="463"/>
      <c r="H1371" s="463"/>
      <c r="I1371" s="463"/>
      <c r="J1371" s="463"/>
      <c r="K1371" s="463"/>
      <c r="L1371" s="463"/>
      <c r="M1371" s="463"/>
      <c r="N1371" s="141"/>
    </row>
    <row r="1372" spans="1:14" ht="15" thickBot="1">
      <c r="A1372" s="276">
        <f>ROW()</f>
        <v>1372</v>
      </c>
      <c r="B1372" s="381" t="s">
        <v>158</v>
      </c>
      <c r="C1372" s="572">
        <f>SUM(G1372:M1372)</f>
        <v>42000</v>
      </c>
      <c r="D1372" s="436"/>
      <c r="E1372" s="436"/>
      <c r="F1372" s="436"/>
      <c r="G1372" s="1298">
        <f t="shared" ref="G1372:M1372" si="464">G103*$C$96*12</f>
        <v>0</v>
      </c>
      <c r="H1372" s="1298">
        <f t="shared" si="464"/>
        <v>3150</v>
      </c>
      <c r="I1372" s="1298">
        <f t="shared" si="464"/>
        <v>4650</v>
      </c>
      <c r="J1372" s="1298">
        <f t="shared" si="464"/>
        <v>6450</v>
      </c>
      <c r="K1372" s="1298">
        <f t="shared" si="464"/>
        <v>7800</v>
      </c>
      <c r="L1372" s="1298">
        <f t="shared" si="464"/>
        <v>9150</v>
      </c>
      <c r="M1372" s="1298">
        <f t="shared" si="464"/>
        <v>10800</v>
      </c>
      <c r="N1372" s="141"/>
    </row>
    <row r="1373" spans="1:14">
      <c r="A1373" s="276">
        <f>ROW()</f>
        <v>1373</v>
      </c>
      <c r="C1373" s="568"/>
      <c r="G1373" s="141"/>
      <c r="H1373" s="150"/>
      <c r="I1373" s="150"/>
      <c r="J1373" s="150"/>
      <c r="K1373" s="150"/>
      <c r="L1373" s="150"/>
      <c r="M1373" s="150"/>
      <c r="N1373" s="141"/>
    </row>
    <row r="1374" spans="1:14">
      <c r="A1374" s="276">
        <f>ROW()</f>
        <v>1374</v>
      </c>
      <c r="C1374" s="573"/>
      <c r="D1374" s="223"/>
      <c r="E1374" s="223"/>
      <c r="F1374" s="223"/>
      <c r="G1374" s="135" t="str">
        <f t="shared" ref="G1374:M1376" si="465">G9</f>
        <v>SY 0/Incubation</v>
      </c>
      <c r="H1374" s="135" t="str">
        <f t="shared" si="465"/>
        <v>SY 1</v>
      </c>
      <c r="I1374" s="135" t="str">
        <f t="shared" si="465"/>
        <v>SY 2</v>
      </c>
      <c r="J1374" s="135" t="str">
        <f t="shared" si="465"/>
        <v>SY 3</v>
      </c>
      <c r="K1374" s="135" t="str">
        <f t="shared" si="465"/>
        <v>SY 4</v>
      </c>
      <c r="L1374" s="135" t="str">
        <f t="shared" si="465"/>
        <v>SY 5</v>
      </c>
      <c r="M1374" s="135" t="str">
        <f t="shared" si="465"/>
        <v>SY 6</v>
      </c>
      <c r="N1374" s="141"/>
    </row>
    <row r="1375" spans="1:14">
      <c r="A1375" s="276">
        <f>ROW()</f>
        <v>1375</v>
      </c>
      <c r="C1375" s="573"/>
      <c r="D1375" s="223"/>
      <c r="E1375" s="223"/>
      <c r="F1375" s="223"/>
      <c r="G1375" s="1400">
        <f t="shared" si="465"/>
        <v>2020</v>
      </c>
      <c r="H1375" s="1401">
        <f t="shared" si="465"/>
        <v>2021</v>
      </c>
      <c r="I1375" s="1401">
        <f t="shared" si="465"/>
        <v>2022</v>
      </c>
      <c r="J1375" s="1401">
        <f t="shared" si="465"/>
        <v>2023</v>
      </c>
      <c r="K1375" s="1401">
        <f t="shared" si="465"/>
        <v>2024</v>
      </c>
      <c r="L1375" s="1401">
        <f t="shared" si="465"/>
        <v>2025</v>
      </c>
      <c r="M1375" s="1402">
        <f t="shared" si="465"/>
        <v>2026</v>
      </c>
      <c r="N1375" s="141"/>
    </row>
    <row r="1376" spans="1:14">
      <c r="A1376" s="276">
        <f>ROW()</f>
        <v>1376</v>
      </c>
      <c r="B1376" s="1285"/>
      <c r="C1376" s="1399"/>
      <c r="D1376" s="1285"/>
      <c r="E1376" s="1285"/>
      <c r="F1376" s="1285"/>
      <c r="G1376" s="138">
        <f t="shared" si="465"/>
        <v>2021</v>
      </c>
      <c r="H1376" s="139">
        <f t="shared" si="465"/>
        <v>2022</v>
      </c>
      <c r="I1376" s="139">
        <f t="shared" si="465"/>
        <v>2023</v>
      </c>
      <c r="J1376" s="139">
        <f t="shared" si="465"/>
        <v>2024</v>
      </c>
      <c r="K1376" s="139">
        <f t="shared" si="465"/>
        <v>2025</v>
      </c>
      <c r="L1376" s="139">
        <f t="shared" si="465"/>
        <v>2026</v>
      </c>
      <c r="M1376" s="140">
        <f t="shared" si="465"/>
        <v>2027</v>
      </c>
      <c r="N1376" s="141"/>
    </row>
    <row r="1377" spans="1:14">
      <c r="A1377" s="276">
        <f>ROW()</f>
        <v>1377</v>
      </c>
      <c r="B1377" s="1411" t="s">
        <v>91</v>
      </c>
      <c r="C1377" s="1412"/>
      <c r="D1377" s="1411"/>
      <c r="E1377" s="1411"/>
      <c r="F1377" s="1411"/>
      <c r="G1377" s="1413"/>
      <c r="H1377" s="1413"/>
      <c r="I1377" s="1413"/>
      <c r="J1377" s="1413"/>
      <c r="K1377" s="1413"/>
      <c r="L1377" s="1413"/>
      <c r="M1377" s="1413"/>
      <c r="N1377" s="141"/>
    </row>
    <row r="1378" spans="1:14" outlineLevel="1">
      <c r="A1378" s="276">
        <f>ROW()</f>
        <v>1378</v>
      </c>
      <c r="B1378" s="223" t="s">
        <v>198</v>
      </c>
      <c r="C1378" s="573" t="s">
        <v>71</v>
      </c>
      <c r="D1378" s="201"/>
      <c r="E1378" s="201"/>
      <c r="F1378" s="201"/>
      <c r="G1378" s="141"/>
      <c r="H1378" s="141"/>
      <c r="I1378" s="141"/>
      <c r="J1378" s="141"/>
      <c r="K1378" s="141"/>
      <c r="L1378" s="141"/>
      <c r="M1378" s="141"/>
      <c r="N1378" s="141"/>
    </row>
    <row r="1379" spans="1:14" outlineLevel="1">
      <c r="A1379" s="276">
        <f>ROW()</f>
        <v>1379</v>
      </c>
      <c r="B1379" s="295" t="s">
        <v>130</v>
      </c>
      <c r="C1379" s="947">
        <v>750</v>
      </c>
      <c r="D1379" s="437" t="s">
        <v>66</v>
      </c>
      <c r="E1379" s="437"/>
      <c r="F1379" s="437"/>
      <c r="G1379" s="1299"/>
      <c r="H1379" s="1299">
        <f t="shared" ref="H1379:M1379" si="466">$C$1379*H103</f>
        <v>15750</v>
      </c>
      <c r="I1379" s="1299">
        <f t="shared" si="466"/>
        <v>23250</v>
      </c>
      <c r="J1379" s="1299">
        <f t="shared" si="466"/>
        <v>32250</v>
      </c>
      <c r="K1379" s="1299">
        <f t="shared" si="466"/>
        <v>39000</v>
      </c>
      <c r="L1379" s="1299">
        <f t="shared" si="466"/>
        <v>45750</v>
      </c>
      <c r="M1379" s="1299">
        <f t="shared" si="466"/>
        <v>54000</v>
      </c>
      <c r="N1379" s="141"/>
    </row>
    <row r="1380" spans="1:14" outlineLevel="1">
      <c r="A1380" s="276">
        <f>ROW()</f>
        <v>1380</v>
      </c>
      <c r="B1380" s="295" t="s">
        <v>9</v>
      </c>
      <c r="C1380" s="947">
        <v>2000</v>
      </c>
      <c r="D1380" s="437" t="s">
        <v>0</v>
      </c>
      <c r="E1380" s="437"/>
      <c r="F1380" s="437"/>
      <c r="G1380" s="196"/>
      <c r="H1380" s="196">
        <f t="shared" ref="H1380:M1380" si="467">$C1380</f>
        <v>2000</v>
      </c>
      <c r="I1380" s="196">
        <f t="shared" si="467"/>
        <v>2000</v>
      </c>
      <c r="J1380" s="196">
        <f t="shared" si="467"/>
        <v>2000</v>
      </c>
      <c r="K1380" s="196">
        <f t="shared" si="467"/>
        <v>2000</v>
      </c>
      <c r="L1380" s="196">
        <f t="shared" si="467"/>
        <v>2000</v>
      </c>
      <c r="M1380" s="196">
        <f t="shared" si="467"/>
        <v>2000</v>
      </c>
      <c r="N1380" s="141"/>
    </row>
    <row r="1381" spans="1:14" outlineLevel="1">
      <c r="A1381" s="276">
        <f>ROW()</f>
        <v>1381</v>
      </c>
      <c r="B1381" s="295" t="s">
        <v>269</v>
      </c>
      <c r="C1381" s="947"/>
      <c r="D1381" s="437" t="s">
        <v>270</v>
      </c>
      <c r="E1381" s="437"/>
      <c r="F1381" s="437"/>
      <c r="G1381" s="196"/>
      <c r="H1381" s="196">
        <f t="shared" ref="H1381:M1381" si="468">$C$1381</f>
        <v>0</v>
      </c>
      <c r="I1381" s="196">
        <f t="shared" si="468"/>
        <v>0</v>
      </c>
      <c r="J1381" s="196">
        <f t="shared" si="468"/>
        <v>0</v>
      </c>
      <c r="K1381" s="196">
        <f t="shared" si="468"/>
        <v>0</v>
      </c>
      <c r="L1381" s="196">
        <f t="shared" si="468"/>
        <v>0</v>
      </c>
      <c r="M1381" s="196">
        <f t="shared" si="468"/>
        <v>0</v>
      </c>
      <c r="N1381" s="141"/>
    </row>
    <row r="1382" spans="1:14" outlineLevel="1">
      <c r="A1382" s="276">
        <f>ROW()</f>
        <v>1382</v>
      </c>
      <c r="B1382" s="295" t="s">
        <v>575</v>
      </c>
      <c r="C1382" s="588"/>
      <c r="D1382" s="437"/>
      <c r="E1382" s="437"/>
      <c r="F1382" s="437"/>
      <c r="G1382" s="196"/>
      <c r="H1382" s="196"/>
      <c r="I1382" s="196"/>
      <c r="J1382" s="196"/>
      <c r="K1382" s="196"/>
      <c r="L1382" s="196"/>
      <c r="M1382" s="196"/>
      <c r="N1382" s="141"/>
    </row>
    <row r="1383" spans="1:14" outlineLevel="1">
      <c r="A1383" s="276">
        <f>ROW()</f>
        <v>1383</v>
      </c>
      <c r="B1383" s="295" t="s">
        <v>129</v>
      </c>
      <c r="C1383" s="947">
        <v>125</v>
      </c>
      <c r="D1383" s="437" t="s">
        <v>68</v>
      </c>
      <c r="E1383" s="437"/>
      <c r="F1383" s="437"/>
      <c r="G1383" s="196"/>
      <c r="H1383" s="196">
        <f t="shared" ref="H1383:M1383" si="469">$C$1383*(H31-G31)</f>
        <v>40625</v>
      </c>
      <c r="I1383" s="196">
        <f t="shared" si="469"/>
        <v>12500</v>
      </c>
      <c r="J1383" s="196">
        <f t="shared" si="469"/>
        <v>15625</v>
      </c>
      <c r="K1383" s="196">
        <f t="shared" si="469"/>
        <v>15625</v>
      </c>
      <c r="L1383" s="196">
        <f t="shared" si="469"/>
        <v>15625</v>
      </c>
      <c r="M1383" s="196">
        <f t="shared" si="469"/>
        <v>21875</v>
      </c>
      <c r="N1383" s="141"/>
    </row>
    <row r="1384" spans="1:14" outlineLevel="1">
      <c r="A1384" s="276">
        <f>ROW()</f>
        <v>1384</v>
      </c>
      <c r="B1384" s="295" t="s">
        <v>211</v>
      </c>
      <c r="C1384" s="947">
        <v>3</v>
      </c>
      <c r="D1384" s="437" t="s">
        <v>221</v>
      </c>
      <c r="E1384" s="437"/>
      <c r="F1384" s="437"/>
      <c r="G1384" s="196"/>
      <c r="H1384" s="196"/>
      <c r="I1384" s="196"/>
      <c r="J1384" s="196"/>
      <c r="K1384" s="196"/>
      <c r="L1384" s="196"/>
      <c r="M1384" s="196"/>
      <c r="N1384" s="141"/>
    </row>
    <row r="1385" spans="1:14" outlineLevel="1">
      <c r="A1385" s="276">
        <f>ROW()</f>
        <v>1385</v>
      </c>
      <c r="B1385" s="295" t="s">
        <v>230</v>
      </c>
      <c r="C1385" s="947">
        <v>10</v>
      </c>
      <c r="D1385" s="437" t="s">
        <v>68</v>
      </c>
      <c r="E1385" s="437"/>
      <c r="F1385" s="437"/>
      <c r="G1385" s="196"/>
      <c r="H1385" s="196">
        <f t="shared" ref="H1385:M1385" si="470">$C$1385*H31</f>
        <v>3250</v>
      </c>
      <c r="I1385" s="196">
        <f t="shared" si="470"/>
        <v>4250</v>
      </c>
      <c r="J1385" s="196">
        <f t="shared" si="470"/>
        <v>5500</v>
      </c>
      <c r="K1385" s="196">
        <f t="shared" si="470"/>
        <v>6750</v>
      </c>
      <c r="L1385" s="196">
        <f t="shared" si="470"/>
        <v>8000</v>
      </c>
      <c r="M1385" s="196">
        <f t="shared" si="470"/>
        <v>9750</v>
      </c>
      <c r="N1385" s="141"/>
    </row>
    <row r="1386" spans="1:14" outlineLevel="1">
      <c r="A1386" s="276">
        <f>ROW()</f>
        <v>1386</v>
      </c>
      <c r="B1386" s="295" t="s">
        <v>272</v>
      </c>
      <c r="C1386" s="947"/>
      <c r="D1386" s="437" t="s">
        <v>68</v>
      </c>
      <c r="E1386" s="437"/>
      <c r="F1386" s="437"/>
      <c r="G1386" s="196"/>
      <c r="H1386" s="196">
        <f t="shared" ref="H1386:M1386" si="471">$C$1386*H31</f>
        <v>0</v>
      </c>
      <c r="I1386" s="196">
        <f t="shared" si="471"/>
        <v>0</v>
      </c>
      <c r="J1386" s="196">
        <f t="shared" si="471"/>
        <v>0</v>
      </c>
      <c r="K1386" s="196">
        <f t="shared" si="471"/>
        <v>0</v>
      </c>
      <c r="L1386" s="196">
        <f t="shared" si="471"/>
        <v>0</v>
      </c>
      <c r="M1386" s="196">
        <f t="shared" si="471"/>
        <v>0</v>
      </c>
      <c r="N1386" s="141"/>
    </row>
    <row r="1387" spans="1:14" outlineLevel="1">
      <c r="A1387" s="276">
        <f>ROW()</f>
        <v>1387</v>
      </c>
      <c r="B1387" s="295" t="s">
        <v>277</v>
      </c>
      <c r="C1387" s="947"/>
      <c r="D1387" s="437" t="s">
        <v>262</v>
      </c>
      <c r="E1387" s="437"/>
      <c r="F1387" s="437"/>
      <c r="G1387" s="196"/>
      <c r="H1387" s="196">
        <f t="shared" ref="H1387:M1387" si="472">$C$1387*H31</f>
        <v>0</v>
      </c>
      <c r="I1387" s="196">
        <f t="shared" si="472"/>
        <v>0</v>
      </c>
      <c r="J1387" s="196">
        <f t="shared" si="472"/>
        <v>0</v>
      </c>
      <c r="K1387" s="196">
        <f t="shared" si="472"/>
        <v>0</v>
      </c>
      <c r="L1387" s="196">
        <f t="shared" si="472"/>
        <v>0</v>
      </c>
      <c r="M1387" s="196">
        <f t="shared" si="472"/>
        <v>0</v>
      </c>
      <c r="N1387" s="141"/>
    </row>
    <row r="1388" spans="1:14" outlineLevel="1">
      <c r="A1388" s="276">
        <f>ROW()</f>
        <v>1388</v>
      </c>
      <c r="B1388" s="295" t="s">
        <v>600</v>
      </c>
      <c r="C1388" s="588"/>
      <c r="D1388" s="437"/>
      <c r="E1388" s="437"/>
      <c r="F1388" s="437"/>
      <c r="G1388" s="196"/>
      <c r="H1388" s="196">
        <f t="shared" ref="H1388:M1388" si="473">(H59+H69)*$C$1388</f>
        <v>0</v>
      </c>
      <c r="I1388" s="196">
        <f t="shared" si="473"/>
        <v>0</v>
      </c>
      <c r="J1388" s="196">
        <f t="shared" si="473"/>
        <v>0</v>
      </c>
      <c r="K1388" s="196">
        <f t="shared" si="473"/>
        <v>0</v>
      </c>
      <c r="L1388" s="196">
        <f t="shared" si="473"/>
        <v>0</v>
      </c>
      <c r="M1388" s="196">
        <f t="shared" si="473"/>
        <v>0</v>
      </c>
      <c r="N1388" s="141"/>
    </row>
    <row r="1389" spans="1:14" outlineLevel="1">
      <c r="A1389" s="276">
        <f>ROW()</f>
        <v>1389</v>
      </c>
      <c r="B1389" s="295" t="s">
        <v>338</v>
      </c>
      <c r="C1389" s="947"/>
      <c r="D1389" s="437" t="s">
        <v>278</v>
      </c>
      <c r="E1389" s="437"/>
      <c r="F1389" s="437"/>
      <c r="G1389" s="196"/>
      <c r="H1389" s="196">
        <f t="shared" ref="H1389:M1389" si="474">(H59+H69)*$C$1389</f>
        <v>0</v>
      </c>
      <c r="I1389" s="196">
        <f t="shared" si="474"/>
        <v>0</v>
      </c>
      <c r="J1389" s="196">
        <f t="shared" si="474"/>
        <v>0</v>
      </c>
      <c r="K1389" s="196">
        <f t="shared" si="474"/>
        <v>0</v>
      </c>
      <c r="L1389" s="196">
        <f t="shared" si="474"/>
        <v>0</v>
      </c>
      <c r="M1389" s="196">
        <f t="shared" si="474"/>
        <v>0</v>
      </c>
      <c r="N1389" s="141"/>
    </row>
    <row r="1390" spans="1:14" outlineLevel="1">
      <c r="A1390" s="276">
        <f>ROW()</f>
        <v>1390</v>
      </c>
      <c r="B1390" s="295" t="s">
        <v>940</v>
      </c>
      <c r="C1390" s="1414">
        <v>0.05</v>
      </c>
      <c r="D1390" s="437" t="s">
        <v>278</v>
      </c>
      <c r="E1390" s="437"/>
      <c r="F1390" s="437"/>
      <c r="G1390" s="196"/>
      <c r="H1390" s="196">
        <f>(H75)*$C1390</f>
        <v>137242.83766999419</v>
      </c>
      <c r="I1390" s="196">
        <f t="shared" ref="I1390:M1390" si="475">(I75)*$C1390</f>
        <v>184031.06645012298</v>
      </c>
      <c r="J1390" s="196">
        <f t="shared" si="475"/>
        <v>244235.61372116386</v>
      </c>
      <c r="K1390" s="196">
        <f t="shared" si="475"/>
        <v>307426.55273116217</v>
      </c>
      <c r="L1390" s="196">
        <f t="shared" si="475"/>
        <v>373736.15770441131</v>
      </c>
      <c r="M1390" s="196">
        <f t="shared" si="475"/>
        <v>467264.21921831876</v>
      </c>
      <c r="N1390" s="141"/>
    </row>
    <row r="1391" spans="1:14" outlineLevel="1">
      <c r="A1391" s="276">
        <f>ROW()</f>
        <v>1391</v>
      </c>
      <c r="B1391" s="295" t="s">
        <v>22</v>
      </c>
      <c r="C1391" s="947"/>
      <c r="D1391" s="437"/>
      <c r="E1391" s="437"/>
      <c r="F1391" s="437"/>
      <c r="G1391" s="196"/>
      <c r="H1391" s="196"/>
      <c r="I1391" s="196"/>
      <c r="J1391" s="196"/>
      <c r="K1391" s="196"/>
      <c r="L1391" s="196"/>
      <c r="M1391" s="196"/>
      <c r="N1391" s="141"/>
    </row>
    <row r="1392" spans="1:14" outlineLevel="1">
      <c r="A1392" s="276">
        <f>ROW()</f>
        <v>1392</v>
      </c>
      <c r="B1392" s="295" t="s">
        <v>16</v>
      </c>
      <c r="C1392" s="947">
        <v>35</v>
      </c>
      <c r="D1392" s="437" t="s">
        <v>68</v>
      </c>
      <c r="E1392" s="437"/>
      <c r="F1392" s="437"/>
      <c r="G1392" s="196"/>
      <c r="H1392" s="196">
        <f t="shared" ref="H1392:M1392" si="476">$C$1392*H31</f>
        <v>11375</v>
      </c>
      <c r="I1392" s="196">
        <f t="shared" si="476"/>
        <v>14875</v>
      </c>
      <c r="J1392" s="196">
        <f t="shared" si="476"/>
        <v>19250</v>
      </c>
      <c r="K1392" s="196">
        <f t="shared" si="476"/>
        <v>23625</v>
      </c>
      <c r="L1392" s="196">
        <f t="shared" si="476"/>
        <v>28000</v>
      </c>
      <c r="M1392" s="196">
        <f t="shared" si="476"/>
        <v>34125</v>
      </c>
      <c r="N1392" s="141"/>
    </row>
    <row r="1393" spans="1:14" outlineLevel="1">
      <c r="A1393" s="276">
        <f>ROW()</f>
        <v>1393</v>
      </c>
      <c r="B1393" s="295" t="s">
        <v>205</v>
      </c>
      <c r="C1393" s="947">
        <v>20</v>
      </c>
      <c r="D1393" s="437" t="s">
        <v>68</v>
      </c>
      <c r="E1393" s="437"/>
      <c r="F1393" s="437"/>
      <c r="G1393" s="196"/>
      <c r="H1393" s="196">
        <f t="shared" ref="H1393:M1393" si="477">$C$1393*H31</f>
        <v>6500</v>
      </c>
      <c r="I1393" s="196">
        <f t="shared" si="477"/>
        <v>8500</v>
      </c>
      <c r="J1393" s="196">
        <f t="shared" si="477"/>
        <v>11000</v>
      </c>
      <c r="K1393" s="196">
        <f t="shared" si="477"/>
        <v>13500</v>
      </c>
      <c r="L1393" s="196">
        <f t="shared" si="477"/>
        <v>16000</v>
      </c>
      <c r="M1393" s="196">
        <f t="shared" si="477"/>
        <v>19500</v>
      </c>
      <c r="N1393" s="141"/>
    </row>
    <row r="1394" spans="1:14" outlineLevel="1">
      <c r="A1394" s="276">
        <f>ROW()</f>
        <v>1394</v>
      </c>
      <c r="B1394" s="295" t="s">
        <v>204</v>
      </c>
      <c r="C1394" s="947">
        <v>85</v>
      </c>
      <c r="D1394" s="437" t="s">
        <v>68</v>
      </c>
      <c r="E1394" s="437"/>
      <c r="F1394" s="437"/>
      <c r="G1394" s="196"/>
      <c r="H1394" s="196">
        <f t="shared" ref="H1394:M1394" si="478">$C$1394*H31</f>
        <v>27625</v>
      </c>
      <c r="I1394" s="196">
        <f t="shared" si="478"/>
        <v>36125</v>
      </c>
      <c r="J1394" s="196">
        <f t="shared" si="478"/>
        <v>46750</v>
      </c>
      <c r="K1394" s="196">
        <f t="shared" si="478"/>
        <v>57375</v>
      </c>
      <c r="L1394" s="196">
        <f t="shared" si="478"/>
        <v>68000</v>
      </c>
      <c r="M1394" s="196">
        <f t="shared" si="478"/>
        <v>82875</v>
      </c>
      <c r="N1394" s="141"/>
    </row>
    <row r="1395" spans="1:14" outlineLevel="1">
      <c r="A1395" s="276">
        <f>ROW()</f>
        <v>1395</v>
      </c>
      <c r="B1395" s="295" t="s">
        <v>274</v>
      </c>
      <c r="C1395" s="947"/>
      <c r="D1395" s="437" t="s">
        <v>68</v>
      </c>
      <c r="E1395" s="437"/>
      <c r="F1395" s="437"/>
      <c r="G1395" s="196"/>
      <c r="H1395" s="196">
        <f t="shared" ref="H1395:M1395" si="479">$C$1395*H31</f>
        <v>0</v>
      </c>
      <c r="I1395" s="196">
        <f t="shared" si="479"/>
        <v>0</v>
      </c>
      <c r="J1395" s="196">
        <f t="shared" si="479"/>
        <v>0</v>
      </c>
      <c r="K1395" s="196">
        <f t="shared" si="479"/>
        <v>0</v>
      </c>
      <c r="L1395" s="196">
        <f t="shared" si="479"/>
        <v>0</v>
      </c>
      <c r="M1395" s="196">
        <f t="shared" si="479"/>
        <v>0</v>
      </c>
      <c r="N1395" s="141"/>
    </row>
    <row r="1396" spans="1:14" outlineLevel="1">
      <c r="A1396" s="276">
        <f>ROW()</f>
        <v>1396</v>
      </c>
      <c r="B1396" s="295" t="s">
        <v>275</v>
      </c>
      <c r="C1396" s="947"/>
      <c r="D1396" s="437" t="s">
        <v>68</v>
      </c>
      <c r="E1396" s="437"/>
      <c r="F1396" s="437"/>
      <c r="G1396" s="196"/>
      <c r="H1396" s="196">
        <f t="shared" ref="H1396:M1396" si="480">$C$1396*H31</f>
        <v>0</v>
      </c>
      <c r="I1396" s="196">
        <f t="shared" si="480"/>
        <v>0</v>
      </c>
      <c r="J1396" s="196">
        <f t="shared" si="480"/>
        <v>0</v>
      </c>
      <c r="K1396" s="196">
        <f t="shared" si="480"/>
        <v>0</v>
      </c>
      <c r="L1396" s="196">
        <f t="shared" si="480"/>
        <v>0</v>
      </c>
      <c r="M1396" s="196">
        <f t="shared" si="480"/>
        <v>0</v>
      </c>
      <c r="N1396" s="141"/>
    </row>
    <row r="1397" spans="1:14" outlineLevel="1">
      <c r="A1397" s="276">
        <f>ROW()</f>
        <v>1397</v>
      </c>
      <c r="B1397" s="295" t="s">
        <v>276</v>
      </c>
      <c r="C1397" s="947">
        <v>2000</v>
      </c>
      <c r="D1397" s="437" t="s">
        <v>228</v>
      </c>
      <c r="E1397" s="437"/>
      <c r="F1397" s="437"/>
      <c r="G1397" s="196"/>
      <c r="H1397" s="196">
        <f t="shared" ref="H1397:M1397" si="481">$C$1397*H31*H40</f>
        <v>117000</v>
      </c>
      <c r="I1397" s="196">
        <f t="shared" si="481"/>
        <v>153000</v>
      </c>
      <c r="J1397" s="196">
        <f t="shared" si="481"/>
        <v>198000</v>
      </c>
      <c r="K1397" s="196">
        <f t="shared" si="481"/>
        <v>243000</v>
      </c>
      <c r="L1397" s="196">
        <f t="shared" si="481"/>
        <v>288000</v>
      </c>
      <c r="M1397" s="196">
        <f t="shared" si="481"/>
        <v>351000</v>
      </c>
      <c r="N1397" s="141"/>
    </row>
    <row r="1398" spans="1:14" outlineLevel="1">
      <c r="A1398" s="276">
        <f>ROW()</f>
        <v>1398</v>
      </c>
      <c r="B1398" s="295" t="s">
        <v>210</v>
      </c>
      <c r="C1398" s="947">
        <v>0</v>
      </c>
      <c r="D1398" s="437" t="s">
        <v>213</v>
      </c>
      <c r="E1398" s="437"/>
      <c r="F1398" s="437"/>
      <c r="G1398" s="196"/>
      <c r="H1398" s="196">
        <f t="shared" ref="H1398:M1398" si="482">$C$1398*(H101+H102)</f>
        <v>0</v>
      </c>
      <c r="I1398" s="196">
        <f t="shared" si="482"/>
        <v>0</v>
      </c>
      <c r="J1398" s="196">
        <f t="shared" si="482"/>
        <v>0</v>
      </c>
      <c r="K1398" s="196">
        <f t="shared" si="482"/>
        <v>0</v>
      </c>
      <c r="L1398" s="196">
        <f t="shared" si="482"/>
        <v>0</v>
      </c>
      <c r="M1398" s="196">
        <f t="shared" si="482"/>
        <v>0</v>
      </c>
      <c r="N1398" s="141"/>
    </row>
    <row r="1399" spans="1:14" outlineLevel="1">
      <c r="A1399" s="276">
        <f>ROW()</f>
        <v>1399</v>
      </c>
      <c r="B1399" s="295" t="s">
        <v>169</v>
      </c>
      <c r="C1399" s="947">
        <v>200</v>
      </c>
      <c r="D1399" s="437" t="s">
        <v>220</v>
      </c>
      <c r="E1399" s="437"/>
      <c r="F1399" s="437"/>
      <c r="G1399" s="196"/>
      <c r="H1399" s="196">
        <f t="shared" ref="H1399:M1399" si="483">$C$1399*12</f>
        <v>2400</v>
      </c>
      <c r="I1399" s="196">
        <f t="shared" si="483"/>
        <v>2400</v>
      </c>
      <c r="J1399" s="196">
        <f t="shared" si="483"/>
        <v>2400</v>
      </c>
      <c r="K1399" s="196">
        <f t="shared" si="483"/>
        <v>2400</v>
      </c>
      <c r="L1399" s="196">
        <f t="shared" si="483"/>
        <v>2400</v>
      </c>
      <c r="M1399" s="196">
        <f t="shared" si="483"/>
        <v>2400</v>
      </c>
      <c r="N1399" s="141"/>
    </row>
    <row r="1400" spans="1:14" outlineLevel="1">
      <c r="A1400" s="276">
        <f>ROW()</f>
        <v>1400</v>
      </c>
      <c r="B1400" s="295" t="s">
        <v>260</v>
      </c>
      <c r="C1400" s="947"/>
      <c r="D1400" s="437" t="s">
        <v>79</v>
      </c>
      <c r="E1400" s="437"/>
      <c r="F1400" s="437"/>
      <c r="G1400" s="196"/>
      <c r="H1400" s="196">
        <f t="shared" ref="H1400:M1400" si="484">$C$1401*(H31-G31)</f>
        <v>0</v>
      </c>
      <c r="I1400" s="196">
        <f t="shared" si="484"/>
        <v>0</v>
      </c>
      <c r="J1400" s="196">
        <f t="shared" si="484"/>
        <v>0</v>
      </c>
      <c r="K1400" s="196">
        <f t="shared" si="484"/>
        <v>0</v>
      </c>
      <c r="L1400" s="196">
        <f t="shared" si="484"/>
        <v>0</v>
      </c>
      <c r="M1400" s="196">
        <f t="shared" si="484"/>
        <v>0</v>
      </c>
      <c r="N1400" s="141"/>
    </row>
    <row r="1401" spans="1:14" outlineLevel="1">
      <c r="A1401" s="276">
        <f>ROW()</f>
        <v>1401</v>
      </c>
      <c r="B1401" s="295" t="s">
        <v>80</v>
      </c>
      <c r="C1401" s="947"/>
      <c r="D1401" s="437" t="s">
        <v>81</v>
      </c>
      <c r="E1401" s="437"/>
      <c r="F1401" s="437"/>
      <c r="G1401" s="196"/>
      <c r="H1401" s="196">
        <f t="shared" ref="H1401:M1401" si="485">$C$1401*H31</f>
        <v>0</v>
      </c>
      <c r="I1401" s="196">
        <f t="shared" si="485"/>
        <v>0</v>
      </c>
      <c r="J1401" s="196">
        <f t="shared" si="485"/>
        <v>0</v>
      </c>
      <c r="K1401" s="196">
        <f t="shared" si="485"/>
        <v>0</v>
      </c>
      <c r="L1401" s="196">
        <f t="shared" si="485"/>
        <v>0</v>
      </c>
      <c r="M1401" s="196">
        <f t="shared" si="485"/>
        <v>0</v>
      </c>
      <c r="N1401" s="141"/>
    </row>
    <row r="1402" spans="1:14" outlineLevel="1">
      <c r="A1402" s="276">
        <f>ROW()</f>
        <v>1402</v>
      </c>
      <c r="B1402" s="295" t="s">
        <v>188</v>
      </c>
      <c r="C1402" s="947">
        <v>2500</v>
      </c>
      <c r="D1402" s="437" t="s">
        <v>67</v>
      </c>
      <c r="E1402" s="437"/>
      <c r="F1402" s="437"/>
      <c r="G1402" s="196"/>
      <c r="H1402" s="196">
        <f t="shared" ref="H1402:M1402" si="486">$C$1402</f>
        <v>2500</v>
      </c>
      <c r="I1402" s="196">
        <f t="shared" si="486"/>
        <v>2500</v>
      </c>
      <c r="J1402" s="196">
        <f t="shared" si="486"/>
        <v>2500</v>
      </c>
      <c r="K1402" s="196">
        <f t="shared" si="486"/>
        <v>2500</v>
      </c>
      <c r="L1402" s="196">
        <f t="shared" si="486"/>
        <v>2500</v>
      </c>
      <c r="M1402" s="196">
        <f t="shared" si="486"/>
        <v>2500</v>
      </c>
      <c r="N1402" s="141"/>
    </row>
    <row r="1403" spans="1:14" outlineLevel="1">
      <c r="A1403" s="276">
        <f>ROW()</f>
        <v>1403</v>
      </c>
      <c r="B1403" s="295" t="s">
        <v>159</v>
      </c>
      <c r="C1403" s="947">
        <v>5</v>
      </c>
      <c r="D1403" s="437" t="s">
        <v>219</v>
      </c>
      <c r="E1403" s="437"/>
      <c r="F1403" s="437"/>
      <c r="G1403" s="196"/>
      <c r="H1403" s="196">
        <f t="shared" ref="H1403:M1403" si="487">$C$1403*H31</f>
        <v>1625</v>
      </c>
      <c r="I1403" s="196">
        <f t="shared" si="487"/>
        <v>2125</v>
      </c>
      <c r="J1403" s="196">
        <f t="shared" si="487"/>
        <v>2750</v>
      </c>
      <c r="K1403" s="196">
        <f t="shared" si="487"/>
        <v>3375</v>
      </c>
      <c r="L1403" s="196">
        <f t="shared" si="487"/>
        <v>4000</v>
      </c>
      <c r="M1403" s="196">
        <f t="shared" si="487"/>
        <v>4875</v>
      </c>
      <c r="N1403" s="141"/>
    </row>
    <row r="1404" spans="1:14" outlineLevel="1">
      <c r="A1404" s="276">
        <f>ROW()</f>
        <v>1404</v>
      </c>
      <c r="B1404" s="295" t="s">
        <v>167</v>
      </c>
      <c r="C1404" s="947">
        <v>240</v>
      </c>
      <c r="D1404" s="437" t="s">
        <v>67</v>
      </c>
      <c r="E1404" s="437"/>
      <c r="F1404" s="437"/>
      <c r="G1404" s="196"/>
      <c r="H1404" s="196">
        <f t="shared" ref="H1404:M1404" si="488">$C$1404</f>
        <v>240</v>
      </c>
      <c r="I1404" s="196">
        <f t="shared" si="488"/>
        <v>240</v>
      </c>
      <c r="J1404" s="196">
        <f t="shared" si="488"/>
        <v>240</v>
      </c>
      <c r="K1404" s="196">
        <f t="shared" si="488"/>
        <v>240</v>
      </c>
      <c r="L1404" s="196">
        <f t="shared" si="488"/>
        <v>240</v>
      </c>
      <c r="M1404" s="196">
        <f t="shared" si="488"/>
        <v>240</v>
      </c>
      <c r="N1404" s="141"/>
    </row>
    <row r="1405" spans="1:14" outlineLevel="1">
      <c r="A1405" s="276">
        <f>ROW()</f>
        <v>1405</v>
      </c>
      <c r="B1405" s="295" t="s">
        <v>261</v>
      </c>
      <c r="C1405" s="947"/>
      <c r="D1405" s="437" t="s">
        <v>262</v>
      </c>
      <c r="E1405" s="437"/>
      <c r="F1405" s="437"/>
      <c r="G1405" s="196"/>
      <c r="H1405" s="196">
        <f t="shared" ref="H1405:M1405" si="489">$C$1405*H31</f>
        <v>0</v>
      </c>
      <c r="I1405" s="196">
        <f t="shared" si="489"/>
        <v>0</v>
      </c>
      <c r="J1405" s="196">
        <f t="shared" si="489"/>
        <v>0</v>
      </c>
      <c r="K1405" s="196">
        <f t="shared" si="489"/>
        <v>0</v>
      </c>
      <c r="L1405" s="196">
        <f t="shared" si="489"/>
        <v>0</v>
      </c>
      <c r="M1405" s="196">
        <f t="shared" si="489"/>
        <v>0</v>
      </c>
      <c r="N1405" s="141"/>
    </row>
    <row r="1406" spans="1:14" outlineLevel="1">
      <c r="A1406" s="276">
        <f>ROW()</f>
        <v>1406</v>
      </c>
      <c r="B1406" s="295" t="s">
        <v>160</v>
      </c>
      <c r="C1406" s="947">
        <v>6.5</v>
      </c>
      <c r="D1406" s="437" t="s">
        <v>68</v>
      </c>
      <c r="E1406" s="437"/>
      <c r="F1406" s="437"/>
      <c r="G1406" s="196"/>
      <c r="H1406" s="196">
        <f t="shared" ref="H1406:M1406" si="490">$C$1406*H31</f>
        <v>2112.5</v>
      </c>
      <c r="I1406" s="196">
        <f t="shared" si="490"/>
        <v>2762.5</v>
      </c>
      <c r="J1406" s="196">
        <f t="shared" si="490"/>
        <v>3575</v>
      </c>
      <c r="K1406" s="196">
        <f t="shared" si="490"/>
        <v>4387.5</v>
      </c>
      <c r="L1406" s="196">
        <f t="shared" si="490"/>
        <v>5200</v>
      </c>
      <c r="M1406" s="196">
        <f t="shared" si="490"/>
        <v>6337.5</v>
      </c>
      <c r="N1406" s="141"/>
    </row>
    <row r="1407" spans="1:14" outlineLevel="1">
      <c r="A1407" s="276">
        <f>ROW()</f>
        <v>1407</v>
      </c>
      <c r="B1407" s="295" t="s">
        <v>195</v>
      </c>
      <c r="C1407" s="947"/>
      <c r="D1407" s="437" t="s">
        <v>68</v>
      </c>
      <c r="E1407" s="437"/>
      <c r="F1407" s="437"/>
      <c r="G1407" s="196"/>
      <c r="H1407" s="196">
        <f t="shared" ref="H1407:M1407" si="491">$C$1407*H31</f>
        <v>0</v>
      </c>
      <c r="I1407" s="196">
        <f t="shared" si="491"/>
        <v>0</v>
      </c>
      <c r="J1407" s="196">
        <f t="shared" si="491"/>
        <v>0</v>
      </c>
      <c r="K1407" s="196">
        <f t="shared" si="491"/>
        <v>0</v>
      </c>
      <c r="L1407" s="196">
        <f t="shared" si="491"/>
        <v>0</v>
      </c>
      <c r="M1407" s="196">
        <f t="shared" si="491"/>
        <v>0</v>
      </c>
      <c r="N1407" s="141"/>
    </row>
    <row r="1408" spans="1:14" outlineLevel="1">
      <c r="A1408" s="276">
        <f>ROW()</f>
        <v>1408</v>
      </c>
      <c r="B1408" s="295" t="s">
        <v>196</v>
      </c>
      <c r="C1408" s="947"/>
      <c r="D1408" s="437" t="s">
        <v>66</v>
      </c>
      <c r="E1408" s="437"/>
      <c r="F1408" s="437"/>
      <c r="G1408" s="196"/>
      <c r="H1408" s="196">
        <f t="shared" ref="H1408:M1408" si="492">$C$1408*H103</f>
        <v>0</v>
      </c>
      <c r="I1408" s="196">
        <f t="shared" si="492"/>
        <v>0</v>
      </c>
      <c r="J1408" s="196">
        <f t="shared" si="492"/>
        <v>0</v>
      </c>
      <c r="K1408" s="196">
        <f t="shared" si="492"/>
        <v>0</v>
      </c>
      <c r="L1408" s="196">
        <f t="shared" si="492"/>
        <v>0</v>
      </c>
      <c r="M1408" s="196">
        <f t="shared" si="492"/>
        <v>0</v>
      </c>
      <c r="N1408" s="141"/>
    </row>
    <row r="1409" spans="1:14" outlineLevel="1">
      <c r="A1409" s="276">
        <f>ROW()</f>
        <v>1409</v>
      </c>
      <c r="B1409" s="295" t="s">
        <v>273</v>
      </c>
      <c r="C1409" s="947">
        <v>50</v>
      </c>
      <c r="D1409" s="437" t="s">
        <v>66</v>
      </c>
      <c r="E1409" s="437"/>
      <c r="F1409" s="437"/>
      <c r="G1409" s="196"/>
      <c r="H1409" s="196">
        <f t="shared" ref="H1409:M1409" si="493">$C$1409*H103</f>
        <v>1050</v>
      </c>
      <c r="I1409" s="196">
        <f t="shared" si="493"/>
        <v>1550</v>
      </c>
      <c r="J1409" s="196">
        <f t="shared" si="493"/>
        <v>2150</v>
      </c>
      <c r="K1409" s="196">
        <f t="shared" si="493"/>
        <v>2600</v>
      </c>
      <c r="L1409" s="196">
        <f t="shared" si="493"/>
        <v>3050</v>
      </c>
      <c r="M1409" s="196">
        <f t="shared" si="493"/>
        <v>3600</v>
      </c>
      <c r="N1409" s="141"/>
    </row>
    <row r="1410" spans="1:14" outlineLevel="1">
      <c r="A1410" s="276">
        <f>ROW()</f>
        <v>1410</v>
      </c>
      <c r="B1410" s="295" t="s">
        <v>271</v>
      </c>
      <c r="C1410" s="947">
        <v>75</v>
      </c>
      <c r="D1410" s="437" t="s">
        <v>66</v>
      </c>
      <c r="E1410" s="437"/>
      <c r="F1410" s="437"/>
      <c r="G1410" s="196"/>
      <c r="H1410" s="196">
        <f t="shared" ref="H1410:M1410" si="494">$C$1410*H103</f>
        <v>1575</v>
      </c>
      <c r="I1410" s="196">
        <f t="shared" si="494"/>
        <v>2325</v>
      </c>
      <c r="J1410" s="196">
        <f t="shared" si="494"/>
        <v>3225</v>
      </c>
      <c r="K1410" s="196">
        <f t="shared" si="494"/>
        <v>3900</v>
      </c>
      <c r="L1410" s="196">
        <f t="shared" si="494"/>
        <v>4575</v>
      </c>
      <c r="M1410" s="196">
        <f t="shared" si="494"/>
        <v>5400</v>
      </c>
      <c r="N1410" s="141"/>
    </row>
    <row r="1411" spans="1:14" outlineLevel="1">
      <c r="A1411" s="276">
        <f>ROW()</f>
        <v>1411</v>
      </c>
      <c r="B1411" s="295" t="s">
        <v>280</v>
      </c>
      <c r="C1411" s="947">
        <v>100</v>
      </c>
      <c r="D1411" s="437" t="s">
        <v>282</v>
      </c>
      <c r="E1411" s="437"/>
      <c r="F1411" s="437"/>
      <c r="G1411" s="196"/>
      <c r="H1411" s="196">
        <f t="shared" ref="H1411:M1411" si="495">$C$1411*(H103-G103)</f>
        <v>2100</v>
      </c>
      <c r="I1411" s="196">
        <f t="shared" si="495"/>
        <v>1000</v>
      </c>
      <c r="J1411" s="196">
        <f t="shared" si="495"/>
        <v>1200</v>
      </c>
      <c r="K1411" s="196">
        <f t="shared" si="495"/>
        <v>900</v>
      </c>
      <c r="L1411" s="196">
        <f t="shared" si="495"/>
        <v>900</v>
      </c>
      <c r="M1411" s="196">
        <f t="shared" si="495"/>
        <v>1100</v>
      </c>
      <c r="N1411" s="141"/>
    </row>
    <row r="1412" spans="1:14" outlineLevel="1">
      <c r="A1412" s="276">
        <f>ROW()</f>
        <v>1412</v>
      </c>
      <c r="B1412" s="295" t="s">
        <v>279</v>
      </c>
      <c r="C1412" s="947">
        <v>55679</v>
      </c>
      <c r="D1412" s="437" t="s">
        <v>67</v>
      </c>
      <c r="E1412" s="437"/>
      <c r="F1412" s="437"/>
      <c r="G1412" s="196"/>
      <c r="H1412" s="196">
        <f t="shared" ref="H1412:M1412" si="496">$C$1412</f>
        <v>55679</v>
      </c>
      <c r="I1412" s="196">
        <f t="shared" si="496"/>
        <v>55679</v>
      </c>
      <c r="J1412" s="196">
        <f t="shared" si="496"/>
        <v>55679</v>
      </c>
      <c r="K1412" s="196">
        <f t="shared" si="496"/>
        <v>55679</v>
      </c>
      <c r="L1412" s="196">
        <f t="shared" si="496"/>
        <v>55679</v>
      </c>
      <c r="M1412" s="196">
        <f t="shared" si="496"/>
        <v>55679</v>
      </c>
      <c r="N1412" s="141"/>
    </row>
    <row r="1413" spans="1:14" outlineLevel="1">
      <c r="A1413" s="276">
        <f>ROW()</f>
        <v>1413</v>
      </c>
      <c r="B1413" s="295" t="s">
        <v>259</v>
      </c>
      <c r="C1413" s="947">
        <v>3500</v>
      </c>
      <c r="D1413" s="437" t="s">
        <v>194</v>
      </c>
      <c r="E1413" s="437"/>
      <c r="F1413" s="437"/>
      <c r="G1413" s="196"/>
      <c r="H1413" s="196">
        <f t="shared" ref="H1413:M1413" si="497">$C$1413*H15</f>
        <v>28000</v>
      </c>
      <c r="I1413" s="196">
        <f t="shared" si="497"/>
        <v>31500</v>
      </c>
      <c r="J1413" s="196">
        <f t="shared" si="497"/>
        <v>35000</v>
      </c>
      <c r="K1413" s="196">
        <f t="shared" si="497"/>
        <v>38500</v>
      </c>
      <c r="L1413" s="196">
        <f t="shared" si="497"/>
        <v>42000</v>
      </c>
      <c r="M1413" s="196">
        <f t="shared" si="497"/>
        <v>45500</v>
      </c>
      <c r="N1413" s="141"/>
    </row>
    <row r="1414" spans="1:14" outlineLevel="1">
      <c r="A1414" s="276">
        <f>ROW()</f>
        <v>1414</v>
      </c>
      <c r="B1414" s="295" t="s">
        <v>189</v>
      </c>
      <c r="C1414" s="947"/>
      <c r="D1414" s="437" t="s">
        <v>194</v>
      </c>
      <c r="E1414" s="437"/>
      <c r="F1414" s="437"/>
      <c r="G1414" s="196"/>
      <c r="H1414" s="196">
        <v>0</v>
      </c>
      <c r="I1414" s="196">
        <f>$C$1414*I15</f>
        <v>0</v>
      </c>
      <c r="J1414" s="196">
        <f>$C$1414*J15</f>
        <v>0</v>
      </c>
      <c r="K1414" s="196">
        <f>$C$1414*K15</f>
        <v>0</v>
      </c>
      <c r="L1414" s="196">
        <f>$C$1414*L15</f>
        <v>0</v>
      </c>
      <c r="M1414" s="196">
        <f>$C$1414*M15</f>
        <v>0</v>
      </c>
      <c r="N1414" s="141"/>
    </row>
    <row r="1415" spans="1:14" outlineLevel="1">
      <c r="A1415" s="276">
        <f>ROW()</f>
        <v>1415</v>
      </c>
      <c r="B1415" s="295" t="s">
        <v>62</v>
      </c>
      <c r="C1415" s="947">
        <v>3500</v>
      </c>
      <c r="D1415" s="437" t="s">
        <v>67</v>
      </c>
      <c r="E1415" s="437"/>
      <c r="F1415" s="437"/>
      <c r="G1415" s="196"/>
      <c r="H1415" s="196">
        <v>0</v>
      </c>
      <c r="I1415" s="196">
        <f>$C$1415</f>
        <v>3500</v>
      </c>
      <c r="J1415" s="196">
        <f>$C$1415</f>
        <v>3500</v>
      </c>
      <c r="K1415" s="196">
        <f>$C$1415</f>
        <v>3500</v>
      </c>
      <c r="L1415" s="196">
        <f>$C$1415</f>
        <v>3500</v>
      </c>
      <c r="M1415" s="196">
        <f>$C$1415</f>
        <v>3500</v>
      </c>
      <c r="N1415" s="141"/>
    </row>
    <row r="1416" spans="1:14" outlineLevel="1">
      <c r="A1416" s="276">
        <f>ROW()</f>
        <v>1416</v>
      </c>
      <c r="B1416" s="295" t="s">
        <v>150</v>
      </c>
      <c r="C1416" s="947" t="s">
        <v>49</v>
      </c>
      <c r="D1416" s="437" t="s">
        <v>50</v>
      </c>
      <c r="E1416" s="437"/>
      <c r="F1416" s="437"/>
      <c r="G1416" s="196"/>
      <c r="H1416" s="196">
        <v>0</v>
      </c>
      <c r="I1416" s="196">
        <f>IF($C$1416="yes",$C$108*$C$107*$C$106,0)</f>
        <v>0</v>
      </c>
      <c r="J1416" s="196">
        <f>IF($C$1416="yes",$C$108*$C$107*$C$106,0)</f>
        <v>0</v>
      </c>
      <c r="K1416" s="196">
        <f>IF($C$1416="yes",$C$108*$C$107*$C$106,0)</f>
        <v>0</v>
      </c>
      <c r="L1416" s="196">
        <f>IF($C$1416="yes",$C$108*$C$107*$C$106,0)</f>
        <v>0</v>
      </c>
      <c r="M1416" s="196">
        <f>IF($C$1416="yes",$C$108*$C$107*$C$106,0)</f>
        <v>0</v>
      </c>
      <c r="N1416" s="141"/>
    </row>
    <row r="1417" spans="1:14" s="221" customFormat="1" outlineLevel="1">
      <c r="A1417" s="276">
        <f>ROW()</f>
        <v>1417</v>
      </c>
      <c r="B1417" s="217"/>
      <c r="C1417" s="564"/>
      <c r="D1417" s="438"/>
      <c r="E1417" s="438"/>
      <c r="F1417" s="438"/>
      <c r="G1417" s="1300"/>
      <c r="H1417" s="1300"/>
      <c r="I1417" s="1300"/>
      <c r="J1417" s="1300"/>
      <c r="K1417" s="1300"/>
      <c r="L1417" s="1300"/>
      <c r="M1417" s="1300"/>
      <c r="N1417" s="150"/>
    </row>
    <row r="1418" spans="1:14" outlineLevel="1">
      <c r="A1418" s="276">
        <f>ROW()</f>
        <v>1418</v>
      </c>
      <c r="B1418" s="378" t="s">
        <v>61</v>
      </c>
      <c r="C1418" s="562"/>
      <c r="D1418" s="378"/>
      <c r="E1418" s="378"/>
      <c r="F1418" s="378"/>
      <c r="G1418" s="1301">
        <f>SUM(G1379:G1417)</f>
        <v>0</v>
      </c>
      <c r="H1418" s="1301">
        <f t="shared" ref="H1418:M1418" si="498">SUM(H1379:H1417)</f>
        <v>458649.33766999422</v>
      </c>
      <c r="I1418" s="1301">
        <f t="shared" si="498"/>
        <v>544112.56645012298</v>
      </c>
      <c r="J1418" s="1301">
        <f t="shared" si="498"/>
        <v>686829.61372116383</v>
      </c>
      <c r="K1418" s="1301">
        <f t="shared" si="498"/>
        <v>826283.05273116217</v>
      </c>
      <c r="L1418" s="1301">
        <f t="shared" si="498"/>
        <v>969155.15770441131</v>
      </c>
      <c r="M1418" s="1301">
        <f t="shared" si="498"/>
        <v>1173520.7192183188</v>
      </c>
      <c r="N1418" s="141"/>
    </row>
    <row r="1419" spans="1:14" s="380" customFormat="1" outlineLevel="1">
      <c r="A1419" s="276">
        <f>ROW()</f>
        <v>1419</v>
      </c>
      <c r="B1419" s="383" t="s">
        <v>68</v>
      </c>
      <c r="C1419" s="574"/>
      <c r="D1419" s="383"/>
      <c r="E1419" s="383"/>
      <c r="F1419" s="383"/>
      <c r="G1419" s="1302">
        <f>IFERROR(G1418/G31,0)</f>
        <v>0</v>
      </c>
      <c r="H1419" s="1303">
        <f t="shared" ref="H1419:M1419" si="499">H1418/H31</f>
        <v>1411.2287312922899</v>
      </c>
      <c r="I1419" s="1303">
        <f t="shared" si="499"/>
        <v>1280.2648622355835</v>
      </c>
      <c r="J1419" s="1303">
        <f t="shared" si="499"/>
        <v>1248.7811158566615</v>
      </c>
      <c r="K1419" s="1303">
        <f t="shared" si="499"/>
        <v>1224.1230410832031</v>
      </c>
      <c r="L1419" s="1303">
        <f t="shared" si="499"/>
        <v>1211.4439471305141</v>
      </c>
      <c r="M1419" s="1303">
        <f t="shared" si="499"/>
        <v>1203.6109940700705</v>
      </c>
      <c r="N1419" s="309"/>
    </row>
    <row r="1420" spans="1:14" outlineLevel="1">
      <c r="A1420" s="276">
        <f>ROW()</f>
        <v>1420</v>
      </c>
      <c r="B1420" s="223"/>
      <c r="C1420" s="573"/>
      <c r="D1420" s="223"/>
      <c r="E1420" s="223"/>
      <c r="F1420" s="223"/>
      <c r="G1420" s="1304"/>
      <c r="H1420" s="1301"/>
      <c r="I1420" s="1301"/>
      <c r="J1420" s="1301"/>
      <c r="K1420" s="1301"/>
      <c r="L1420" s="1301"/>
      <c r="M1420" s="1301"/>
      <c r="N1420" s="1301"/>
    </row>
    <row r="1421" spans="1:14" outlineLevel="1">
      <c r="A1421" s="276">
        <f>ROW()</f>
        <v>1421</v>
      </c>
      <c r="B1421" s="223" t="s">
        <v>153</v>
      </c>
      <c r="C1421" s="568"/>
      <c r="D1421" s="253"/>
      <c r="E1421" s="253"/>
      <c r="F1421" s="253"/>
      <c r="G1421" s="1301"/>
      <c r="H1421" s="1301"/>
      <c r="I1421" s="1301"/>
      <c r="J1421" s="1301"/>
      <c r="K1421" s="1301"/>
      <c r="L1421" s="1301"/>
      <c r="M1421" s="1301"/>
      <c r="N1421" s="141"/>
    </row>
    <row r="1422" spans="1:14" outlineLevel="1">
      <c r="A1422" s="276">
        <f>ROW()</f>
        <v>1422</v>
      </c>
      <c r="B1422" s="221" t="s">
        <v>154</v>
      </c>
      <c r="C1422" s="569">
        <v>9000</v>
      </c>
      <c r="D1422" s="435"/>
      <c r="E1422" s="435"/>
      <c r="F1422" s="977"/>
      <c r="G1422" s="1305"/>
      <c r="H1422" s="1301">
        <f>$C$1422</f>
        <v>9000</v>
      </c>
      <c r="I1422" s="1301">
        <f>$C$1422</f>
        <v>9000</v>
      </c>
      <c r="J1422" s="1301">
        <f>$C$1422*1.03</f>
        <v>9270</v>
      </c>
      <c r="K1422" s="1301">
        <f>$J$1422*1.03</f>
        <v>9548.1</v>
      </c>
      <c r="L1422" s="1301">
        <f>$K$1422*1.03</f>
        <v>9834.5430000000015</v>
      </c>
      <c r="M1422" s="1301">
        <f>$K$1422*1.03</f>
        <v>9834.5430000000015</v>
      </c>
      <c r="N1422" s="141"/>
    </row>
    <row r="1423" spans="1:14" outlineLevel="1">
      <c r="A1423" s="276">
        <f>ROW()</f>
        <v>1423</v>
      </c>
      <c r="B1423" s="221"/>
      <c r="C1423" s="575"/>
      <c r="D1423" s="439"/>
      <c r="E1423" s="439"/>
      <c r="F1423" s="439"/>
      <c r="G1423" s="1305"/>
      <c r="H1423" s="1301"/>
      <c r="I1423" s="1301"/>
      <c r="J1423" s="1301"/>
      <c r="K1423" s="1301"/>
      <c r="L1423" s="1301"/>
      <c r="M1423" s="1301"/>
      <c r="N1423" s="141"/>
    </row>
    <row r="1424" spans="1:14" outlineLevel="1">
      <c r="A1424" s="276">
        <f>ROW()</f>
        <v>1424</v>
      </c>
      <c r="B1424" s="221" t="s">
        <v>155</v>
      </c>
      <c r="C1424" s="569">
        <v>6000</v>
      </c>
      <c r="D1424" s="435"/>
      <c r="E1424" s="435"/>
      <c r="F1424" s="977"/>
      <c r="G1424" s="1305"/>
      <c r="H1424" s="1301">
        <f>$C$1424</f>
        <v>6000</v>
      </c>
      <c r="I1424" s="1301">
        <f>$C$1424</f>
        <v>6000</v>
      </c>
      <c r="J1424" s="1301">
        <f>$I$1424*1.03</f>
        <v>6180</v>
      </c>
      <c r="K1424" s="1301">
        <f>$J$1424*1.03</f>
        <v>6365.4000000000005</v>
      </c>
      <c r="L1424" s="1301">
        <f>$K$1424*1.03</f>
        <v>6556.362000000001</v>
      </c>
      <c r="M1424" s="1301">
        <f>$K$1424*1.03</f>
        <v>6556.362000000001</v>
      </c>
      <c r="N1424" s="141"/>
    </row>
    <row r="1425" spans="1:18" outlineLevel="1">
      <c r="A1425" s="276">
        <f>ROW()</f>
        <v>1425</v>
      </c>
      <c r="B1425" s="223"/>
      <c r="C1425" s="568"/>
      <c r="D1425" s="253"/>
      <c r="E1425" s="253"/>
      <c r="F1425" s="253"/>
      <c r="G1425" s="1306"/>
      <c r="H1425" s="1306"/>
      <c r="I1425" s="1306"/>
      <c r="J1425" s="1306"/>
      <c r="K1425" s="1306"/>
      <c r="L1425" s="1306"/>
      <c r="M1425" s="1306"/>
      <c r="N1425" s="141"/>
    </row>
    <row r="1426" spans="1:18" outlineLevel="1">
      <c r="A1426" s="276">
        <f>ROW()</f>
        <v>1426</v>
      </c>
      <c r="B1426" s="223" t="s">
        <v>156</v>
      </c>
      <c r="C1426" s="573"/>
      <c r="D1426" s="223"/>
      <c r="E1426" s="223"/>
      <c r="F1426" s="223"/>
      <c r="G1426" s="1301">
        <f t="shared" ref="G1426:M1426" si="500">SUM(G1422:G1424)</f>
        <v>0</v>
      </c>
      <c r="H1426" s="1301">
        <f t="shared" si="500"/>
        <v>15000</v>
      </c>
      <c r="I1426" s="1301">
        <f t="shared" si="500"/>
        <v>15000</v>
      </c>
      <c r="J1426" s="1301">
        <f t="shared" si="500"/>
        <v>15450</v>
      </c>
      <c r="K1426" s="1301">
        <f t="shared" si="500"/>
        <v>15913.5</v>
      </c>
      <c r="L1426" s="1301">
        <f t="shared" si="500"/>
        <v>16390.905000000002</v>
      </c>
      <c r="M1426" s="1301">
        <f t="shared" si="500"/>
        <v>16390.905000000002</v>
      </c>
      <c r="N1426" s="141"/>
    </row>
    <row r="1427" spans="1:18" outlineLevel="1">
      <c r="A1427" s="276">
        <f>ROW()</f>
        <v>1427</v>
      </c>
      <c r="B1427" s="223"/>
      <c r="C1427" s="573"/>
      <c r="D1427" s="223"/>
      <c r="E1427" s="223"/>
      <c r="F1427" s="223"/>
      <c r="G1427" s="150"/>
      <c r="H1427" s="150"/>
      <c r="I1427" s="150"/>
      <c r="J1427" s="1301"/>
      <c r="K1427" s="1301"/>
      <c r="L1427" s="1301"/>
      <c r="M1427" s="1301"/>
      <c r="N1427" s="141"/>
      <c r="O1427" s="255"/>
      <c r="P1427" s="255"/>
      <c r="Q1427" s="255"/>
      <c r="R1427" s="255"/>
    </row>
    <row r="1428" spans="1:18" outlineLevel="1">
      <c r="A1428" s="276">
        <f>ROW()</f>
        <v>1428</v>
      </c>
      <c r="B1428" s="223"/>
      <c r="C1428" s="573"/>
      <c r="D1428" s="223"/>
      <c r="E1428" s="223"/>
      <c r="F1428" s="223"/>
      <c r="G1428" s="150"/>
      <c r="H1428" s="150"/>
      <c r="I1428" s="150"/>
      <c r="J1428" s="1301"/>
      <c r="K1428" s="1301"/>
      <c r="L1428" s="1301"/>
      <c r="M1428" s="1301"/>
      <c r="N1428" s="141"/>
      <c r="O1428" s="255"/>
      <c r="P1428" s="255"/>
      <c r="Q1428" s="255"/>
      <c r="R1428" s="255"/>
    </row>
    <row r="1429" spans="1:18" outlineLevel="3">
      <c r="A1429" s="276">
        <f>ROW()</f>
        <v>1429</v>
      </c>
      <c r="B1429" s="223" t="s">
        <v>37</v>
      </c>
      <c r="C1429" s="573" t="s">
        <v>25</v>
      </c>
      <c r="D1429" s="223"/>
      <c r="E1429" s="223"/>
      <c r="F1429" s="223"/>
      <c r="G1429" s="150"/>
      <c r="H1429" s="150"/>
      <c r="I1429" s="150"/>
      <c r="J1429" s="1301"/>
      <c r="K1429" s="1301"/>
      <c r="L1429" s="1301"/>
      <c r="M1429" s="1301"/>
      <c r="N1429" s="141"/>
      <c r="O1429" s="255"/>
      <c r="P1429" s="255"/>
      <c r="Q1429" s="255"/>
      <c r="R1429" s="255"/>
    </row>
    <row r="1430" spans="1:18" outlineLevel="3">
      <c r="A1430" s="276">
        <f>ROW()</f>
        <v>1430</v>
      </c>
      <c r="B1430" s="217" t="s">
        <v>48</v>
      </c>
      <c r="C1430" s="947" t="s">
        <v>363</v>
      </c>
      <c r="D1430" s="1214">
        <v>0</v>
      </c>
      <c r="E1430" s="418"/>
      <c r="F1430" s="418"/>
      <c r="G1430" s="1301"/>
      <c r="H1430" s="1301">
        <f t="shared" ref="H1430:M1430" si="501">IF($C$1430="yes",H31*$C$105*$D$1430,(H31*H36)*$C$105*$D$1430)</f>
        <v>0</v>
      </c>
      <c r="I1430" s="1301">
        <f t="shared" si="501"/>
        <v>0</v>
      </c>
      <c r="J1430" s="1301">
        <f t="shared" si="501"/>
        <v>0</v>
      </c>
      <c r="K1430" s="1301">
        <f t="shared" si="501"/>
        <v>0</v>
      </c>
      <c r="L1430" s="1301">
        <f t="shared" si="501"/>
        <v>0</v>
      </c>
      <c r="M1430" s="1301">
        <f t="shared" si="501"/>
        <v>0</v>
      </c>
      <c r="N1430" s="141"/>
    </row>
    <row r="1431" spans="1:18" s="442" customFormat="1" ht="15" outlineLevel="3">
      <c r="A1431" s="276">
        <f>ROW()</f>
        <v>1431</v>
      </c>
      <c r="B1431" s="440" t="s">
        <v>102</v>
      </c>
      <c r="C1431" s="1215" t="s">
        <v>363</v>
      </c>
      <c r="D1431" s="1216">
        <v>0</v>
      </c>
      <c r="E1431" s="441"/>
      <c r="F1431" s="441"/>
      <c r="G1431" s="1307"/>
      <c r="H1431" s="1301">
        <f t="shared" ref="H1431:M1431" si="502">IF($C$1431="yes",H31*$C$105*$D$1431,(H31*H36)*$C$105*$D$1431)</f>
        <v>0</v>
      </c>
      <c r="I1431" s="1301">
        <f t="shared" si="502"/>
        <v>0</v>
      </c>
      <c r="J1431" s="1301">
        <f t="shared" si="502"/>
        <v>0</v>
      </c>
      <c r="K1431" s="1301">
        <f t="shared" si="502"/>
        <v>0</v>
      </c>
      <c r="L1431" s="1301">
        <f t="shared" si="502"/>
        <v>0</v>
      </c>
      <c r="M1431" s="1301">
        <f t="shared" si="502"/>
        <v>0</v>
      </c>
      <c r="N1431" s="161"/>
    </row>
    <row r="1432" spans="1:18" outlineLevel="3">
      <c r="A1432" s="276">
        <f>ROW()</f>
        <v>1432</v>
      </c>
      <c r="B1432" s="221" t="s">
        <v>47</v>
      </c>
      <c r="C1432" s="947" t="s">
        <v>49</v>
      </c>
      <c r="D1432" s="1214">
        <v>0</v>
      </c>
      <c r="E1432" s="418"/>
      <c r="F1432" s="418"/>
      <c r="G1432" s="1301"/>
      <c r="H1432" s="1301">
        <f t="shared" ref="H1432:M1432" si="503">IF($C$1432="yes",$D$1432*H31*$C$105,0)</f>
        <v>0</v>
      </c>
      <c r="I1432" s="1301">
        <f t="shared" si="503"/>
        <v>0</v>
      </c>
      <c r="J1432" s="1301">
        <f t="shared" si="503"/>
        <v>0</v>
      </c>
      <c r="K1432" s="1301">
        <f t="shared" si="503"/>
        <v>0</v>
      </c>
      <c r="L1432" s="1301">
        <f t="shared" si="503"/>
        <v>0</v>
      </c>
      <c r="M1432" s="1301">
        <f t="shared" si="503"/>
        <v>0</v>
      </c>
      <c r="N1432" s="141"/>
    </row>
    <row r="1433" spans="1:18" outlineLevel="3">
      <c r="A1433" s="276">
        <f>ROW()</f>
        <v>1433</v>
      </c>
      <c r="B1433" s="282" t="s">
        <v>214</v>
      </c>
      <c r="C1433" s="947" t="s">
        <v>49</v>
      </c>
      <c r="D1433" s="1214">
        <v>0</v>
      </c>
      <c r="E1433" s="418"/>
      <c r="F1433" s="418"/>
      <c r="G1433" s="1305"/>
      <c r="H1433" s="1305">
        <f t="shared" ref="H1433:M1433" si="504">IF($C$1433="yes",$D$1433*$C$106*H31,0)</f>
        <v>0</v>
      </c>
      <c r="I1433" s="1305">
        <f t="shared" si="504"/>
        <v>0</v>
      </c>
      <c r="J1433" s="1305">
        <f t="shared" si="504"/>
        <v>0</v>
      </c>
      <c r="K1433" s="1305">
        <f t="shared" si="504"/>
        <v>0</v>
      </c>
      <c r="L1433" s="1305">
        <f t="shared" si="504"/>
        <v>0</v>
      </c>
      <c r="M1433" s="1305">
        <f t="shared" si="504"/>
        <v>0</v>
      </c>
      <c r="N1433" s="141"/>
    </row>
    <row r="1434" spans="1:18" outlineLevel="3">
      <c r="A1434" s="276">
        <f>ROW()</f>
        <v>1434</v>
      </c>
      <c r="B1434" s="385"/>
      <c r="C1434" s="565"/>
      <c r="D1434" s="385"/>
      <c r="E1434" s="385"/>
      <c r="F1434" s="385"/>
      <c r="G1434" s="1306"/>
      <c r="H1434" s="1306"/>
      <c r="I1434" s="1306"/>
      <c r="J1434" s="1306"/>
      <c r="K1434" s="1306"/>
      <c r="L1434" s="1306"/>
      <c r="M1434" s="1306"/>
      <c r="N1434" s="141"/>
    </row>
    <row r="1435" spans="1:18" outlineLevel="3">
      <c r="A1435" s="276">
        <f>ROW()</f>
        <v>1435</v>
      </c>
      <c r="B1435" s="378" t="s">
        <v>90</v>
      </c>
      <c r="C1435" s="562"/>
      <c r="D1435" s="378"/>
      <c r="E1435" s="378"/>
      <c r="F1435" s="378"/>
      <c r="G1435" s="1305">
        <f t="shared" ref="G1435:M1435" si="505">SUM(G1430:G1433)</f>
        <v>0</v>
      </c>
      <c r="H1435" s="1305">
        <f t="shared" si="505"/>
        <v>0</v>
      </c>
      <c r="I1435" s="1305">
        <f t="shared" si="505"/>
        <v>0</v>
      </c>
      <c r="J1435" s="1305">
        <f t="shared" si="505"/>
        <v>0</v>
      </c>
      <c r="K1435" s="1305">
        <f t="shared" si="505"/>
        <v>0</v>
      </c>
      <c r="L1435" s="1305">
        <f t="shared" si="505"/>
        <v>0</v>
      </c>
      <c r="M1435" s="1305">
        <f t="shared" si="505"/>
        <v>0</v>
      </c>
      <c r="N1435" s="141"/>
    </row>
    <row r="1436" spans="1:18" ht="15" thickBot="1">
      <c r="A1436" s="276">
        <f>ROW()</f>
        <v>1436</v>
      </c>
      <c r="C1436" s="568"/>
      <c r="G1436" s="1301"/>
      <c r="H1436" s="1301"/>
      <c r="I1436" s="1301"/>
      <c r="J1436" s="1301"/>
      <c r="K1436" s="1301"/>
      <c r="L1436" s="1301"/>
      <c r="M1436" s="1301"/>
      <c r="N1436" s="141"/>
    </row>
    <row r="1437" spans="1:18" ht="15" thickBot="1">
      <c r="A1437" s="276">
        <f>ROW()</f>
        <v>1437</v>
      </c>
      <c r="B1437" s="765" t="s">
        <v>225</v>
      </c>
      <c r="C1437" s="766">
        <f>SUM(G1437:M1437)</f>
        <v>4752695.7574951733</v>
      </c>
      <c r="D1437" s="767"/>
      <c r="E1437" s="767"/>
      <c r="F1437" s="767"/>
      <c r="G1437" s="1308">
        <f>G1435+G1426+G1418</f>
        <v>0</v>
      </c>
      <c r="H1437" s="1308">
        <f t="shared" ref="H1437:M1437" si="506">H1435+H1426+H1418</f>
        <v>473649.33766999422</v>
      </c>
      <c r="I1437" s="1308">
        <f t="shared" si="506"/>
        <v>559112.56645012298</v>
      </c>
      <c r="J1437" s="1308">
        <f t="shared" si="506"/>
        <v>702279.61372116383</v>
      </c>
      <c r="K1437" s="1308">
        <f t="shared" si="506"/>
        <v>842196.55273116217</v>
      </c>
      <c r="L1437" s="1308">
        <f t="shared" si="506"/>
        <v>985546.06270441134</v>
      </c>
      <c r="M1437" s="1308">
        <f t="shared" si="506"/>
        <v>1189911.6242183188</v>
      </c>
      <c r="N1437" s="141"/>
    </row>
    <row r="1438" spans="1:18">
      <c r="A1438" s="276">
        <f>ROW()</f>
        <v>1438</v>
      </c>
      <c r="B1438" s="378"/>
      <c r="C1438" s="562"/>
      <c r="D1438" s="378"/>
      <c r="E1438" s="378"/>
      <c r="F1438" s="378"/>
      <c r="G1438" s="1309"/>
      <c r="H1438" s="1309"/>
      <c r="I1438" s="1309"/>
      <c r="J1438" s="1309"/>
      <c r="K1438" s="1309"/>
      <c r="L1438" s="1309"/>
      <c r="M1438" s="1309"/>
      <c r="N1438" s="141"/>
    </row>
    <row r="1439" spans="1:18">
      <c r="A1439" s="276">
        <f>ROW()</f>
        <v>1439</v>
      </c>
      <c r="B1439" s="223"/>
      <c r="C1439" s="573"/>
      <c r="D1439" s="223"/>
      <c r="E1439" s="223"/>
      <c r="F1439" s="223"/>
      <c r="G1439" s="135" t="str">
        <f t="shared" ref="G1439:M1441" si="507">G9</f>
        <v>SY 0/Incubation</v>
      </c>
      <c r="H1439" s="135" t="str">
        <f t="shared" si="507"/>
        <v>SY 1</v>
      </c>
      <c r="I1439" s="135" t="str">
        <f t="shared" si="507"/>
        <v>SY 2</v>
      </c>
      <c r="J1439" s="135" t="str">
        <f t="shared" si="507"/>
        <v>SY 3</v>
      </c>
      <c r="K1439" s="135" t="str">
        <f t="shared" si="507"/>
        <v>SY 4</v>
      </c>
      <c r="L1439" s="135" t="str">
        <f t="shared" si="507"/>
        <v>SY 5</v>
      </c>
      <c r="M1439" s="135" t="str">
        <f t="shared" si="507"/>
        <v>SY 6</v>
      </c>
      <c r="N1439" s="141"/>
    </row>
    <row r="1440" spans="1:18">
      <c r="A1440" s="276">
        <f>ROW()</f>
        <v>1440</v>
      </c>
      <c r="C1440" s="573"/>
      <c r="D1440" s="223"/>
      <c r="E1440" s="223"/>
      <c r="F1440" s="223"/>
      <c r="G1440" s="1310">
        <f t="shared" si="507"/>
        <v>2020</v>
      </c>
      <c r="H1440" s="1311">
        <f t="shared" si="507"/>
        <v>2021</v>
      </c>
      <c r="I1440" s="1311">
        <f t="shared" si="507"/>
        <v>2022</v>
      </c>
      <c r="J1440" s="1311">
        <f t="shared" si="507"/>
        <v>2023</v>
      </c>
      <c r="K1440" s="1311">
        <f t="shared" si="507"/>
        <v>2024</v>
      </c>
      <c r="L1440" s="1311">
        <f t="shared" si="507"/>
        <v>2025</v>
      </c>
      <c r="M1440" s="1312">
        <f t="shared" si="507"/>
        <v>2026</v>
      </c>
      <c r="N1440" s="141"/>
    </row>
    <row r="1441" spans="1:18">
      <c r="A1441" s="276">
        <f>ROW()</f>
        <v>1441</v>
      </c>
      <c r="B1441" s="223"/>
      <c r="C1441" s="573"/>
      <c r="D1441" s="223"/>
      <c r="E1441" s="223"/>
      <c r="F1441" s="223"/>
      <c r="G1441" s="138">
        <f t="shared" si="507"/>
        <v>2021</v>
      </c>
      <c r="H1441" s="139">
        <f t="shared" si="507"/>
        <v>2022</v>
      </c>
      <c r="I1441" s="139">
        <f t="shared" si="507"/>
        <v>2023</v>
      </c>
      <c r="J1441" s="139">
        <f t="shared" si="507"/>
        <v>2024</v>
      </c>
      <c r="K1441" s="139">
        <f t="shared" si="507"/>
        <v>2025</v>
      </c>
      <c r="L1441" s="139">
        <f t="shared" si="507"/>
        <v>2026</v>
      </c>
      <c r="M1441" s="140">
        <f t="shared" si="507"/>
        <v>2027</v>
      </c>
      <c r="N1441" s="141"/>
    </row>
    <row r="1442" spans="1:18">
      <c r="A1442" s="276">
        <f>ROW()</f>
        <v>1442</v>
      </c>
      <c r="B1442" s="223" t="s">
        <v>200</v>
      </c>
      <c r="C1442" s="573"/>
      <c r="D1442" s="223"/>
      <c r="E1442" s="223"/>
      <c r="F1442" s="223"/>
      <c r="G1442" s="141"/>
      <c r="H1442" s="150"/>
      <c r="I1442" s="150"/>
      <c r="J1442" s="150"/>
      <c r="K1442" s="135"/>
      <c r="L1442" s="135"/>
      <c r="M1442" s="135"/>
      <c r="N1442" s="135"/>
      <c r="O1442" s="201"/>
      <c r="P1442" s="201"/>
      <c r="Q1442" s="201"/>
      <c r="R1442" s="201"/>
    </row>
    <row r="1443" spans="1:18" outlineLevel="2">
      <c r="A1443" s="276">
        <f>ROW()</f>
        <v>1443</v>
      </c>
      <c r="B1443" s="443" t="s">
        <v>209</v>
      </c>
      <c r="C1443" s="576"/>
      <c r="D1443" s="400"/>
      <c r="E1443" s="400"/>
      <c r="F1443" s="400"/>
      <c r="G1443" s="1403">
        <v>0.3</v>
      </c>
      <c r="H1443" s="187"/>
      <c r="I1443" s="187"/>
      <c r="J1443" s="187"/>
      <c r="K1443" s="187"/>
      <c r="L1443" s="187"/>
      <c r="M1443" s="187"/>
      <c r="N1443" s="187"/>
      <c r="O1443" s="400"/>
      <c r="P1443" s="400"/>
      <c r="Q1443" s="400"/>
      <c r="R1443" s="400"/>
    </row>
    <row r="1444" spans="1:18" outlineLevel="2">
      <c r="A1444" s="276">
        <f>ROW()</f>
        <v>1444</v>
      </c>
      <c r="B1444" s="403" t="s">
        <v>108</v>
      </c>
      <c r="C1444" s="577"/>
      <c r="D1444" s="285"/>
      <c r="E1444" s="285"/>
      <c r="F1444" s="285"/>
      <c r="G1444" s="1404">
        <v>50</v>
      </c>
      <c r="H1444" s="159"/>
      <c r="I1444" s="159"/>
      <c r="J1444" s="159"/>
      <c r="K1444" s="159"/>
      <c r="L1444" s="159"/>
      <c r="M1444" s="159"/>
      <c r="N1444" s="159"/>
      <c r="O1444" s="285"/>
      <c r="P1444" s="285"/>
      <c r="Q1444" s="285"/>
      <c r="R1444" s="285"/>
    </row>
    <row r="1445" spans="1:18" outlineLevel="2">
      <c r="A1445" s="276">
        <f>ROW()</f>
        <v>1445</v>
      </c>
      <c r="B1445" s="403" t="s">
        <v>229</v>
      </c>
      <c r="C1445" s="577"/>
      <c r="D1445" s="285"/>
      <c r="E1445" s="285"/>
      <c r="F1445" s="285"/>
      <c r="G1445" s="1405"/>
      <c r="H1445" s="1313"/>
      <c r="I1445" s="1313"/>
      <c r="J1445" s="1313"/>
      <c r="K1445" s="159"/>
      <c r="L1445" s="159"/>
      <c r="M1445" s="159"/>
      <c r="N1445" s="159"/>
      <c r="O1445" s="285"/>
      <c r="P1445" s="285"/>
      <c r="Q1445" s="285"/>
      <c r="R1445" s="285"/>
    </row>
    <row r="1446" spans="1:18" outlineLevel="2">
      <c r="A1446" s="276">
        <f>ROW()</f>
        <v>1446</v>
      </c>
      <c r="B1446" s="403" t="s">
        <v>105</v>
      </c>
      <c r="C1446" s="577"/>
      <c r="D1446" s="285"/>
      <c r="E1446" s="285"/>
      <c r="F1446" s="285"/>
      <c r="G1446" s="1404"/>
      <c r="H1446" s="1314"/>
      <c r="I1446" s="1314"/>
      <c r="J1446" s="1314"/>
      <c r="K1446" s="159"/>
      <c r="L1446" s="159"/>
      <c r="M1446" s="159"/>
      <c r="N1446" s="159"/>
      <c r="O1446" s="285"/>
      <c r="P1446" s="285"/>
      <c r="Q1446" s="285"/>
      <c r="R1446" s="285"/>
    </row>
    <row r="1447" spans="1:18" outlineLevel="2">
      <c r="A1447" s="276">
        <f>ROW()</f>
        <v>1447</v>
      </c>
      <c r="B1447" s="403" t="s">
        <v>51</v>
      </c>
      <c r="C1447" s="577"/>
      <c r="D1447" s="285"/>
      <c r="E1447" s="285"/>
      <c r="F1447" s="285"/>
      <c r="G1447" s="1315">
        <f>G1446*C105</f>
        <v>0</v>
      </c>
      <c r="H1447" s="1314"/>
      <c r="I1447" s="1314"/>
      <c r="J1447" s="1314"/>
      <c r="K1447" s="159"/>
      <c r="L1447" s="159"/>
      <c r="M1447" s="159"/>
      <c r="N1447" s="159"/>
      <c r="O1447" s="285"/>
      <c r="P1447" s="285"/>
      <c r="Q1447" s="285"/>
      <c r="R1447" s="285"/>
    </row>
    <row r="1448" spans="1:18" outlineLevel="2">
      <c r="A1448" s="276">
        <f>ROW()</f>
        <v>1448</v>
      </c>
      <c r="B1448" s="403" t="s">
        <v>52</v>
      </c>
      <c r="C1448" s="577"/>
      <c r="D1448" s="285"/>
      <c r="E1448" s="285"/>
      <c r="F1448" s="285"/>
      <c r="G1448" s="1406">
        <v>0</v>
      </c>
      <c r="H1448" s="159"/>
      <c r="I1448" s="159"/>
      <c r="J1448" s="159"/>
      <c r="K1448" s="159"/>
      <c r="L1448" s="159"/>
      <c r="M1448" s="159"/>
      <c r="N1448" s="159"/>
      <c r="O1448" s="285"/>
      <c r="P1448" s="285"/>
      <c r="Q1448" s="285"/>
      <c r="R1448" s="285"/>
    </row>
    <row r="1449" spans="1:18" outlineLevel="2">
      <c r="A1449" s="276">
        <f>ROW()</f>
        <v>1449</v>
      </c>
      <c r="B1449" s="403" t="s">
        <v>201</v>
      </c>
      <c r="C1449" s="577"/>
      <c r="D1449" s="285"/>
      <c r="E1449" s="285"/>
      <c r="F1449" s="285"/>
      <c r="G1449" s="1316">
        <f>IF(G1447&lt;&gt;0,G1447/G1448,0)</f>
        <v>0</v>
      </c>
      <c r="H1449" s="159"/>
      <c r="I1449" s="159"/>
      <c r="J1449" s="159"/>
      <c r="K1449" s="159"/>
      <c r="L1449" s="159"/>
      <c r="M1449" s="159"/>
      <c r="N1449" s="159"/>
      <c r="O1449" s="285"/>
      <c r="P1449" s="285"/>
      <c r="Q1449" s="285"/>
      <c r="R1449" s="285"/>
    </row>
    <row r="1450" spans="1:18" outlineLevel="2">
      <c r="A1450" s="276">
        <f>ROW()</f>
        <v>1450</v>
      </c>
      <c r="B1450" s="403" t="s">
        <v>144</v>
      </c>
      <c r="C1450" s="577"/>
      <c r="D1450" s="285"/>
      <c r="E1450" s="285"/>
      <c r="F1450" s="285"/>
      <c r="G1450" s="1407">
        <v>0</v>
      </c>
      <c r="H1450" s="159"/>
      <c r="I1450" s="159"/>
      <c r="J1450" s="159"/>
      <c r="K1450" s="159"/>
      <c r="L1450" s="159"/>
      <c r="M1450" s="159"/>
      <c r="N1450" s="159"/>
      <c r="O1450" s="285"/>
      <c r="P1450" s="285"/>
      <c r="Q1450" s="285"/>
      <c r="R1450" s="285"/>
    </row>
    <row r="1451" spans="1:18" outlineLevel="2">
      <c r="A1451" s="276">
        <f>ROW()</f>
        <v>1451</v>
      </c>
      <c r="B1451" s="403" t="s">
        <v>145</v>
      </c>
      <c r="C1451" s="577"/>
      <c r="D1451" s="285"/>
      <c r="E1451" s="285"/>
      <c r="F1451" s="285"/>
      <c r="G1451" s="1317">
        <f>G1449*G1450</f>
        <v>0</v>
      </c>
      <c r="H1451" s="159"/>
      <c r="I1451" s="159"/>
      <c r="J1451" s="159"/>
      <c r="K1451" s="159"/>
      <c r="L1451" s="159"/>
      <c r="M1451" s="159"/>
      <c r="N1451" s="159"/>
      <c r="O1451" s="285"/>
      <c r="P1451" s="285"/>
      <c r="Q1451" s="285"/>
      <c r="R1451" s="285"/>
    </row>
    <row r="1452" spans="1:18" outlineLevel="2">
      <c r="A1452" s="276">
        <f>ROW()</f>
        <v>1452</v>
      </c>
      <c r="B1452" s="403" t="s">
        <v>106</v>
      </c>
      <c r="C1452" s="577"/>
      <c r="D1452" s="285"/>
      <c r="E1452" s="285"/>
      <c r="F1452" s="285"/>
      <c r="G1452" s="1407">
        <v>0</v>
      </c>
      <c r="H1452" s="159" t="s">
        <v>148</v>
      </c>
      <c r="I1452" s="159"/>
      <c r="J1452" s="159"/>
      <c r="K1452" s="159"/>
      <c r="L1452" s="159"/>
      <c r="M1452" s="159"/>
      <c r="N1452" s="159"/>
      <c r="O1452" s="285"/>
      <c r="P1452" s="285"/>
      <c r="Q1452" s="285"/>
      <c r="R1452" s="285"/>
    </row>
    <row r="1453" spans="1:18" outlineLevel="2">
      <c r="A1453" s="276">
        <f>ROW()</f>
        <v>1453</v>
      </c>
      <c r="B1453" s="403" t="s">
        <v>147</v>
      </c>
      <c r="C1453" s="577"/>
      <c r="D1453" s="285"/>
      <c r="E1453" s="285"/>
      <c r="F1453" s="285"/>
      <c r="G1453" s="1318">
        <f>G1452*G1447</f>
        <v>0</v>
      </c>
      <c r="H1453" s="159"/>
      <c r="I1453" s="159"/>
      <c r="J1453" s="159"/>
      <c r="K1453" s="159"/>
      <c r="L1453" s="159"/>
      <c r="M1453" s="159"/>
      <c r="N1453" s="159"/>
      <c r="O1453" s="285"/>
      <c r="P1453" s="285"/>
      <c r="Q1453" s="285"/>
      <c r="R1453" s="285"/>
    </row>
    <row r="1454" spans="1:18" outlineLevel="2">
      <c r="A1454" s="276">
        <f>ROW()</f>
        <v>1454</v>
      </c>
      <c r="B1454" s="403" t="s">
        <v>216</v>
      </c>
      <c r="C1454" s="577"/>
      <c r="D1454" s="285"/>
      <c r="E1454" s="285"/>
      <c r="F1454" s="285"/>
      <c r="G1454" s="1405">
        <v>20000</v>
      </c>
      <c r="H1454" s="159" t="s">
        <v>107</v>
      </c>
      <c r="I1454" s="159"/>
      <c r="J1454" s="159"/>
      <c r="K1454" s="159"/>
      <c r="L1454" s="159"/>
      <c r="M1454" s="159"/>
      <c r="N1454" s="159"/>
      <c r="O1454" s="285"/>
      <c r="P1454" s="285"/>
      <c r="Q1454" s="285"/>
      <c r="R1454" s="285"/>
    </row>
    <row r="1455" spans="1:18" outlineLevel="2">
      <c r="A1455" s="276">
        <f>ROW()</f>
        <v>1455</v>
      </c>
      <c r="B1455" s="407"/>
      <c r="C1455" s="578"/>
      <c r="D1455" s="408"/>
      <c r="E1455" s="408"/>
      <c r="F1455" s="408"/>
      <c r="G1455" s="192"/>
      <c r="H1455" s="192"/>
      <c r="I1455" s="192"/>
      <c r="J1455" s="192"/>
      <c r="K1455" s="192"/>
      <c r="L1455" s="192"/>
      <c r="M1455" s="192"/>
      <c r="N1455" s="192"/>
      <c r="O1455" s="408"/>
      <c r="P1455" s="408"/>
      <c r="Q1455" s="408"/>
      <c r="R1455" s="408"/>
    </row>
    <row r="1456" spans="1:18" outlineLevel="2">
      <c r="A1456" s="276">
        <f>ROW()</f>
        <v>1456</v>
      </c>
      <c r="C1456" s="568"/>
      <c r="G1456" s="141"/>
      <c r="H1456" s="150"/>
      <c r="I1456" s="150"/>
      <c r="J1456" s="150"/>
      <c r="K1456" s="141"/>
      <c r="L1456" s="141"/>
      <c r="M1456" s="141"/>
      <c r="N1456" s="141"/>
    </row>
    <row r="1457" spans="1:18" outlineLevel="2">
      <c r="A1457" s="276">
        <f>ROW()</f>
        <v>1457</v>
      </c>
      <c r="B1457" s="217" t="s">
        <v>151</v>
      </c>
      <c r="C1457" s="568"/>
      <c r="G1457" s="160"/>
      <c r="H1457" s="160">
        <f t="shared" ref="H1457:M1457" si="508">$G$1443*H31</f>
        <v>97.5</v>
      </c>
      <c r="I1457" s="160">
        <f t="shared" si="508"/>
        <v>127.5</v>
      </c>
      <c r="J1457" s="160">
        <f t="shared" si="508"/>
        <v>165</v>
      </c>
      <c r="K1457" s="160">
        <f t="shared" si="508"/>
        <v>202.5</v>
      </c>
      <c r="L1457" s="160">
        <f t="shared" si="508"/>
        <v>240</v>
      </c>
      <c r="M1457" s="160">
        <f t="shared" si="508"/>
        <v>292.5</v>
      </c>
      <c r="N1457" s="141"/>
    </row>
    <row r="1458" spans="1:18" outlineLevel="2">
      <c r="A1458" s="276">
        <f>ROW()</f>
        <v>1458</v>
      </c>
      <c r="B1458" s="275" t="s">
        <v>187</v>
      </c>
      <c r="C1458" s="579"/>
      <c r="D1458" s="275"/>
      <c r="E1458" s="275"/>
      <c r="F1458" s="275"/>
      <c r="G1458" s="1319"/>
      <c r="H1458" s="1319">
        <f>IF(H1457=0,0,IF(H1457&gt;($G$1444*5),6,IF(H1457&gt;($G$1444*4),5,IF(H1457&gt;($G$1444*3),4,IF(H1457&gt;($G$1444*2),3,IF(H1457&gt;$G$1444,2,IF(H1457&gt;0,1)))))))</f>
        <v>2</v>
      </c>
      <c r="I1458" s="1319">
        <v>1</v>
      </c>
      <c r="J1458" s="1319">
        <f>IF(J1457=0,0,IF(J1457&gt;($G$1444*5),6,IF(J1457&gt;($G$1444*4),5,IF(J1457&gt;($G$1444*3),4,IF(J1457&gt;($G$1444*2),3,IF(J1457&gt;$G$1444,2,IF(J1457&gt;0,1)))))))</f>
        <v>4</v>
      </c>
      <c r="K1458" s="1319">
        <f>IF(K1457=0,0,IF(K1457&gt;($G$1444*5),6,IF(K1457&gt;($G$1444*4),5,IF(K1457&gt;($G$1444*3),4,IF(K1457&gt;($G$1444*2),3,IF(K1457&gt;$G$1444,2,IF(K1457&gt;0,1)))))))</f>
        <v>5</v>
      </c>
      <c r="L1458" s="1319">
        <f>IF(L1457=0,0,IF(L1457&gt;($G$1444*5),6,IF(L1457&gt;($G$1444*4),5,IF(L1457&gt;($G$1444*3),4,IF(L1457&gt;($G$1444*2),3,IF(L1457&gt;$G$1444,2,IF(L1457&gt;0,1)))))))</f>
        <v>5</v>
      </c>
      <c r="M1458" s="1319">
        <f>IF(M1457=0,0,IF(M1457&gt;($G$1444*5),6,IF(M1457&gt;($G$1444*4),5,IF(M1457&gt;($G$1444*3),4,IF(M1457&gt;($G$1444*2),3,IF(M1457&gt;$G$1444,2,IF(M1457&gt;0,1)))))))</f>
        <v>6</v>
      </c>
      <c r="N1458" s="141"/>
    </row>
    <row r="1459" spans="1:18" outlineLevel="2">
      <c r="A1459" s="276">
        <f>ROW()</f>
        <v>1459</v>
      </c>
      <c r="B1459" s="217" t="s">
        <v>103</v>
      </c>
      <c r="C1459" s="568"/>
      <c r="G1459" s="1305"/>
      <c r="H1459" s="1305">
        <f>H1458*$G$1445</f>
        <v>0</v>
      </c>
      <c r="I1459" s="1305">
        <f>(I1458-H1458)*$G$1445</f>
        <v>0</v>
      </c>
      <c r="J1459" s="1305">
        <f>(J1458-I1458)*$G$1445</f>
        <v>0</v>
      </c>
      <c r="K1459" s="1305">
        <f>(K1458-J1458)*$G$1445</f>
        <v>0</v>
      </c>
      <c r="L1459" s="1305">
        <f>(L1458-K1458)*$G$1445</f>
        <v>0</v>
      </c>
      <c r="M1459" s="1305">
        <f>(M1458-L1458)*$G$1445</f>
        <v>0</v>
      </c>
      <c r="N1459" s="141"/>
    </row>
    <row r="1460" spans="1:18" outlineLevel="2">
      <c r="A1460" s="276">
        <f>ROW()</f>
        <v>1460</v>
      </c>
      <c r="B1460" s="217" t="s">
        <v>149</v>
      </c>
      <c r="C1460" s="568"/>
      <c r="G1460" s="183"/>
      <c r="H1460" s="183">
        <f t="shared" ref="H1460:M1460" si="509">H1458*$G$1451</f>
        <v>0</v>
      </c>
      <c r="I1460" s="183">
        <f t="shared" si="509"/>
        <v>0</v>
      </c>
      <c r="J1460" s="183">
        <f t="shared" si="509"/>
        <v>0</v>
      </c>
      <c r="K1460" s="183">
        <f t="shared" si="509"/>
        <v>0</v>
      </c>
      <c r="L1460" s="183">
        <f t="shared" si="509"/>
        <v>0</v>
      </c>
      <c r="M1460" s="183">
        <f t="shared" si="509"/>
        <v>0</v>
      </c>
      <c r="N1460" s="141"/>
    </row>
    <row r="1461" spans="1:18" outlineLevel="2">
      <c r="A1461" s="276">
        <f>ROW()</f>
        <v>1461</v>
      </c>
      <c r="B1461" s="217" t="s">
        <v>104</v>
      </c>
      <c r="C1461" s="568"/>
      <c r="G1461" s="1320"/>
      <c r="H1461" s="1320">
        <f t="shared" ref="H1461:M1461" si="510">H1458*$G$1453</f>
        <v>0</v>
      </c>
      <c r="I1461" s="1320">
        <f t="shared" si="510"/>
        <v>0</v>
      </c>
      <c r="J1461" s="1320">
        <f t="shared" si="510"/>
        <v>0</v>
      </c>
      <c r="K1461" s="1320">
        <f t="shared" si="510"/>
        <v>0</v>
      </c>
      <c r="L1461" s="1320">
        <f t="shared" si="510"/>
        <v>0</v>
      </c>
      <c r="M1461" s="1320">
        <f t="shared" si="510"/>
        <v>0</v>
      </c>
      <c r="N1461" s="141"/>
    </row>
    <row r="1462" spans="1:18" outlineLevel="2">
      <c r="A1462" s="276">
        <f>ROW()</f>
        <v>1462</v>
      </c>
      <c r="B1462" s="217" t="s">
        <v>217</v>
      </c>
      <c r="C1462" s="568"/>
      <c r="G1462" s="1320"/>
      <c r="H1462" s="1321">
        <f t="shared" ref="H1462:M1462" si="511">H1458*$G$1454</f>
        <v>40000</v>
      </c>
      <c r="I1462" s="1321">
        <f t="shared" si="511"/>
        <v>20000</v>
      </c>
      <c r="J1462" s="1321">
        <f t="shared" si="511"/>
        <v>80000</v>
      </c>
      <c r="K1462" s="1321">
        <f t="shared" si="511"/>
        <v>100000</v>
      </c>
      <c r="L1462" s="1321">
        <f t="shared" si="511"/>
        <v>100000</v>
      </c>
      <c r="M1462" s="1321">
        <f t="shared" si="511"/>
        <v>120000</v>
      </c>
      <c r="N1462" s="141"/>
    </row>
    <row r="1463" spans="1:18" ht="15" thickBot="1">
      <c r="A1463" s="276">
        <f>ROW()</f>
        <v>1463</v>
      </c>
      <c r="C1463" s="568"/>
      <c r="G1463" s="1321"/>
      <c r="H1463" s="1321"/>
      <c r="I1463" s="1321"/>
      <c r="J1463" s="1321"/>
      <c r="K1463" s="1321"/>
      <c r="L1463" s="1321"/>
      <c r="M1463" s="1321"/>
      <c r="N1463" s="141"/>
    </row>
    <row r="1464" spans="1:18" ht="15" thickBot="1">
      <c r="A1464" s="276">
        <f>ROW()</f>
        <v>1464</v>
      </c>
      <c r="B1464" s="765" t="s">
        <v>222</v>
      </c>
      <c r="C1464" s="766">
        <f>SUM(G1464:M1464)</f>
        <v>460000</v>
      </c>
      <c r="D1464" s="767"/>
      <c r="E1464" s="767"/>
      <c r="F1464" s="767"/>
      <c r="G1464" s="1308">
        <f t="shared" ref="G1464:M1464" si="512">SUM(G1459:G1462)</f>
        <v>0</v>
      </c>
      <c r="H1464" s="1308">
        <f t="shared" si="512"/>
        <v>40000</v>
      </c>
      <c r="I1464" s="1308">
        <f t="shared" si="512"/>
        <v>20000</v>
      </c>
      <c r="J1464" s="1308">
        <f t="shared" si="512"/>
        <v>80000</v>
      </c>
      <c r="K1464" s="1308">
        <f t="shared" si="512"/>
        <v>100000</v>
      </c>
      <c r="L1464" s="1308">
        <f t="shared" si="512"/>
        <v>100000</v>
      </c>
      <c r="M1464" s="1308">
        <f t="shared" si="512"/>
        <v>120000</v>
      </c>
      <c r="N1464" s="141"/>
    </row>
    <row r="1465" spans="1:18">
      <c r="A1465" s="276">
        <f>ROW()</f>
        <v>1465</v>
      </c>
      <c r="B1465" s="380" t="s">
        <v>68</v>
      </c>
      <c r="C1465" s="567"/>
      <c r="D1465" s="380"/>
      <c r="E1465" s="380"/>
      <c r="F1465" s="380"/>
      <c r="G1465" s="1322"/>
      <c r="H1465" s="1323">
        <f t="shared" ref="H1465:M1465" si="513">IFERROR(H1464/H1457,"NA")</f>
        <v>410.25641025641028</v>
      </c>
      <c r="I1465" s="1323">
        <f t="shared" si="513"/>
        <v>156.86274509803923</v>
      </c>
      <c r="J1465" s="1323">
        <f t="shared" si="513"/>
        <v>484.84848484848487</v>
      </c>
      <c r="K1465" s="1323">
        <f t="shared" si="513"/>
        <v>493.82716049382714</v>
      </c>
      <c r="L1465" s="1323">
        <f t="shared" si="513"/>
        <v>416.66666666666669</v>
      </c>
      <c r="M1465" s="1323">
        <f t="shared" si="513"/>
        <v>410.25641025641028</v>
      </c>
      <c r="N1465" s="141"/>
    </row>
    <row r="1466" spans="1:18">
      <c r="A1466" s="276">
        <f>ROW()</f>
        <v>1466</v>
      </c>
      <c r="C1466" s="568"/>
      <c r="G1466" s="141"/>
      <c r="H1466" s="150"/>
      <c r="I1466" s="150"/>
      <c r="J1466" s="150"/>
      <c r="K1466" s="141"/>
      <c r="L1466" s="141"/>
      <c r="M1466" s="141"/>
      <c r="N1466" s="141"/>
    </row>
    <row r="1467" spans="1:18" hidden="1">
      <c r="A1467" s="276">
        <f>ROW()</f>
        <v>1467</v>
      </c>
      <c r="C1467" s="568"/>
      <c r="G1467" s="141"/>
      <c r="H1467" s="150"/>
      <c r="I1467" s="150"/>
      <c r="J1467" s="150"/>
      <c r="K1467" s="141"/>
      <c r="L1467" s="141"/>
      <c r="M1467" s="141"/>
      <c r="N1467" s="141"/>
    </row>
    <row r="1468" spans="1:18" hidden="1">
      <c r="A1468" s="276">
        <f>ROW()</f>
        <v>1468</v>
      </c>
      <c r="C1468" s="568"/>
      <c r="G1468" s="141"/>
      <c r="H1468" s="150"/>
      <c r="I1468" s="150"/>
      <c r="J1468" s="150"/>
      <c r="K1468" s="141"/>
      <c r="L1468" s="141"/>
      <c r="M1468" s="141"/>
      <c r="N1468" s="141"/>
    </row>
    <row r="1469" spans="1:18" outlineLevel="1">
      <c r="A1469" s="276">
        <f>ROW()</f>
        <v>1469</v>
      </c>
      <c r="C1469" s="568"/>
      <c r="G1469" s="141"/>
      <c r="H1469" s="150"/>
      <c r="I1469" s="150"/>
      <c r="J1469" s="150"/>
      <c r="K1469" s="141"/>
      <c r="L1469" s="141"/>
      <c r="M1469" s="141"/>
      <c r="N1469" s="141"/>
    </row>
    <row r="1470" spans="1:18" outlineLevel="1">
      <c r="A1470" s="276">
        <f>ROW()</f>
        <v>1470</v>
      </c>
      <c r="B1470" s="365" t="s">
        <v>115</v>
      </c>
      <c r="C1470" s="580"/>
      <c r="D1470" s="445"/>
      <c r="E1470" s="445"/>
      <c r="F1470" s="445"/>
      <c r="G1470" s="187"/>
      <c r="H1470" s="187"/>
      <c r="I1470" s="187"/>
      <c r="J1470" s="187"/>
      <c r="K1470" s="187"/>
      <c r="L1470" s="187"/>
      <c r="M1470" s="187"/>
      <c r="N1470" s="187"/>
      <c r="O1470" s="400"/>
      <c r="P1470" s="400"/>
      <c r="Q1470" s="400"/>
      <c r="R1470" s="400"/>
    </row>
    <row r="1471" spans="1:18" outlineLevel="1">
      <c r="A1471" s="276">
        <f>ROW()</f>
        <v>1471</v>
      </c>
      <c r="B1471" s="403" t="s">
        <v>116</v>
      </c>
      <c r="C1471" s="1212">
        <v>1000</v>
      </c>
      <c r="D1471" s="1195"/>
      <c r="E1471" s="1195"/>
      <c r="F1471" s="1195"/>
      <c r="G1471" s="159"/>
      <c r="H1471" s="159"/>
      <c r="I1471" s="159"/>
      <c r="J1471" s="159"/>
      <c r="K1471" s="159"/>
      <c r="L1471" s="159"/>
      <c r="M1471" s="159"/>
      <c r="N1471" s="159"/>
      <c r="O1471" s="285"/>
      <c r="P1471" s="285"/>
      <c r="Q1471" s="285"/>
      <c r="R1471" s="285"/>
    </row>
    <row r="1472" spans="1:18" outlineLevel="1">
      <c r="A1472" s="276">
        <f>ROW()</f>
        <v>1472</v>
      </c>
      <c r="B1472" s="403" t="s">
        <v>117</v>
      </c>
      <c r="C1472" s="1212">
        <v>500</v>
      </c>
      <c r="D1472" s="1195"/>
      <c r="E1472" s="1195"/>
      <c r="F1472" s="1195"/>
      <c r="G1472" s="1313"/>
      <c r="H1472" s="159"/>
      <c r="I1472" s="159"/>
      <c r="J1472" s="159"/>
      <c r="K1472" s="159"/>
      <c r="L1472" s="159"/>
      <c r="M1472" s="159"/>
      <c r="N1472" s="159"/>
      <c r="O1472" s="285"/>
      <c r="P1472" s="285"/>
      <c r="Q1472" s="285"/>
      <c r="R1472" s="285"/>
    </row>
    <row r="1473" spans="1:18" outlineLevel="1">
      <c r="A1473" s="276">
        <f>ROW()</f>
        <v>1473</v>
      </c>
      <c r="B1473" s="403" t="s">
        <v>118</v>
      </c>
      <c r="C1473" s="1205"/>
      <c r="D1473" s="1196"/>
      <c r="E1473" s="1196"/>
      <c r="F1473" s="1196"/>
      <c r="G1473" s="1314"/>
      <c r="H1473" s="159"/>
      <c r="I1473" s="159"/>
      <c r="J1473" s="159"/>
      <c r="K1473" s="159"/>
      <c r="L1473" s="159"/>
      <c r="M1473" s="159"/>
      <c r="N1473" s="159"/>
      <c r="O1473" s="285"/>
      <c r="P1473" s="285"/>
      <c r="Q1473" s="285"/>
      <c r="R1473" s="285"/>
    </row>
    <row r="1474" spans="1:18" outlineLevel="1">
      <c r="A1474" s="276">
        <f>ROW()</f>
        <v>1474</v>
      </c>
      <c r="B1474" s="403" t="s">
        <v>119</v>
      </c>
      <c r="C1474" s="1212">
        <v>300</v>
      </c>
      <c r="D1474" s="1195"/>
      <c r="E1474" s="1195"/>
      <c r="F1474" s="1195"/>
      <c r="G1474" s="1324" t="s">
        <v>120</v>
      </c>
      <c r="H1474" s="159"/>
      <c r="I1474" s="159"/>
      <c r="J1474" s="159"/>
      <c r="K1474" s="159"/>
      <c r="L1474" s="159"/>
      <c r="M1474" s="159"/>
      <c r="N1474" s="159"/>
      <c r="O1474" s="285"/>
      <c r="P1474" s="285"/>
      <c r="Q1474" s="285"/>
      <c r="R1474" s="285"/>
    </row>
    <row r="1475" spans="1:18" outlineLevel="1">
      <c r="A1475" s="276">
        <f>ROW()</f>
        <v>1475</v>
      </c>
      <c r="B1475" s="403" t="s">
        <v>121</v>
      </c>
      <c r="C1475" s="1212">
        <v>100</v>
      </c>
      <c r="D1475" s="1195"/>
      <c r="E1475" s="1195"/>
      <c r="F1475" s="1195"/>
      <c r="G1475" s="1183"/>
      <c r="H1475" s="159"/>
      <c r="I1475" s="159"/>
      <c r="J1475" s="159"/>
      <c r="K1475" s="159"/>
      <c r="L1475" s="159"/>
      <c r="M1475" s="159"/>
      <c r="N1475" s="159"/>
      <c r="O1475" s="285"/>
      <c r="P1475" s="285"/>
      <c r="Q1475" s="285"/>
      <c r="R1475" s="285"/>
    </row>
    <row r="1476" spans="1:18" outlineLevel="1">
      <c r="A1476" s="276">
        <f>ROW()</f>
        <v>1476</v>
      </c>
      <c r="B1476" s="403" t="s">
        <v>122</v>
      </c>
      <c r="C1476" s="1212">
        <v>400</v>
      </c>
      <c r="D1476" s="1195"/>
      <c r="E1476" s="1195"/>
      <c r="F1476" s="1195"/>
      <c r="G1476" s="1183" t="s">
        <v>170</v>
      </c>
      <c r="H1476" s="159"/>
      <c r="I1476" s="159"/>
      <c r="J1476" s="159"/>
      <c r="K1476" s="159"/>
      <c r="L1476" s="159"/>
      <c r="M1476" s="159"/>
      <c r="N1476" s="159"/>
      <c r="O1476" s="285"/>
      <c r="P1476" s="285"/>
      <c r="Q1476" s="285"/>
      <c r="R1476" s="285"/>
    </row>
    <row r="1477" spans="1:18" outlineLevel="1">
      <c r="A1477" s="276">
        <f>ROW()</f>
        <v>1477</v>
      </c>
      <c r="B1477" s="403" t="s">
        <v>128</v>
      </c>
      <c r="C1477" s="1212">
        <v>1200</v>
      </c>
      <c r="D1477" s="1195"/>
      <c r="E1477" s="1195"/>
      <c r="F1477" s="1195"/>
      <c r="G1477" s="1183" t="s">
        <v>112</v>
      </c>
      <c r="H1477" s="159"/>
      <c r="I1477" s="159"/>
      <c r="J1477" s="159"/>
      <c r="K1477" s="159"/>
      <c r="L1477" s="159"/>
      <c r="M1477" s="159"/>
      <c r="N1477" s="159"/>
      <c r="O1477" s="285"/>
      <c r="P1477" s="285"/>
      <c r="Q1477" s="285"/>
      <c r="R1477" s="285"/>
    </row>
    <row r="1478" spans="1:18" outlineLevel="1">
      <c r="A1478" s="276">
        <f>ROW()</f>
        <v>1478</v>
      </c>
      <c r="B1478" s="403" t="s">
        <v>113</v>
      </c>
      <c r="C1478" s="1212">
        <v>800</v>
      </c>
      <c r="D1478" s="1195"/>
      <c r="E1478" s="1195"/>
      <c r="F1478" s="1195"/>
      <c r="G1478" s="1183" t="s">
        <v>127</v>
      </c>
      <c r="H1478" s="159"/>
      <c r="I1478" s="159"/>
      <c r="J1478" s="159"/>
      <c r="K1478" s="159"/>
      <c r="L1478" s="159"/>
      <c r="M1478" s="159"/>
      <c r="N1478" s="159"/>
      <c r="O1478" s="285"/>
      <c r="P1478" s="285"/>
      <c r="Q1478" s="285"/>
      <c r="R1478" s="285"/>
    </row>
    <row r="1479" spans="1:18" outlineLevel="1">
      <c r="A1479" s="276">
        <f>ROW()</f>
        <v>1479</v>
      </c>
      <c r="B1479" s="371" t="s">
        <v>53</v>
      </c>
      <c r="C1479" s="1213">
        <f>SUM(C1471:C1478)</f>
        <v>4300</v>
      </c>
      <c r="D1479" s="1197"/>
      <c r="E1479" s="1197"/>
      <c r="F1479" s="1197"/>
      <c r="G1479" s="1183"/>
      <c r="H1479" s="159"/>
      <c r="I1479" s="159"/>
      <c r="J1479" s="159"/>
      <c r="K1479" s="159"/>
      <c r="L1479" s="159"/>
      <c r="M1479" s="159"/>
      <c r="N1479" s="159"/>
      <c r="O1479" s="285"/>
      <c r="P1479" s="285"/>
      <c r="Q1479" s="285"/>
      <c r="R1479" s="285"/>
    </row>
    <row r="1480" spans="1:18" outlineLevel="1">
      <c r="A1480" s="276">
        <f>ROW()</f>
        <v>1480</v>
      </c>
      <c r="B1480" s="407"/>
      <c r="C1480" s="1206"/>
      <c r="D1480" s="1198"/>
      <c r="E1480" s="1198"/>
      <c r="F1480" s="1198"/>
      <c r="G1480" s="1325"/>
      <c r="H1480" s="192"/>
      <c r="I1480" s="192"/>
      <c r="J1480" s="192"/>
      <c r="K1480" s="192"/>
      <c r="L1480" s="192"/>
      <c r="M1480" s="192"/>
      <c r="N1480" s="192"/>
      <c r="O1480" s="408"/>
      <c r="P1480" s="408"/>
      <c r="Q1480" s="408"/>
      <c r="R1480" s="408"/>
    </row>
    <row r="1481" spans="1:18" outlineLevel="1">
      <c r="A1481" s="276">
        <f>ROW()</f>
        <v>1481</v>
      </c>
      <c r="B1481" s="365" t="s">
        <v>114</v>
      </c>
      <c r="C1481" s="1207"/>
      <c r="D1481" s="1199"/>
      <c r="E1481" s="1199"/>
      <c r="F1481" s="1199"/>
      <c r="G1481" s="187"/>
      <c r="H1481" s="187"/>
      <c r="I1481" s="187"/>
      <c r="J1481" s="187"/>
      <c r="K1481" s="187"/>
      <c r="L1481" s="187"/>
      <c r="M1481" s="187"/>
      <c r="N1481" s="187"/>
      <c r="O1481" s="400"/>
      <c r="P1481" s="400"/>
      <c r="Q1481" s="400"/>
      <c r="R1481" s="400"/>
    </row>
    <row r="1482" spans="1:18" outlineLevel="1">
      <c r="A1482" s="276">
        <f>ROW()</f>
        <v>1482</v>
      </c>
      <c r="B1482" s="403" t="s">
        <v>116</v>
      </c>
      <c r="C1482" s="1212">
        <v>1000</v>
      </c>
      <c r="D1482" s="1195"/>
      <c r="E1482" s="1195"/>
      <c r="F1482" s="1195"/>
      <c r="G1482" s="159"/>
      <c r="H1482" s="159"/>
      <c r="I1482" s="159"/>
      <c r="J1482" s="159"/>
      <c r="K1482" s="159"/>
      <c r="L1482" s="159"/>
      <c r="M1482" s="159"/>
      <c r="N1482" s="159"/>
      <c r="O1482" s="285"/>
      <c r="P1482" s="285"/>
      <c r="Q1482" s="285"/>
      <c r="R1482" s="285"/>
    </row>
    <row r="1483" spans="1:18" outlineLevel="1">
      <c r="A1483" s="276">
        <f>ROW()</f>
        <v>1483</v>
      </c>
      <c r="B1483" s="403" t="s">
        <v>117</v>
      </c>
      <c r="C1483" s="1212">
        <v>500</v>
      </c>
      <c r="D1483" s="1195"/>
      <c r="E1483" s="1195"/>
      <c r="F1483" s="1195"/>
      <c r="G1483" s="1313"/>
      <c r="H1483" s="159"/>
      <c r="I1483" s="159"/>
      <c r="J1483" s="159"/>
      <c r="K1483" s="159"/>
      <c r="L1483" s="159"/>
      <c r="M1483" s="159"/>
      <c r="N1483" s="159"/>
      <c r="O1483" s="285"/>
      <c r="P1483" s="285"/>
      <c r="Q1483" s="285"/>
      <c r="R1483" s="285"/>
    </row>
    <row r="1484" spans="1:18" outlineLevel="1">
      <c r="A1484" s="276">
        <f>ROW()</f>
        <v>1484</v>
      </c>
      <c r="B1484" s="403" t="s">
        <v>118</v>
      </c>
      <c r="C1484" s="1205"/>
      <c r="D1484" s="1196"/>
      <c r="E1484" s="1196"/>
      <c r="F1484" s="1196"/>
      <c r="G1484" s="1314"/>
      <c r="H1484" s="159"/>
      <c r="I1484" s="159"/>
      <c r="J1484" s="159"/>
      <c r="K1484" s="159"/>
      <c r="L1484" s="159"/>
      <c r="M1484" s="159"/>
      <c r="N1484" s="159"/>
      <c r="O1484" s="285"/>
      <c r="P1484" s="285"/>
      <c r="Q1484" s="285"/>
      <c r="R1484" s="285"/>
    </row>
    <row r="1485" spans="1:18" outlineLevel="1">
      <c r="A1485" s="276">
        <f>ROW()</f>
        <v>1485</v>
      </c>
      <c r="B1485" s="403" t="s">
        <v>119</v>
      </c>
      <c r="C1485" s="1212">
        <v>500</v>
      </c>
      <c r="D1485" s="1195"/>
      <c r="E1485" s="1195"/>
      <c r="F1485" s="1195"/>
      <c r="G1485" s="1324" t="s">
        <v>120</v>
      </c>
      <c r="H1485" s="159"/>
      <c r="I1485" s="159"/>
      <c r="J1485" s="159"/>
      <c r="K1485" s="159"/>
      <c r="L1485" s="159"/>
      <c r="M1485" s="159"/>
      <c r="N1485" s="159"/>
      <c r="O1485" s="285"/>
      <c r="P1485" s="285"/>
      <c r="Q1485" s="285"/>
      <c r="R1485" s="285"/>
    </row>
    <row r="1486" spans="1:18" outlineLevel="1">
      <c r="A1486" s="276">
        <f>ROW()</f>
        <v>1486</v>
      </c>
      <c r="B1486" s="403" t="s">
        <v>110</v>
      </c>
      <c r="C1486" s="1212">
        <v>100</v>
      </c>
      <c r="D1486" s="1195"/>
      <c r="E1486" s="1195"/>
      <c r="F1486" s="1195"/>
      <c r="G1486" s="1183"/>
      <c r="H1486" s="159"/>
      <c r="I1486" s="159"/>
      <c r="J1486" s="159"/>
      <c r="K1486" s="159"/>
      <c r="L1486" s="159"/>
      <c r="M1486" s="159"/>
      <c r="N1486" s="159"/>
      <c r="O1486" s="285"/>
      <c r="P1486" s="285"/>
      <c r="Q1486" s="285"/>
      <c r="R1486" s="285"/>
    </row>
    <row r="1487" spans="1:18" outlineLevel="1">
      <c r="A1487" s="276">
        <f>ROW()</f>
        <v>1487</v>
      </c>
      <c r="B1487" s="403" t="s">
        <v>54</v>
      </c>
      <c r="C1487" s="1212">
        <v>200</v>
      </c>
      <c r="D1487" s="1195"/>
      <c r="E1487" s="1195"/>
      <c r="F1487" s="1195"/>
      <c r="G1487" s="1183" t="s">
        <v>170</v>
      </c>
      <c r="H1487" s="159"/>
      <c r="I1487" s="159"/>
      <c r="J1487" s="159"/>
      <c r="K1487" s="159"/>
      <c r="L1487" s="159"/>
      <c r="M1487" s="159"/>
      <c r="N1487" s="159"/>
      <c r="O1487" s="285"/>
      <c r="P1487" s="285"/>
      <c r="Q1487" s="285"/>
      <c r="R1487" s="285"/>
    </row>
    <row r="1488" spans="1:18" outlineLevel="1">
      <c r="A1488" s="276">
        <f>ROW()</f>
        <v>1488</v>
      </c>
      <c r="B1488" s="403" t="s">
        <v>128</v>
      </c>
      <c r="C1488" s="1212">
        <v>1800</v>
      </c>
      <c r="D1488" s="1195"/>
      <c r="E1488" s="1195"/>
      <c r="F1488" s="1195"/>
      <c r="G1488" s="1183" t="s">
        <v>112</v>
      </c>
      <c r="H1488" s="159"/>
      <c r="I1488" s="159"/>
      <c r="J1488" s="159"/>
      <c r="K1488" s="159"/>
      <c r="L1488" s="159"/>
      <c r="M1488" s="159"/>
      <c r="N1488" s="159"/>
      <c r="O1488" s="285"/>
      <c r="P1488" s="285"/>
      <c r="Q1488" s="285"/>
      <c r="R1488" s="285"/>
    </row>
    <row r="1489" spans="1:18" outlineLevel="1">
      <c r="A1489" s="276">
        <f>ROW()</f>
        <v>1489</v>
      </c>
      <c r="B1489" s="403" t="s">
        <v>113</v>
      </c>
      <c r="C1489" s="1212">
        <v>1200</v>
      </c>
      <c r="D1489" s="1195"/>
      <c r="E1489" s="1195"/>
      <c r="F1489" s="1195"/>
      <c r="G1489" s="1183" t="s">
        <v>127</v>
      </c>
      <c r="H1489" s="159"/>
      <c r="I1489" s="159"/>
      <c r="J1489" s="159"/>
      <c r="K1489" s="159"/>
      <c r="L1489" s="159"/>
      <c r="M1489" s="159"/>
      <c r="N1489" s="159"/>
      <c r="O1489" s="285"/>
      <c r="P1489" s="285"/>
      <c r="Q1489" s="285"/>
      <c r="R1489" s="285"/>
    </row>
    <row r="1490" spans="1:18" outlineLevel="1">
      <c r="A1490" s="276">
        <f>ROW()</f>
        <v>1490</v>
      </c>
      <c r="B1490" s="403" t="s">
        <v>55</v>
      </c>
      <c r="C1490" s="1212">
        <v>0</v>
      </c>
      <c r="D1490" s="1195"/>
      <c r="E1490" s="1195"/>
      <c r="F1490" s="1195"/>
      <c r="G1490" s="1183" t="s">
        <v>56</v>
      </c>
      <c r="H1490" s="159"/>
      <c r="I1490" s="159"/>
      <c r="J1490" s="159"/>
      <c r="K1490" s="159"/>
      <c r="L1490" s="159"/>
      <c r="M1490" s="159"/>
      <c r="N1490" s="159"/>
      <c r="O1490" s="285"/>
      <c r="P1490" s="285"/>
      <c r="Q1490" s="285"/>
      <c r="R1490" s="285"/>
    </row>
    <row r="1491" spans="1:18" outlineLevel="1">
      <c r="A1491" s="276">
        <f>ROW()</f>
        <v>1491</v>
      </c>
      <c r="B1491" s="371" t="s">
        <v>53</v>
      </c>
      <c r="C1491" s="1213">
        <f>SUM(C1482:C1490)</f>
        <v>5300</v>
      </c>
      <c r="D1491" s="1197"/>
      <c r="E1491" s="1197"/>
      <c r="F1491" s="1197"/>
      <c r="G1491" s="1183"/>
      <c r="H1491" s="159"/>
      <c r="I1491" s="159"/>
      <c r="J1491" s="159"/>
      <c r="K1491" s="159"/>
      <c r="L1491" s="159"/>
      <c r="M1491" s="159"/>
      <c r="N1491" s="159"/>
      <c r="O1491" s="285"/>
      <c r="P1491" s="285"/>
      <c r="Q1491" s="285"/>
      <c r="R1491" s="285"/>
    </row>
    <row r="1492" spans="1:18" outlineLevel="1">
      <c r="A1492" s="276">
        <f>ROW()</f>
        <v>1492</v>
      </c>
      <c r="B1492" s="407"/>
      <c r="C1492" s="1206"/>
      <c r="D1492" s="1200"/>
      <c r="E1492" s="1200"/>
      <c r="F1492" s="1200"/>
      <c r="G1492" s="192"/>
      <c r="H1492" s="192"/>
      <c r="I1492" s="192"/>
      <c r="J1492" s="192"/>
      <c r="K1492" s="192"/>
      <c r="L1492" s="192"/>
      <c r="M1492" s="192"/>
      <c r="N1492" s="192"/>
      <c r="O1492" s="408"/>
      <c r="P1492" s="408"/>
      <c r="Q1492" s="408"/>
      <c r="R1492" s="408"/>
    </row>
    <row r="1493" spans="1:18" outlineLevel="1">
      <c r="A1493" s="276">
        <f>ROW()</f>
        <v>1493</v>
      </c>
      <c r="B1493" s="371" t="s">
        <v>3</v>
      </c>
      <c r="C1493" s="1208"/>
      <c r="D1493" s="1201"/>
      <c r="E1493" s="1201"/>
      <c r="F1493" s="1201"/>
      <c r="G1493" s="159"/>
      <c r="H1493" s="159"/>
      <c r="I1493" s="159"/>
      <c r="J1493" s="159"/>
      <c r="K1493" s="159"/>
      <c r="L1493" s="159"/>
      <c r="M1493" s="159"/>
      <c r="N1493" s="159"/>
      <c r="O1493" s="285"/>
      <c r="P1493" s="285"/>
      <c r="Q1493" s="285"/>
      <c r="R1493" s="285"/>
    </row>
    <row r="1494" spans="1:18" outlineLevel="1">
      <c r="A1494" s="276">
        <f>ROW()</f>
        <v>1494</v>
      </c>
      <c r="B1494" s="403" t="s">
        <v>116</v>
      </c>
      <c r="C1494" s="1212">
        <v>1000</v>
      </c>
      <c r="D1494" s="1195"/>
      <c r="E1494" s="1195"/>
      <c r="F1494" s="1195"/>
      <c r="G1494" s="159"/>
      <c r="H1494" s="159"/>
      <c r="I1494" s="159"/>
      <c r="J1494" s="159"/>
      <c r="K1494" s="159"/>
      <c r="L1494" s="159"/>
      <c r="M1494" s="159"/>
      <c r="N1494" s="159"/>
      <c r="O1494" s="285"/>
      <c r="P1494" s="285"/>
      <c r="Q1494" s="285"/>
      <c r="R1494" s="285"/>
    </row>
    <row r="1495" spans="1:18" outlineLevel="1">
      <c r="A1495" s="276">
        <f>ROW()</f>
        <v>1495</v>
      </c>
      <c r="B1495" s="403" t="s">
        <v>117</v>
      </c>
      <c r="C1495" s="1212">
        <v>500</v>
      </c>
      <c r="D1495" s="1195"/>
      <c r="E1495" s="1195"/>
      <c r="F1495" s="1195"/>
      <c r="G1495" s="1313"/>
      <c r="H1495" s="159"/>
      <c r="I1495" s="159"/>
      <c r="J1495" s="159"/>
      <c r="K1495" s="159"/>
      <c r="L1495" s="159"/>
      <c r="M1495" s="159"/>
      <c r="N1495" s="159"/>
      <c r="O1495" s="285"/>
      <c r="P1495" s="285"/>
      <c r="Q1495" s="285"/>
      <c r="R1495" s="285"/>
    </row>
    <row r="1496" spans="1:18" outlineLevel="1">
      <c r="A1496" s="276">
        <f>ROW()</f>
        <v>1496</v>
      </c>
      <c r="B1496" s="403" t="s">
        <v>118</v>
      </c>
      <c r="C1496" s="1205"/>
      <c r="D1496" s="1196"/>
      <c r="E1496" s="1196"/>
      <c r="F1496" s="1196"/>
      <c r="G1496" s="1314"/>
      <c r="H1496" s="159"/>
      <c r="I1496" s="159"/>
      <c r="J1496" s="159"/>
      <c r="K1496" s="159"/>
      <c r="L1496" s="159"/>
      <c r="M1496" s="159"/>
      <c r="N1496" s="159"/>
      <c r="O1496" s="285"/>
      <c r="P1496" s="285"/>
      <c r="Q1496" s="285"/>
      <c r="R1496" s="285"/>
    </row>
    <row r="1497" spans="1:18" outlineLevel="1">
      <c r="A1497" s="276">
        <f>ROW()</f>
        <v>1497</v>
      </c>
      <c r="B1497" s="403" t="s">
        <v>119</v>
      </c>
      <c r="C1497" s="1212">
        <v>500</v>
      </c>
      <c r="D1497" s="1195"/>
      <c r="E1497" s="1195"/>
      <c r="F1497" s="1195"/>
      <c r="G1497" s="1324" t="s">
        <v>120</v>
      </c>
      <c r="H1497" s="159"/>
      <c r="I1497" s="159"/>
      <c r="J1497" s="159"/>
      <c r="K1497" s="159"/>
      <c r="L1497" s="159"/>
      <c r="M1497" s="159"/>
      <c r="N1497" s="159"/>
      <c r="O1497" s="285"/>
      <c r="P1497" s="285"/>
      <c r="Q1497" s="285"/>
      <c r="R1497" s="285"/>
    </row>
    <row r="1498" spans="1:18" outlineLevel="1">
      <c r="A1498" s="276">
        <f>ROW()</f>
        <v>1498</v>
      </c>
      <c r="B1498" s="403" t="s">
        <v>110</v>
      </c>
      <c r="C1498" s="1212">
        <v>0</v>
      </c>
      <c r="D1498" s="1195"/>
      <c r="E1498" s="1195"/>
      <c r="F1498" s="1195"/>
      <c r="G1498" s="1183"/>
      <c r="H1498" s="159"/>
      <c r="I1498" s="159"/>
      <c r="J1498" s="159"/>
      <c r="K1498" s="159"/>
      <c r="L1498" s="159"/>
      <c r="M1498" s="159"/>
      <c r="N1498" s="159"/>
      <c r="O1498" s="285"/>
      <c r="P1498" s="285"/>
      <c r="Q1498" s="285"/>
      <c r="R1498" s="285"/>
    </row>
    <row r="1499" spans="1:18" outlineLevel="1">
      <c r="A1499" s="276">
        <f>ROW()</f>
        <v>1499</v>
      </c>
      <c r="B1499" s="403" t="s">
        <v>54</v>
      </c>
      <c r="C1499" s="1212">
        <v>200</v>
      </c>
      <c r="D1499" s="1195"/>
      <c r="E1499" s="1195"/>
      <c r="F1499" s="1195"/>
      <c r="G1499" s="1183" t="s">
        <v>170</v>
      </c>
      <c r="H1499" s="159"/>
      <c r="I1499" s="159"/>
      <c r="J1499" s="159"/>
      <c r="K1499" s="159"/>
      <c r="L1499" s="159"/>
      <c r="M1499" s="159"/>
      <c r="N1499" s="159"/>
      <c r="O1499" s="285"/>
      <c r="P1499" s="285"/>
      <c r="Q1499" s="285"/>
      <c r="R1499" s="285"/>
    </row>
    <row r="1500" spans="1:18" outlineLevel="1">
      <c r="A1500" s="276">
        <f>ROW()</f>
        <v>1500</v>
      </c>
      <c r="B1500" s="403" t="s">
        <v>128</v>
      </c>
      <c r="C1500" s="1212">
        <v>1800</v>
      </c>
      <c r="D1500" s="1195"/>
      <c r="E1500" s="1195"/>
      <c r="F1500" s="1195"/>
      <c r="G1500" s="1183" t="s">
        <v>112</v>
      </c>
      <c r="H1500" s="159"/>
      <c r="I1500" s="159"/>
      <c r="J1500" s="159"/>
      <c r="K1500" s="159"/>
      <c r="L1500" s="159"/>
      <c r="M1500" s="159"/>
      <c r="N1500" s="159"/>
      <c r="O1500" s="285"/>
      <c r="P1500" s="285"/>
      <c r="Q1500" s="285"/>
      <c r="R1500" s="285"/>
    </row>
    <row r="1501" spans="1:18" outlineLevel="1">
      <c r="A1501" s="276">
        <f>ROW()</f>
        <v>1501</v>
      </c>
      <c r="B1501" s="403" t="s">
        <v>113</v>
      </c>
      <c r="C1501" s="1212">
        <v>1200</v>
      </c>
      <c r="D1501" s="1195"/>
      <c r="E1501" s="1195"/>
      <c r="F1501" s="1195"/>
      <c r="G1501" s="1183" t="s">
        <v>127</v>
      </c>
      <c r="H1501" s="159"/>
      <c r="I1501" s="159"/>
      <c r="J1501" s="159"/>
      <c r="K1501" s="159"/>
      <c r="L1501" s="159"/>
      <c r="M1501" s="159"/>
      <c r="N1501" s="159"/>
      <c r="O1501" s="285"/>
      <c r="P1501" s="285"/>
      <c r="Q1501" s="285"/>
      <c r="R1501" s="285"/>
    </row>
    <row r="1502" spans="1:18" outlineLevel="1">
      <c r="A1502" s="276">
        <f>ROW()</f>
        <v>1502</v>
      </c>
      <c r="B1502" s="403" t="s">
        <v>55</v>
      </c>
      <c r="C1502" s="1212">
        <v>0</v>
      </c>
      <c r="D1502" s="1195"/>
      <c r="E1502" s="1195"/>
      <c r="F1502" s="1195"/>
      <c r="G1502" s="1183" t="s">
        <v>56</v>
      </c>
      <c r="H1502" s="159"/>
      <c r="I1502" s="159"/>
      <c r="J1502" s="159"/>
      <c r="K1502" s="159"/>
      <c r="L1502" s="159"/>
      <c r="M1502" s="159"/>
      <c r="N1502" s="159"/>
      <c r="O1502" s="285"/>
      <c r="P1502" s="285"/>
      <c r="Q1502" s="285"/>
      <c r="R1502" s="285"/>
    </row>
    <row r="1503" spans="1:18" outlineLevel="1">
      <c r="A1503" s="276">
        <f>ROW()</f>
        <v>1503</v>
      </c>
      <c r="B1503" s="371" t="s">
        <v>53</v>
      </c>
      <c r="C1503" s="1213">
        <f>SUM(C1494:C1502)</f>
        <v>5200</v>
      </c>
      <c r="D1503" s="1197"/>
      <c r="E1503" s="1197"/>
      <c r="F1503" s="1197"/>
      <c r="G1503" s="1183"/>
      <c r="H1503" s="159"/>
      <c r="I1503" s="159"/>
      <c r="J1503" s="159"/>
      <c r="K1503" s="159"/>
      <c r="L1503" s="159"/>
      <c r="M1503" s="159"/>
      <c r="N1503" s="159"/>
      <c r="O1503" s="285"/>
      <c r="P1503" s="285"/>
      <c r="Q1503" s="285"/>
      <c r="R1503" s="285"/>
    </row>
    <row r="1504" spans="1:18" outlineLevel="1">
      <c r="A1504" s="276">
        <f>ROW()</f>
        <v>1504</v>
      </c>
      <c r="B1504" s="387"/>
      <c r="C1504" s="1209"/>
      <c r="D1504" s="1202"/>
      <c r="E1504" s="1202"/>
      <c r="F1504" s="1202"/>
      <c r="G1504" s="192"/>
      <c r="H1504" s="192"/>
      <c r="I1504" s="192"/>
      <c r="J1504" s="192"/>
      <c r="K1504" s="192"/>
      <c r="L1504" s="192"/>
      <c r="M1504" s="192"/>
      <c r="N1504" s="192"/>
      <c r="O1504" s="408"/>
      <c r="P1504" s="408"/>
      <c r="Q1504" s="408"/>
      <c r="R1504" s="408"/>
    </row>
    <row r="1505" spans="1:18" outlineLevel="1">
      <c r="A1505" s="276">
        <f>ROW()</f>
        <v>1505</v>
      </c>
      <c r="B1505" s="371" t="s">
        <v>58</v>
      </c>
      <c r="C1505" s="1208"/>
      <c r="D1505" s="1201"/>
      <c r="E1505" s="1201"/>
      <c r="F1505" s="1201"/>
      <c r="G1505" s="159"/>
      <c r="H1505" s="159"/>
      <c r="I1505" s="159"/>
      <c r="J1505" s="159"/>
      <c r="K1505" s="159"/>
      <c r="L1505" s="159"/>
      <c r="M1505" s="159"/>
      <c r="N1505" s="159"/>
      <c r="O1505" s="285"/>
      <c r="P1505" s="285"/>
      <c r="Q1505" s="285"/>
      <c r="R1505" s="285"/>
    </row>
    <row r="1506" spans="1:18" outlineLevel="1">
      <c r="A1506" s="276">
        <f>ROW()</f>
        <v>1506</v>
      </c>
      <c r="B1506" s="403" t="s">
        <v>116</v>
      </c>
      <c r="C1506" s="1212">
        <v>1000</v>
      </c>
      <c r="D1506" s="1195"/>
      <c r="E1506" s="1195"/>
      <c r="F1506" s="1195"/>
      <c r="G1506" s="159"/>
      <c r="H1506" s="159"/>
      <c r="I1506" s="159"/>
      <c r="J1506" s="159"/>
      <c r="K1506" s="159"/>
      <c r="L1506" s="159"/>
      <c r="M1506" s="159"/>
      <c r="N1506" s="159"/>
      <c r="O1506" s="285"/>
      <c r="P1506" s="285"/>
      <c r="Q1506" s="285"/>
      <c r="R1506" s="285"/>
    </row>
    <row r="1507" spans="1:18" outlineLevel="1">
      <c r="A1507" s="276">
        <f>ROW()</f>
        <v>1507</v>
      </c>
      <c r="B1507" s="403" t="s">
        <v>117</v>
      </c>
      <c r="C1507" s="1212">
        <v>500</v>
      </c>
      <c r="D1507" s="1195"/>
      <c r="E1507" s="1195"/>
      <c r="F1507" s="1195"/>
      <c r="G1507" s="1313"/>
      <c r="H1507" s="159"/>
      <c r="I1507" s="159"/>
      <c r="J1507" s="159"/>
      <c r="K1507" s="159"/>
      <c r="L1507" s="159"/>
      <c r="M1507" s="159"/>
      <c r="N1507" s="159"/>
      <c r="O1507" s="285"/>
      <c r="P1507" s="285"/>
      <c r="Q1507" s="285"/>
      <c r="R1507" s="285"/>
    </row>
    <row r="1508" spans="1:18" outlineLevel="1">
      <c r="A1508" s="276">
        <f>ROW()</f>
        <v>1508</v>
      </c>
      <c r="B1508" s="403" t="s">
        <v>118</v>
      </c>
      <c r="C1508" s="1205"/>
      <c r="D1508" s="1196"/>
      <c r="E1508" s="1196"/>
      <c r="F1508" s="1196"/>
      <c r="G1508" s="1314"/>
      <c r="H1508" s="159"/>
      <c r="I1508" s="159"/>
      <c r="J1508" s="159"/>
      <c r="K1508" s="159"/>
      <c r="L1508" s="159"/>
      <c r="M1508" s="159"/>
      <c r="N1508" s="159"/>
      <c r="O1508" s="285"/>
      <c r="P1508" s="285"/>
      <c r="Q1508" s="285"/>
      <c r="R1508" s="285"/>
    </row>
    <row r="1509" spans="1:18" outlineLevel="1">
      <c r="A1509" s="276">
        <f>ROW()</f>
        <v>1509</v>
      </c>
      <c r="B1509" s="403" t="s">
        <v>119</v>
      </c>
      <c r="C1509" s="1212">
        <v>400</v>
      </c>
      <c r="D1509" s="1195"/>
      <c r="E1509" s="1195"/>
      <c r="F1509" s="1195"/>
      <c r="G1509" s="1324" t="s">
        <v>120</v>
      </c>
      <c r="H1509" s="159"/>
      <c r="I1509" s="159"/>
      <c r="J1509" s="159"/>
      <c r="K1509" s="159"/>
      <c r="L1509" s="159"/>
      <c r="M1509" s="159"/>
      <c r="N1509" s="159"/>
      <c r="O1509" s="285"/>
      <c r="P1509" s="285"/>
      <c r="Q1509" s="285"/>
      <c r="R1509" s="285"/>
    </row>
    <row r="1510" spans="1:18" outlineLevel="1">
      <c r="A1510" s="276">
        <f>ROW()</f>
        <v>1510</v>
      </c>
      <c r="B1510" s="403" t="s">
        <v>59</v>
      </c>
      <c r="C1510" s="1212">
        <v>150</v>
      </c>
      <c r="D1510" s="1195"/>
      <c r="E1510" s="1195"/>
      <c r="F1510" s="1195"/>
      <c r="G1510" s="1183"/>
      <c r="H1510" s="159"/>
      <c r="I1510" s="159"/>
      <c r="J1510" s="159"/>
      <c r="K1510" s="159"/>
      <c r="L1510" s="159"/>
      <c r="M1510" s="159"/>
      <c r="N1510" s="159"/>
      <c r="O1510" s="285"/>
      <c r="P1510" s="285"/>
      <c r="Q1510" s="285"/>
      <c r="R1510" s="285"/>
    </row>
    <row r="1511" spans="1:18" outlineLevel="1">
      <c r="A1511" s="276">
        <f>ROW()</f>
        <v>1511</v>
      </c>
      <c r="B1511" s="403" t="s">
        <v>60</v>
      </c>
      <c r="C1511" s="1212">
        <v>400</v>
      </c>
      <c r="D1511" s="1195"/>
      <c r="E1511" s="1195"/>
      <c r="F1511" s="1195"/>
      <c r="G1511" s="1183" t="s">
        <v>170</v>
      </c>
      <c r="H1511" s="159"/>
      <c r="I1511" s="159"/>
      <c r="J1511" s="159"/>
      <c r="K1511" s="159"/>
      <c r="L1511" s="159"/>
      <c r="M1511" s="159"/>
      <c r="N1511" s="159"/>
      <c r="O1511" s="285"/>
      <c r="P1511" s="285"/>
      <c r="Q1511" s="285"/>
      <c r="R1511" s="285"/>
    </row>
    <row r="1512" spans="1:18" outlineLevel="1">
      <c r="A1512" s="276">
        <f>ROW()</f>
        <v>1512</v>
      </c>
      <c r="B1512" s="403" t="s">
        <v>128</v>
      </c>
      <c r="C1512" s="1212">
        <v>1200</v>
      </c>
      <c r="D1512" s="1195"/>
      <c r="E1512" s="1195"/>
      <c r="F1512" s="1195"/>
      <c r="G1512" s="1183" t="s">
        <v>112</v>
      </c>
      <c r="H1512" s="159"/>
      <c r="I1512" s="159"/>
      <c r="J1512" s="159"/>
      <c r="K1512" s="159"/>
      <c r="L1512" s="159"/>
      <c r="M1512" s="159"/>
      <c r="N1512" s="159"/>
      <c r="O1512" s="285"/>
      <c r="P1512" s="285"/>
      <c r="Q1512" s="285"/>
      <c r="R1512" s="285"/>
    </row>
    <row r="1513" spans="1:18" outlineLevel="1">
      <c r="A1513" s="276">
        <f>ROW()</f>
        <v>1513</v>
      </c>
      <c r="B1513" s="403" t="s">
        <v>113</v>
      </c>
      <c r="C1513" s="1212">
        <v>800</v>
      </c>
      <c r="D1513" s="1195"/>
      <c r="E1513" s="1195"/>
      <c r="F1513" s="1195"/>
      <c r="G1513" s="1183" t="s">
        <v>127</v>
      </c>
      <c r="H1513" s="159"/>
      <c r="I1513" s="159"/>
      <c r="J1513" s="159"/>
      <c r="K1513" s="159"/>
      <c r="L1513" s="159"/>
      <c r="M1513" s="159"/>
      <c r="N1513" s="159"/>
      <c r="O1513" s="285"/>
      <c r="P1513" s="285"/>
      <c r="Q1513" s="285"/>
      <c r="R1513" s="285"/>
    </row>
    <row r="1514" spans="1:18" outlineLevel="1">
      <c r="A1514" s="276">
        <f>ROW()</f>
        <v>1514</v>
      </c>
      <c r="B1514" s="371" t="s">
        <v>53</v>
      </c>
      <c r="C1514" s="1213">
        <f>SUM(C1506:C1513)</f>
        <v>4450</v>
      </c>
      <c r="D1514" s="1197"/>
      <c r="E1514" s="1197"/>
      <c r="F1514" s="1197"/>
      <c r="G1514" s="1183"/>
      <c r="H1514" s="159"/>
      <c r="I1514" s="159"/>
      <c r="J1514" s="159"/>
      <c r="K1514" s="159"/>
      <c r="L1514" s="159"/>
      <c r="M1514" s="159"/>
      <c r="N1514" s="159"/>
      <c r="O1514" s="285"/>
      <c r="P1514" s="285"/>
      <c r="Q1514" s="285"/>
      <c r="R1514" s="285"/>
    </row>
    <row r="1515" spans="1:18" outlineLevel="1">
      <c r="A1515" s="276">
        <f>ROW()</f>
        <v>1515</v>
      </c>
      <c r="B1515" s="407"/>
      <c r="C1515" s="1210"/>
      <c r="D1515" s="1203"/>
      <c r="E1515" s="1203"/>
      <c r="F1515" s="1203"/>
      <c r="G1515" s="1326"/>
      <c r="H1515" s="192"/>
      <c r="I1515" s="192"/>
      <c r="J1515" s="192"/>
      <c r="K1515" s="192"/>
      <c r="L1515" s="192"/>
      <c r="M1515" s="192"/>
      <c r="N1515" s="192"/>
      <c r="O1515" s="408"/>
      <c r="P1515" s="408"/>
      <c r="Q1515" s="408"/>
      <c r="R1515" s="408"/>
    </row>
    <row r="1516" spans="1:18" outlineLevel="1">
      <c r="A1516" s="276">
        <f>ROW()</f>
        <v>1516</v>
      </c>
      <c r="B1516" s="371" t="s">
        <v>131</v>
      </c>
      <c r="C1516" s="1208"/>
      <c r="D1516" s="1201"/>
      <c r="E1516" s="1201"/>
      <c r="F1516" s="1201"/>
      <c r="G1516" s="159"/>
      <c r="H1516" s="159"/>
      <c r="I1516" s="159"/>
      <c r="J1516" s="159"/>
      <c r="K1516" s="159"/>
      <c r="L1516" s="159"/>
      <c r="M1516" s="159"/>
      <c r="N1516" s="159"/>
      <c r="O1516" s="285"/>
      <c r="P1516" s="285"/>
      <c r="Q1516" s="285"/>
      <c r="R1516" s="285"/>
    </row>
    <row r="1517" spans="1:18" outlineLevel="1">
      <c r="A1517" s="276">
        <f>ROW()</f>
        <v>1517</v>
      </c>
      <c r="B1517" s="403" t="s">
        <v>116</v>
      </c>
      <c r="C1517" s="1212">
        <v>1000</v>
      </c>
      <c r="D1517" s="1195"/>
      <c r="E1517" s="1195"/>
      <c r="F1517" s="1195"/>
      <c r="G1517" s="159"/>
      <c r="H1517" s="159"/>
      <c r="I1517" s="159"/>
      <c r="J1517" s="159"/>
      <c r="K1517" s="159"/>
      <c r="L1517" s="159"/>
      <c r="M1517" s="159"/>
      <c r="N1517" s="159"/>
      <c r="O1517" s="285"/>
      <c r="P1517" s="285"/>
      <c r="Q1517" s="285"/>
      <c r="R1517" s="285"/>
    </row>
    <row r="1518" spans="1:18" outlineLevel="1">
      <c r="A1518" s="276">
        <f>ROW()</f>
        <v>1518</v>
      </c>
      <c r="B1518" s="403" t="s">
        <v>117</v>
      </c>
      <c r="C1518" s="1212">
        <v>500</v>
      </c>
      <c r="D1518" s="1195"/>
      <c r="E1518" s="1195"/>
      <c r="F1518" s="1195"/>
      <c r="G1518" s="1313"/>
      <c r="H1518" s="159"/>
      <c r="I1518" s="159"/>
      <c r="J1518" s="159"/>
      <c r="K1518" s="159"/>
      <c r="L1518" s="159"/>
      <c r="M1518" s="159"/>
      <c r="N1518" s="159"/>
      <c r="O1518" s="285"/>
      <c r="P1518" s="285"/>
      <c r="Q1518" s="285"/>
      <c r="R1518" s="285"/>
    </row>
    <row r="1519" spans="1:18" outlineLevel="1">
      <c r="A1519" s="276">
        <f>ROW()</f>
        <v>1519</v>
      </c>
      <c r="B1519" s="403" t="s">
        <v>118</v>
      </c>
      <c r="C1519" s="1205"/>
      <c r="D1519" s="1196"/>
      <c r="E1519" s="1196"/>
      <c r="F1519" s="1196"/>
      <c r="G1519" s="1314"/>
      <c r="H1519" s="159"/>
      <c r="I1519" s="159"/>
      <c r="J1519" s="159"/>
      <c r="K1519" s="159"/>
      <c r="L1519" s="159"/>
      <c r="M1519" s="159"/>
      <c r="N1519" s="159"/>
      <c r="O1519" s="285"/>
      <c r="P1519" s="285"/>
      <c r="Q1519" s="285"/>
      <c r="R1519" s="285"/>
    </row>
    <row r="1520" spans="1:18" outlineLevel="1">
      <c r="A1520" s="276">
        <f>ROW()</f>
        <v>1520</v>
      </c>
      <c r="B1520" s="403" t="s">
        <v>119</v>
      </c>
      <c r="C1520" s="1212">
        <v>400</v>
      </c>
      <c r="D1520" s="1195"/>
      <c r="E1520" s="1195"/>
      <c r="F1520" s="1195"/>
      <c r="G1520" s="1324" t="s">
        <v>120</v>
      </c>
      <c r="H1520" s="159"/>
      <c r="I1520" s="159"/>
      <c r="J1520" s="159"/>
      <c r="K1520" s="159"/>
      <c r="L1520" s="159"/>
      <c r="M1520" s="159"/>
      <c r="N1520" s="159"/>
      <c r="O1520" s="285"/>
      <c r="P1520" s="285"/>
      <c r="Q1520" s="285"/>
      <c r="R1520" s="285"/>
    </row>
    <row r="1521" spans="1:18" outlineLevel="1">
      <c r="A1521" s="276">
        <f>ROW()</f>
        <v>1521</v>
      </c>
      <c r="B1521" s="403" t="s">
        <v>59</v>
      </c>
      <c r="C1521" s="1212">
        <v>150</v>
      </c>
      <c r="D1521" s="1195"/>
      <c r="E1521" s="1195"/>
      <c r="F1521" s="1195"/>
      <c r="G1521" s="1183"/>
      <c r="H1521" s="159"/>
      <c r="I1521" s="159"/>
      <c r="J1521" s="159"/>
      <c r="K1521" s="159"/>
      <c r="L1521" s="159"/>
      <c r="M1521" s="159"/>
      <c r="N1521" s="159"/>
      <c r="O1521" s="285"/>
      <c r="P1521" s="285"/>
      <c r="Q1521" s="285"/>
      <c r="R1521" s="285"/>
    </row>
    <row r="1522" spans="1:18" outlineLevel="1">
      <c r="A1522" s="276">
        <f>ROW()</f>
        <v>1522</v>
      </c>
      <c r="B1522" s="403" t="s">
        <v>60</v>
      </c>
      <c r="C1522" s="1212">
        <v>400</v>
      </c>
      <c r="D1522" s="1195"/>
      <c r="E1522" s="1195"/>
      <c r="F1522" s="1195"/>
      <c r="G1522" s="1183" t="s">
        <v>170</v>
      </c>
      <c r="H1522" s="159"/>
      <c r="I1522" s="159"/>
      <c r="J1522" s="159"/>
      <c r="K1522" s="159"/>
      <c r="L1522" s="159"/>
      <c r="M1522" s="159"/>
      <c r="N1522" s="159"/>
      <c r="O1522" s="285"/>
      <c r="P1522" s="285"/>
      <c r="Q1522" s="285"/>
      <c r="R1522" s="285"/>
    </row>
    <row r="1523" spans="1:18" outlineLevel="1">
      <c r="A1523" s="276">
        <f>ROW()</f>
        <v>1523</v>
      </c>
      <c r="B1523" s="403" t="s">
        <v>132</v>
      </c>
      <c r="C1523" s="1212">
        <v>2000</v>
      </c>
      <c r="D1523" s="1195"/>
      <c r="E1523" s="1195"/>
      <c r="F1523" s="1195"/>
      <c r="G1523" s="1183" t="s">
        <v>133</v>
      </c>
      <c r="H1523" s="159"/>
      <c r="I1523" s="159"/>
      <c r="J1523" s="159"/>
      <c r="K1523" s="159"/>
      <c r="L1523" s="159"/>
      <c r="M1523" s="159"/>
      <c r="N1523" s="159"/>
      <c r="O1523" s="285"/>
      <c r="P1523" s="285"/>
      <c r="Q1523" s="285"/>
      <c r="R1523" s="285"/>
    </row>
    <row r="1524" spans="1:18" outlineLevel="1">
      <c r="A1524" s="276">
        <f>ROW()</f>
        <v>1524</v>
      </c>
      <c r="B1524" s="403" t="s">
        <v>128</v>
      </c>
      <c r="C1524" s="1212">
        <v>1200</v>
      </c>
      <c r="D1524" s="1195"/>
      <c r="E1524" s="1195"/>
      <c r="F1524" s="1195"/>
      <c r="G1524" s="1183" t="s">
        <v>112</v>
      </c>
      <c r="H1524" s="159"/>
      <c r="I1524" s="159"/>
      <c r="J1524" s="159"/>
      <c r="K1524" s="159"/>
      <c r="L1524" s="159"/>
      <c r="M1524" s="159"/>
      <c r="N1524" s="159"/>
      <c r="O1524" s="285"/>
      <c r="P1524" s="285"/>
      <c r="Q1524" s="285"/>
      <c r="R1524" s="285"/>
    </row>
    <row r="1525" spans="1:18" outlineLevel="1">
      <c r="A1525" s="276">
        <f>ROW()</f>
        <v>1525</v>
      </c>
      <c r="B1525" s="403" t="s">
        <v>113</v>
      </c>
      <c r="C1525" s="1212">
        <v>800</v>
      </c>
      <c r="D1525" s="1195"/>
      <c r="E1525" s="1195"/>
      <c r="F1525" s="1195"/>
      <c r="G1525" s="1183" t="s">
        <v>127</v>
      </c>
      <c r="H1525" s="159"/>
      <c r="I1525" s="159"/>
      <c r="J1525" s="159"/>
      <c r="K1525" s="159"/>
      <c r="L1525" s="159"/>
      <c r="M1525" s="159"/>
      <c r="N1525" s="159"/>
      <c r="O1525" s="285"/>
      <c r="P1525" s="285"/>
      <c r="Q1525" s="285"/>
      <c r="R1525" s="285"/>
    </row>
    <row r="1526" spans="1:18" outlineLevel="1">
      <c r="A1526" s="276">
        <f>ROW()</f>
        <v>1526</v>
      </c>
      <c r="B1526" s="371" t="s">
        <v>53</v>
      </c>
      <c r="C1526" s="1213">
        <f>SUM(C1517:C1525)</f>
        <v>6450</v>
      </c>
      <c r="D1526" s="1197"/>
      <c r="E1526" s="1197"/>
      <c r="F1526" s="1197"/>
      <c r="G1526" s="1183"/>
      <c r="H1526" s="159"/>
      <c r="I1526" s="159"/>
      <c r="J1526" s="159"/>
      <c r="K1526" s="159"/>
      <c r="L1526" s="159"/>
      <c r="M1526" s="159"/>
      <c r="N1526" s="159"/>
      <c r="O1526" s="285"/>
      <c r="P1526" s="285"/>
      <c r="Q1526" s="285"/>
      <c r="R1526" s="285"/>
    </row>
    <row r="1527" spans="1:18" outlineLevel="1">
      <c r="A1527" s="276">
        <f>ROW()</f>
        <v>1527</v>
      </c>
      <c r="B1527" s="407"/>
      <c r="C1527" s="1206"/>
      <c r="D1527" s="1198"/>
      <c r="E1527" s="1198"/>
      <c r="F1527" s="1198"/>
      <c r="G1527" s="1325"/>
      <c r="H1527" s="192"/>
      <c r="I1527" s="192"/>
      <c r="J1527" s="192"/>
      <c r="K1527" s="192"/>
      <c r="L1527" s="192"/>
      <c r="M1527" s="192"/>
      <c r="N1527" s="192"/>
      <c r="O1527" s="408"/>
      <c r="P1527" s="408"/>
      <c r="Q1527" s="408"/>
      <c r="R1527" s="408"/>
    </row>
    <row r="1528" spans="1:18" outlineLevel="1">
      <c r="A1528" s="276">
        <f>ROW()</f>
        <v>1528</v>
      </c>
      <c r="B1528" s="371" t="s">
        <v>78</v>
      </c>
      <c r="C1528" s="1208"/>
      <c r="D1528" s="1201"/>
      <c r="E1528" s="1201"/>
      <c r="F1528" s="1201"/>
      <c r="G1528" s="159"/>
      <c r="H1528" s="159"/>
      <c r="I1528" s="159"/>
      <c r="J1528" s="159"/>
      <c r="K1528" s="159"/>
      <c r="L1528" s="159"/>
      <c r="M1528" s="159"/>
      <c r="N1528" s="159"/>
      <c r="O1528" s="285"/>
      <c r="P1528" s="285"/>
      <c r="Q1528" s="285"/>
      <c r="R1528" s="285"/>
    </row>
    <row r="1529" spans="1:18" outlineLevel="1">
      <c r="A1529" s="276">
        <f>ROW()</f>
        <v>1529</v>
      </c>
      <c r="B1529" s="403" t="s">
        <v>116</v>
      </c>
      <c r="C1529" s="1212">
        <v>1000</v>
      </c>
      <c r="D1529" s="1195"/>
      <c r="E1529" s="1195"/>
      <c r="F1529" s="1195"/>
      <c r="G1529" s="159"/>
      <c r="H1529" s="159"/>
      <c r="I1529" s="159"/>
      <c r="J1529" s="159"/>
      <c r="K1529" s="159"/>
      <c r="L1529" s="159"/>
      <c r="M1529" s="159"/>
      <c r="N1529" s="159"/>
      <c r="O1529" s="285"/>
      <c r="P1529" s="285"/>
      <c r="Q1529" s="285"/>
      <c r="R1529" s="285"/>
    </row>
    <row r="1530" spans="1:18" outlineLevel="1">
      <c r="A1530" s="276">
        <f>ROW()</f>
        <v>1530</v>
      </c>
      <c r="B1530" s="403" t="s">
        <v>117</v>
      </c>
      <c r="C1530" s="1212">
        <v>500</v>
      </c>
      <c r="D1530" s="1195"/>
      <c r="E1530" s="1195"/>
      <c r="F1530" s="1195"/>
      <c r="G1530" s="1313"/>
      <c r="H1530" s="159"/>
      <c r="I1530" s="159"/>
      <c r="J1530" s="159"/>
      <c r="K1530" s="159"/>
      <c r="L1530" s="159"/>
      <c r="M1530" s="159"/>
      <c r="N1530" s="159"/>
      <c r="O1530" s="285"/>
      <c r="P1530" s="285"/>
      <c r="Q1530" s="285"/>
      <c r="R1530" s="285"/>
    </row>
    <row r="1531" spans="1:18" outlineLevel="1">
      <c r="A1531" s="276">
        <f>ROW()</f>
        <v>1531</v>
      </c>
      <c r="B1531" s="403" t="s">
        <v>118</v>
      </c>
      <c r="C1531" s="1205"/>
      <c r="D1531" s="1196"/>
      <c r="E1531" s="1196"/>
      <c r="F1531" s="1196"/>
      <c r="G1531" s="1314"/>
      <c r="H1531" s="159"/>
      <c r="I1531" s="159"/>
      <c r="J1531" s="159"/>
      <c r="K1531" s="159"/>
      <c r="L1531" s="159"/>
      <c r="M1531" s="159"/>
      <c r="N1531" s="159"/>
      <c r="O1531" s="285"/>
      <c r="P1531" s="285"/>
      <c r="Q1531" s="285"/>
      <c r="R1531" s="285"/>
    </row>
    <row r="1532" spans="1:18" outlineLevel="1">
      <c r="A1532" s="276">
        <f>ROW()</f>
        <v>1532</v>
      </c>
      <c r="B1532" s="403" t="s">
        <v>119</v>
      </c>
      <c r="C1532" s="1212">
        <v>0</v>
      </c>
      <c r="D1532" s="1195"/>
      <c r="E1532" s="1195"/>
      <c r="F1532" s="1195"/>
      <c r="G1532" s="1324"/>
      <c r="H1532" s="159"/>
      <c r="I1532" s="159"/>
      <c r="J1532" s="159"/>
      <c r="K1532" s="159"/>
      <c r="L1532" s="159"/>
      <c r="M1532" s="159"/>
      <c r="N1532" s="159"/>
      <c r="O1532" s="285"/>
      <c r="P1532" s="285"/>
      <c r="Q1532" s="285"/>
      <c r="R1532" s="285"/>
    </row>
    <row r="1533" spans="1:18" outlineLevel="1">
      <c r="A1533" s="276">
        <f>ROW()</f>
        <v>1533</v>
      </c>
      <c r="B1533" s="403" t="s">
        <v>29</v>
      </c>
      <c r="C1533" s="1212">
        <v>0</v>
      </c>
      <c r="D1533" s="1195"/>
      <c r="E1533" s="1195"/>
      <c r="F1533" s="1195"/>
      <c r="G1533" s="1183" t="s">
        <v>30</v>
      </c>
      <c r="H1533" s="159"/>
      <c r="I1533" s="159"/>
      <c r="J1533" s="159"/>
      <c r="K1533" s="159"/>
      <c r="L1533" s="159"/>
      <c r="M1533" s="159"/>
      <c r="N1533" s="159"/>
      <c r="O1533" s="285"/>
      <c r="P1533" s="285"/>
      <c r="Q1533" s="285"/>
      <c r="R1533" s="285"/>
    </row>
    <row r="1534" spans="1:18" outlineLevel="1">
      <c r="A1534" s="276">
        <f>ROW()</f>
        <v>1534</v>
      </c>
      <c r="B1534" s="403" t="s">
        <v>128</v>
      </c>
      <c r="C1534" s="1212">
        <v>1200</v>
      </c>
      <c r="D1534" s="1195"/>
      <c r="E1534" s="1195"/>
      <c r="F1534" s="1195"/>
      <c r="G1534" s="1183" t="s">
        <v>112</v>
      </c>
      <c r="H1534" s="159"/>
      <c r="I1534" s="159"/>
      <c r="J1534" s="159"/>
      <c r="K1534" s="159"/>
      <c r="L1534" s="159"/>
      <c r="M1534" s="159"/>
      <c r="N1534" s="159"/>
      <c r="O1534" s="285"/>
      <c r="P1534" s="285"/>
      <c r="Q1534" s="285"/>
      <c r="R1534" s="285"/>
    </row>
    <row r="1535" spans="1:18" outlineLevel="1">
      <c r="A1535" s="276">
        <f>ROW()</f>
        <v>1535</v>
      </c>
      <c r="B1535" s="403" t="s">
        <v>113</v>
      </c>
      <c r="C1535" s="1212">
        <v>800</v>
      </c>
      <c r="D1535" s="1195"/>
      <c r="E1535" s="1195"/>
      <c r="F1535" s="1195"/>
      <c r="G1535" s="1183" t="s">
        <v>127</v>
      </c>
      <c r="H1535" s="159"/>
      <c r="I1535" s="159"/>
      <c r="J1535" s="159"/>
      <c r="K1535" s="159"/>
      <c r="L1535" s="159"/>
      <c r="M1535" s="159"/>
      <c r="N1535" s="159"/>
      <c r="O1535" s="285"/>
      <c r="P1535" s="285"/>
      <c r="Q1535" s="285"/>
      <c r="R1535" s="285"/>
    </row>
    <row r="1536" spans="1:18" outlineLevel="1">
      <c r="A1536" s="276">
        <f>ROW()</f>
        <v>1536</v>
      </c>
      <c r="B1536" s="371" t="s">
        <v>53</v>
      </c>
      <c r="C1536" s="1213">
        <f>SUM(C1529:C1535)</f>
        <v>3500</v>
      </c>
      <c r="D1536" s="1197"/>
      <c r="E1536" s="1197"/>
      <c r="F1536" s="1197"/>
      <c r="G1536" s="1183"/>
      <c r="H1536" s="159"/>
      <c r="I1536" s="159"/>
      <c r="J1536" s="159"/>
      <c r="K1536" s="159"/>
      <c r="L1536" s="159"/>
      <c r="M1536" s="159"/>
      <c r="N1536" s="159"/>
      <c r="O1536" s="285"/>
      <c r="P1536" s="285"/>
      <c r="Q1536" s="285"/>
      <c r="R1536" s="285"/>
    </row>
    <row r="1537" spans="1:18" outlineLevel="1">
      <c r="A1537" s="276">
        <f>ROW()</f>
        <v>1537</v>
      </c>
      <c r="B1537" s="407"/>
      <c r="C1537" s="1206"/>
      <c r="D1537" s="1198"/>
      <c r="E1537" s="1198"/>
      <c r="F1537" s="1198"/>
      <c r="G1537" s="1325"/>
      <c r="H1537" s="192"/>
      <c r="I1537" s="192"/>
      <c r="J1537" s="192"/>
      <c r="K1537" s="192"/>
      <c r="L1537" s="192"/>
      <c r="M1537" s="192"/>
      <c r="N1537" s="192"/>
      <c r="O1537" s="408"/>
      <c r="P1537" s="408"/>
      <c r="Q1537" s="408"/>
      <c r="R1537" s="408"/>
    </row>
    <row r="1538" spans="1:18" outlineLevel="1">
      <c r="A1538" s="276">
        <f>ROW()</f>
        <v>1538</v>
      </c>
      <c r="B1538" s="371" t="s">
        <v>164</v>
      </c>
      <c r="C1538" s="1208"/>
      <c r="D1538" s="1201"/>
      <c r="E1538" s="1201"/>
      <c r="F1538" s="1201"/>
      <c r="G1538" s="159"/>
      <c r="H1538" s="159"/>
      <c r="I1538" s="159"/>
      <c r="J1538" s="159"/>
      <c r="K1538" s="159"/>
      <c r="L1538" s="159"/>
      <c r="M1538" s="159"/>
      <c r="N1538" s="159"/>
      <c r="O1538" s="285"/>
      <c r="P1538" s="285"/>
      <c r="Q1538" s="285"/>
      <c r="R1538" s="285"/>
    </row>
    <row r="1539" spans="1:18" outlineLevel="1">
      <c r="A1539" s="276">
        <f>ROW()</f>
        <v>1539</v>
      </c>
      <c r="B1539" s="403" t="s">
        <v>116</v>
      </c>
      <c r="C1539" s="1212">
        <v>1000</v>
      </c>
      <c r="D1539" s="1195"/>
      <c r="E1539" s="1195"/>
      <c r="F1539" s="1195"/>
      <c r="G1539" s="159"/>
      <c r="H1539" s="159"/>
      <c r="I1539" s="159"/>
      <c r="J1539" s="159"/>
      <c r="K1539" s="159"/>
      <c r="L1539" s="159"/>
      <c r="M1539" s="159"/>
      <c r="N1539" s="159"/>
      <c r="O1539" s="285"/>
      <c r="P1539" s="285"/>
      <c r="Q1539" s="285"/>
      <c r="R1539" s="285"/>
    </row>
    <row r="1540" spans="1:18" outlineLevel="1">
      <c r="A1540" s="276">
        <f>ROW()</f>
        <v>1540</v>
      </c>
      <c r="B1540" s="403" t="s">
        <v>117</v>
      </c>
      <c r="C1540" s="1212">
        <v>500</v>
      </c>
      <c r="D1540" s="1195"/>
      <c r="E1540" s="1195"/>
      <c r="F1540" s="1195"/>
      <c r="G1540" s="1313"/>
      <c r="H1540" s="159"/>
      <c r="I1540" s="159"/>
      <c r="J1540" s="159"/>
      <c r="K1540" s="159"/>
      <c r="L1540" s="159"/>
      <c r="M1540" s="159"/>
      <c r="N1540" s="159"/>
      <c r="O1540" s="285"/>
      <c r="P1540" s="285"/>
      <c r="Q1540" s="285"/>
      <c r="R1540" s="285"/>
    </row>
    <row r="1541" spans="1:18" outlineLevel="1">
      <c r="A1541" s="276">
        <f>ROW()</f>
        <v>1541</v>
      </c>
      <c r="B1541" s="403" t="s">
        <v>118</v>
      </c>
      <c r="C1541" s="1205"/>
      <c r="D1541" s="1196"/>
      <c r="E1541" s="1196"/>
      <c r="F1541" s="1196"/>
      <c r="G1541" s="1314"/>
      <c r="H1541" s="159"/>
      <c r="I1541" s="159"/>
      <c r="J1541" s="159"/>
      <c r="K1541" s="159"/>
      <c r="L1541" s="159"/>
      <c r="M1541" s="159"/>
      <c r="N1541" s="159"/>
      <c r="O1541" s="285"/>
      <c r="P1541" s="285"/>
      <c r="Q1541" s="285"/>
      <c r="R1541" s="285"/>
    </row>
    <row r="1542" spans="1:18" outlineLevel="1">
      <c r="A1542" s="276">
        <f>ROW()</f>
        <v>1542</v>
      </c>
      <c r="B1542" s="403" t="s">
        <v>119</v>
      </c>
      <c r="C1542" s="1212">
        <v>0</v>
      </c>
      <c r="D1542" s="1195"/>
      <c r="E1542" s="1195"/>
      <c r="F1542" s="1195"/>
      <c r="G1542" s="1324"/>
      <c r="H1542" s="159"/>
      <c r="I1542" s="159"/>
      <c r="J1542" s="159"/>
      <c r="K1542" s="159"/>
      <c r="L1542" s="159"/>
      <c r="M1542" s="159"/>
      <c r="N1542" s="159"/>
      <c r="O1542" s="285"/>
      <c r="P1542" s="285"/>
      <c r="Q1542" s="285"/>
      <c r="R1542" s="285"/>
    </row>
    <row r="1543" spans="1:18" outlineLevel="1">
      <c r="A1543" s="276">
        <f>ROW()</f>
        <v>1543</v>
      </c>
      <c r="B1543" s="403" t="s">
        <v>29</v>
      </c>
      <c r="C1543" s="1212">
        <v>0</v>
      </c>
      <c r="D1543" s="1195"/>
      <c r="E1543" s="1195"/>
      <c r="F1543" s="1195"/>
      <c r="G1543" s="1183" t="s">
        <v>30</v>
      </c>
      <c r="H1543" s="159"/>
      <c r="I1543" s="159"/>
      <c r="J1543" s="159"/>
      <c r="K1543" s="159"/>
      <c r="L1543" s="159"/>
      <c r="M1543" s="159"/>
      <c r="N1543" s="159"/>
      <c r="O1543" s="285"/>
      <c r="P1543" s="285"/>
      <c r="Q1543" s="285"/>
      <c r="R1543" s="285"/>
    </row>
    <row r="1544" spans="1:18" outlineLevel="1">
      <c r="A1544" s="276">
        <f>ROW()</f>
        <v>1544</v>
      </c>
      <c r="B1544" s="403" t="s">
        <v>128</v>
      </c>
      <c r="C1544" s="1212">
        <v>1200</v>
      </c>
      <c r="D1544" s="1195"/>
      <c r="E1544" s="1195"/>
      <c r="F1544" s="1195"/>
      <c r="G1544" s="1183" t="s">
        <v>112</v>
      </c>
      <c r="H1544" s="159"/>
      <c r="I1544" s="159"/>
      <c r="J1544" s="159"/>
      <c r="K1544" s="159"/>
      <c r="L1544" s="159"/>
      <c r="M1544" s="159"/>
      <c r="N1544" s="159"/>
      <c r="O1544" s="285"/>
      <c r="P1544" s="285"/>
      <c r="Q1544" s="285"/>
      <c r="R1544" s="285"/>
    </row>
    <row r="1545" spans="1:18" outlineLevel="1">
      <c r="A1545" s="276">
        <f>ROW()</f>
        <v>1545</v>
      </c>
      <c r="B1545" s="403" t="s">
        <v>113</v>
      </c>
      <c r="C1545" s="1212">
        <v>800</v>
      </c>
      <c r="D1545" s="1195"/>
      <c r="E1545" s="1195"/>
      <c r="F1545" s="1195"/>
      <c r="G1545" s="1183" t="s">
        <v>127</v>
      </c>
      <c r="H1545" s="159"/>
      <c r="I1545" s="159"/>
      <c r="J1545" s="159"/>
      <c r="K1545" s="159"/>
      <c r="L1545" s="159"/>
      <c r="M1545" s="159"/>
      <c r="N1545" s="159"/>
      <c r="O1545" s="285"/>
      <c r="P1545" s="285"/>
      <c r="Q1545" s="285"/>
      <c r="R1545" s="285"/>
    </row>
    <row r="1546" spans="1:18" outlineLevel="1">
      <c r="A1546" s="276">
        <f>ROW()</f>
        <v>1546</v>
      </c>
      <c r="B1546" s="371" t="s">
        <v>53</v>
      </c>
      <c r="C1546" s="1213">
        <f>SUM(C1539:C1545)</f>
        <v>3500</v>
      </c>
      <c r="D1546" s="1197"/>
      <c r="E1546" s="1197"/>
      <c r="F1546" s="1197"/>
      <c r="G1546" s="1183"/>
      <c r="H1546" s="159"/>
      <c r="I1546" s="159"/>
      <c r="J1546" s="159"/>
      <c r="K1546" s="159"/>
      <c r="L1546" s="159"/>
      <c r="M1546" s="159"/>
      <c r="N1546" s="159"/>
      <c r="O1546" s="285"/>
      <c r="P1546" s="285"/>
      <c r="Q1546" s="285"/>
      <c r="R1546" s="285"/>
    </row>
    <row r="1547" spans="1:18" outlineLevel="1">
      <c r="A1547" s="276">
        <f>ROW()</f>
        <v>1547</v>
      </c>
      <c r="B1547" s="407"/>
      <c r="C1547" s="1211"/>
      <c r="D1547" s="1204"/>
      <c r="E1547" s="1204"/>
      <c r="F1547" s="1204"/>
      <c r="G1547" s="192"/>
      <c r="H1547" s="192"/>
      <c r="I1547" s="192"/>
      <c r="J1547" s="192"/>
      <c r="K1547" s="192"/>
      <c r="L1547" s="192"/>
      <c r="M1547" s="192"/>
      <c r="N1547" s="192"/>
      <c r="O1547" s="408"/>
      <c r="P1547" s="408"/>
      <c r="Q1547" s="408"/>
      <c r="R1547" s="408"/>
    </row>
    <row r="1548" spans="1:18" outlineLevel="1">
      <c r="A1548" s="276">
        <f>ROW()</f>
        <v>1548</v>
      </c>
      <c r="B1548" s="371" t="s">
        <v>134</v>
      </c>
      <c r="C1548" s="1208"/>
      <c r="D1548" s="1201"/>
      <c r="E1548" s="1201"/>
      <c r="F1548" s="1201"/>
      <c r="G1548" s="159"/>
      <c r="H1548" s="159"/>
      <c r="I1548" s="159"/>
      <c r="J1548" s="159"/>
      <c r="K1548" s="159"/>
      <c r="L1548" s="159"/>
      <c r="M1548" s="159"/>
      <c r="N1548" s="159"/>
      <c r="O1548" s="285"/>
      <c r="P1548" s="285"/>
      <c r="Q1548" s="285"/>
      <c r="R1548" s="285"/>
    </row>
    <row r="1549" spans="1:18" outlineLevel="1">
      <c r="A1549" s="276">
        <f>ROW()</f>
        <v>1549</v>
      </c>
      <c r="B1549" s="403" t="s">
        <v>116</v>
      </c>
      <c r="C1549" s="1212">
        <v>1000</v>
      </c>
      <c r="D1549" s="1195"/>
      <c r="E1549" s="1195"/>
      <c r="F1549" s="1195"/>
      <c r="G1549" s="159"/>
      <c r="H1549" s="159"/>
      <c r="I1549" s="159"/>
      <c r="J1549" s="159"/>
      <c r="K1549" s="159"/>
      <c r="L1549" s="159"/>
      <c r="M1549" s="159"/>
      <c r="N1549" s="159"/>
      <c r="O1549" s="285"/>
      <c r="P1549" s="285"/>
      <c r="Q1549" s="285"/>
      <c r="R1549" s="285"/>
    </row>
    <row r="1550" spans="1:18" outlineLevel="1">
      <c r="A1550" s="276">
        <f>ROW()</f>
        <v>1550</v>
      </c>
      <c r="B1550" s="403" t="s">
        <v>117</v>
      </c>
      <c r="C1550" s="1212">
        <v>500</v>
      </c>
      <c r="D1550" s="1195"/>
      <c r="E1550" s="1195"/>
      <c r="F1550" s="1195"/>
      <c r="G1550" s="1313"/>
      <c r="H1550" s="159"/>
      <c r="I1550" s="159"/>
      <c r="J1550" s="159"/>
      <c r="K1550" s="159"/>
      <c r="L1550" s="159"/>
      <c r="M1550" s="159"/>
      <c r="N1550" s="159"/>
      <c r="O1550" s="285"/>
      <c r="P1550" s="285"/>
      <c r="Q1550" s="285"/>
      <c r="R1550" s="285"/>
    </row>
    <row r="1551" spans="1:18" outlineLevel="1">
      <c r="A1551" s="276">
        <f>ROW()</f>
        <v>1551</v>
      </c>
      <c r="B1551" s="403" t="s">
        <v>118</v>
      </c>
      <c r="C1551" s="1205"/>
      <c r="D1551" s="1196"/>
      <c r="E1551" s="1196"/>
      <c r="F1551" s="1196"/>
      <c r="G1551" s="1314"/>
      <c r="H1551" s="159"/>
      <c r="I1551" s="159"/>
      <c r="J1551" s="159"/>
      <c r="K1551" s="159"/>
      <c r="L1551" s="159"/>
      <c r="M1551" s="159"/>
      <c r="N1551" s="159"/>
      <c r="O1551" s="285"/>
      <c r="P1551" s="285"/>
      <c r="Q1551" s="285"/>
      <c r="R1551" s="285"/>
    </row>
    <row r="1552" spans="1:18" outlineLevel="1">
      <c r="A1552" s="276">
        <f>ROW()</f>
        <v>1552</v>
      </c>
      <c r="B1552" s="403" t="s">
        <v>119</v>
      </c>
      <c r="C1552" s="1212">
        <v>0</v>
      </c>
      <c r="D1552" s="1195"/>
      <c r="E1552" s="1195"/>
      <c r="F1552" s="1195"/>
      <c r="G1552" s="1324"/>
      <c r="H1552" s="159"/>
      <c r="I1552" s="159"/>
      <c r="J1552" s="159"/>
      <c r="K1552" s="159"/>
      <c r="L1552" s="159"/>
      <c r="M1552" s="159"/>
      <c r="N1552" s="159"/>
      <c r="O1552" s="285"/>
      <c r="P1552" s="285"/>
      <c r="Q1552" s="285"/>
      <c r="R1552" s="285"/>
    </row>
    <row r="1553" spans="1:18" outlineLevel="1">
      <c r="A1553" s="276">
        <f>ROW()</f>
        <v>1553</v>
      </c>
      <c r="B1553" s="403" t="s">
        <v>29</v>
      </c>
      <c r="C1553" s="1212">
        <v>0</v>
      </c>
      <c r="D1553" s="1195"/>
      <c r="E1553" s="1195"/>
      <c r="F1553" s="1195"/>
      <c r="G1553" s="1183" t="s">
        <v>30</v>
      </c>
      <c r="H1553" s="159"/>
      <c r="I1553" s="159"/>
      <c r="J1553" s="159"/>
      <c r="K1553" s="159"/>
      <c r="L1553" s="159"/>
      <c r="M1553" s="159"/>
      <c r="N1553" s="159"/>
      <c r="O1553" s="285"/>
      <c r="P1553" s="285"/>
      <c r="Q1553" s="285"/>
      <c r="R1553" s="285"/>
    </row>
    <row r="1554" spans="1:18" outlineLevel="1">
      <c r="A1554" s="276">
        <f>ROW()</f>
        <v>1554</v>
      </c>
      <c r="B1554" s="403" t="s">
        <v>128</v>
      </c>
      <c r="C1554" s="1212">
        <v>1200</v>
      </c>
      <c r="D1554" s="1195"/>
      <c r="E1554" s="1195"/>
      <c r="F1554" s="1195"/>
      <c r="G1554" s="1183" t="s">
        <v>112</v>
      </c>
      <c r="H1554" s="159"/>
      <c r="I1554" s="159"/>
      <c r="J1554" s="159"/>
      <c r="K1554" s="159"/>
      <c r="L1554" s="159"/>
      <c r="M1554" s="159"/>
      <c r="N1554" s="159"/>
      <c r="O1554" s="285"/>
      <c r="P1554" s="285"/>
      <c r="Q1554" s="285"/>
      <c r="R1554" s="285"/>
    </row>
    <row r="1555" spans="1:18" outlineLevel="1">
      <c r="A1555" s="276">
        <f>ROW()</f>
        <v>1555</v>
      </c>
      <c r="B1555" s="403" t="s">
        <v>113</v>
      </c>
      <c r="C1555" s="1212">
        <v>800</v>
      </c>
      <c r="D1555" s="1195"/>
      <c r="E1555" s="1195"/>
      <c r="F1555" s="1195"/>
      <c r="G1555" s="1183" t="s">
        <v>127</v>
      </c>
      <c r="H1555" s="159"/>
      <c r="I1555" s="159"/>
      <c r="J1555" s="159"/>
      <c r="K1555" s="159"/>
      <c r="L1555" s="159"/>
      <c r="M1555" s="159"/>
      <c r="N1555" s="159"/>
      <c r="O1555" s="285"/>
      <c r="P1555" s="285"/>
      <c r="Q1555" s="285"/>
      <c r="R1555" s="285"/>
    </row>
    <row r="1556" spans="1:18" outlineLevel="1">
      <c r="A1556" s="276">
        <f>ROW()</f>
        <v>1556</v>
      </c>
      <c r="B1556" s="371" t="s">
        <v>53</v>
      </c>
      <c r="C1556" s="1213">
        <f>SUM(C1549:C1555)</f>
        <v>3500</v>
      </c>
      <c r="D1556" s="1197"/>
      <c r="E1556" s="1197"/>
      <c r="F1556" s="1197"/>
      <c r="G1556" s="1183"/>
      <c r="H1556" s="159"/>
      <c r="I1556" s="159"/>
      <c r="J1556" s="159"/>
      <c r="K1556" s="159"/>
      <c r="L1556" s="159"/>
      <c r="M1556" s="159"/>
      <c r="N1556" s="159"/>
      <c r="O1556" s="285"/>
      <c r="P1556" s="285"/>
      <c r="Q1556" s="285"/>
      <c r="R1556" s="285"/>
    </row>
    <row r="1557" spans="1:18" outlineLevel="1">
      <c r="A1557" s="276">
        <f>ROW()</f>
        <v>1557</v>
      </c>
      <c r="B1557" s="407"/>
      <c r="C1557" s="1206"/>
      <c r="D1557" s="1198"/>
      <c r="E1557" s="1198"/>
      <c r="F1557" s="1198"/>
      <c r="G1557" s="1325"/>
      <c r="H1557" s="192"/>
      <c r="I1557" s="192"/>
      <c r="J1557" s="192"/>
      <c r="K1557" s="192"/>
      <c r="L1557" s="192"/>
      <c r="M1557" s="192"/>
      <c r="N1557" s="192"/>
      <c r="O1557" s="408"/>
      <c r="P1557" s="408"/>
      <c r="Q1557" s="408"/>
      <c r="R1557" s="408"/>
    </row>
    <row r="1558" spans="1:18" outlineLevel="1">
      <c r="A1558" s="276">
        <f>ROW()</f>
        <v>1558</v>
      </c>
      <c r="B1558" s="371" t="s">
        <v>26</v>
      </c>
      <c r="C1558" s="1208"/>
      <c r="D1558" s="1201"/>
      <c r="E1558" s="1201"/>
      <c r="F1558" s="1201"/>
      <c r="G1558" s="159"/>
      <c r="H1558" s="159"/>
      <c r="I1558" s="159"/>
      <c r="J1558" s="159"/>
      <c r="K1558" s="159"/>
      <c r="L1558" s="159"/>
      <c r="M1558" s="159"/>
      <c r="N1558" s="159"/>
      <c r="O1558" s="285"/>
      <c r="P1558" s="285"/>
      <c r="Q1558" s="285"/>
      <c r="R1558" s="285"/>
    </row>
    <row r="1559" spans="1:18" outlineLevel="1">
      <c r="A1559" s="276">
        <f>ROW()</f>
        <v>1559</v>
      </c>
      <c r="B1559" s="403" t="s">
        <v>116</v>
      </c>
      <c r="C1559" s="1212">
        <v>1000</v>
      </c>
      <c r="D1559" s="1195"/>
      <c r="E1559" s="1195"/>
      <c r="F1559" s="1195"/>
      <c r="G1559" s="159"/>
      <c r="H1559" s="159"/>
      <c r="I1559" s="159"/>
      <c r="J1559" s="159"/>
      <c r="K1559" s="159"/>
      <c r="L1559" s="159"/>
      <c r="M1559" s="159"/>
      <c r="N1559" s="159"/>
      <c r="O1559" s="285"/>
      <c r="P1559" s="285"/>
      <c r="Q1559" s="285"/>
      <c r="R1559" s="285"/>
    </row>
    <row r="1560" spans="1:18" outlineLevel="1">
      <c r="A1560" s="276">
        <f>ROW()</f>
        <v>1560</v>
      </c>
      <c r="B1560" s="403" t="s">
        <v>117</v>
      </c>
      <c r="C1560" s="1212">
        <v>500</v>
      </c>
      <c r="D1560" s="1195"/>
      <c r="E1560" s="1195"/>
      <c r="F1560" s="1195"/>
      <c r="G1560" s="1313"/>
      <c r="H1560" s="159"/>
      <c r="I1560" s="159"/>
      <c r="J1560" s="159"/>
      <c r="K1560" s="159"/>
      <c r="L1560" s="159"/>
      <c r="M1560" s="159"/>
      <c r="N1560" s="159"/>
      <c r="O1560" s="285"/>
      <c r="P1560" s="285"/>
      <c r="Q1560" s="285"/>
      <c r="R1560" s="285"/>
    </row>
    <row r="1561" spans="1:18" outlineLevel="1">
      <c r="A1561" s="276">
        <f>ROW()</f>
        <v>1561</v>
      </c>
      <c r="B1561" s="403" t="s">
        <v>118</v>
      </c>
      <c r="C1561" s="1205"/>
      <c r="D1561" s="1196"/>
      <c r="E1561" s="1196"/>
      <c r="F1561" s="1196"/>
      <c r="G1561" s="1314"/>
      <c r="H1561" s="159"/>
      <c r="I1561" s="159"/>
      <c r="J1561" s="159"/>
      <c r="K1561" s="159"/>
      <c r="L1561" s="159"/>
      <c r="M1561" s="159"/>
      <c r="N1561" s="159"/>
      <c r="O1561" s="285"/>
      <c r="P1561" s="285"/>
      <c r="Q1561" s="285"/>
      <c r="R1561" s="285"/>
    </row>
    <row r="1562" spans="1:18" outlineLevel="1">
      <c r="A1562" s="276">
        <f>ROW()</f>
        <v>1562</v>
      </c>
      <c r="B1562" s="403" t="s">
        <v>119</v>
      </c>
      <c r="C1562" s="1212">
        <v>0</v>
      </c>
      <c r="D1562" s="1195"/>
      <c r="E1562" s="1195"/>
      <c r="F1562" s="1195"/>
      <c r="G1562" s="1324"/>
      <c r="H1562" s="159"/>
      <c r="I1562" s="159"/>
      <c r="J1562" s="159"/>
      <c r="K1562" s="159"/>
      <c r="L1562" s="159"/>
      <c r="M1562" s="159"/>
      <c r="N1562" s="159"/>
      <c r="O1562" s="285"/>
      <c r="P1562" s="285"/>
      <c r="Q1562" s="285"/>
      <c r="R1562" s="285"/>
    </row>
    <row r="1563" spans="1:18" outlineLevel="1">
      <c r="A1563" s="276">
        <f>ROW()</f>
        <v>1563</v>
      </c>
      <c r="B1563" s="403" t="s">
        <v>29</v>
      </c>
      <c r="C1563" s="1212">
        <v>0</v>
      </c>
      <c r="D1563" s="1195"/>
      <c r="E1563" s="1195"/>
      <c r="F1563" s="1195"/>
      <c r="G1563" s="1183" t="s">
        <v>30</v>
      </c>
      <c r="H1563" s="159"/>
      <c r="I1563" s="159"/>
      <c r="J1563" s="159"/>
      <c r="K1563" s="159"/>
      <c r="L1563" s="159"/>
      <c r="M1563" s="159"/>
      <c r="N1563" s="159"/>
      <c r="O1563" s="285"/>
      <c r="P1563" s="285"/>
      <c r="Q1563" s="285"/>
      <c r="R1563" s="285"/>
    </row>
    <row r="1564" spans="1:18" outlineLevel="1">
      <c r="A1564" s="276">
        <f>ROW()</f>
        <v>1564</v>
      </c>
      <c r="B1564" s="403" t="s">
        <v>128</v>
      </c>
      <c r="C1564" s="1212">
        <v>1200</v>
      </c>
      <c r="D1564" s="1195"/>
      <c r="E1564" s="1195"/>
      <c r="F1564" s="1195"/>
      <c r="G1564" s="1183" t="s">
        <v>112</v>
      </c>
      <c r="H1564" s="159"/>
      <c r="I1564" s="159"/>
      <c r="J1564" s="159"/>
      <c r="K1564" s="159"/>
      <c r="L1564" s="159"/>
      <c r="M1564" s="159"/>
      <c r="N1564" s="159"/>
      <c r="O1564" s="285"/>
      <c r="P1564" s="285"/>
      <c r="Q1564" s="285"/>
      <c r="R1564" s="285"/>
    </row>
    <row r="1565" spans="1:18" outlineLevel="1">
      <c r="A1565" s="276">
        <f>ROW()</f>
        <v>1565</v>
      </c>
      <c r="B1565" s="403" t="s">
        <v>113</v>
      </c>
      <c r="C1565" s="1212">
        <v>800</v>
      </c>
      <c r="D1565" s="1195"/>
      <c r="E1565" s="1195"/>
      <c r="F1565" s="1195"/>
      <c r="G1565" s="1183" t="s">
        <v>127</v>
      </c>
      <c r="H1565" s="159"/>
      <c r="I1565" s="159"/>
      <c r="J1565" s="159"/>
      <c r="K1565" s="159"/>
      <c r="L1565" s="159"/>
      <c r="M1565" s="159"/>
      <c r="N1565" s="159"/>
      <c r="O1565" s="285"/>
      <c r="P1565" s="285"/>
      <c r="Q1565" s="285"/>
      <c r="R1565" s="285"/>
    </row>
    <row r="1566" spans="1:18" outlineLevel="1">
      <c r="A1566" s="276">
        <f>ROW()</f>
        <v>1566</v>
      </c>
      <c r="B1566" s="371" t="s">
        <v>53</v>
      </c>
      <c r="C1566" s="581">
        <f>SUM(C1559:C1565)</f>
        <v>3500</v>
      </c>
      <c r="D1566" s="446"/>
      <c r="E1566" s="446"/>
      <c r="F1566" s="446"/>
      <c r="G1566" s="1183"/>
      <c r="H1566" s="159"/>
      <c r="I1566" s="159"/>
      <c r="J1566" s="159"/>
      <c r="K1566" s="159"/>
      <c r="L1566" s="159"/>
      <c r="M1566" s="159"/>
      <c r="N1566" s="159"/>
      <c r="O1566" s="285"/>
      <c r="P1566" s="285"/>
      <c r="Q1566" s="285"/>
      <c r="R1566" s="285"/>
    </row>
    <row r="1567" spans="1:18" outlineLevel="1">
      <c r="A1567" s="276">
        <f>ROW()</f>
        <v>1567</v>
      </c>
      <c r="B1567" s="407"/>
      <c r="C1567" s="578"/>
      <c r="D1567" s="447"/>
      <c r="E1567" s="447"/>
      <c r="F1567" s="447"/>
      <c r="G1567" s="192"/>
      <c r="H1567" s="192"/>
      <c r="I1567" s="192"/>
      <c r="J1567" s="192"/>
      <c r="K1567" s="192"/>
      <c r="L1567" s="192"/>
      <c r="M1567" s="192"/>
      <c r="N1567" s="192"/>
      <c r="O1567" s="408"/>
      <c r="P1567" s="408"/>
      <c r="Q1567" s="408"/>
      <c r="R1567" s="408"/>
    </row>
    <row r="1568" spans="1:18" s="221" customFormat="1" outlineLevel="1">
      <c r="A1568" s="276">
        <f>ROW()</f>
        <v>1568</v>
      </c>
      <c r="B1568" s="282"/>
      <c r="C1568" s="564"/>
      <c r="D1568" s="232"/>
      <c r="E1568" s="232"/>
      <c r="F1568" s="232"/>
      <c r="G1568" s="168"/>
      <c r="H1568" s="168"/>
      <c r="I1568" s="168"/>
      <c r="J1568" s="168"/>
      <c r="K1568" s="168"/>
      <c r="L1568" s="168"/>
      <c r="M1568" s="168"/>
      <c r="N1568" s="168"/>
      <c r="O1568" s="282"/>
      <c r="P1568" s="282"/>
      <c r="Q1568" s="282"/>
      <c r="R1568" s="282"/>
    </row>
    <row r="1569" spans="1:18" s="221" customFormat="1" outlineLevel="1">
      <c r="A1569" s="276">
        <f>ROW()</f>
        <v>1569</v>
      </c>
      <c r="B1569" s="282"/>
      <c r="C1569" s="564"/>
      <c r="D1569" s="232"/>
      <c r="E1569" s="232"/>
      <c r="F1569" s="232"/>
      <c r="G1569" s="168"/>
      <c r="H1569" s="168"/>
      <c r="I1569" s="168"/>
      <c r="J1569" s="168"/>
      <c r="K1569" s="168"/>
      <c r="L1569" s="168"/>
      <c r="M1569" s="168"/>
      <c r="N1569" s="168"/>
      <c r="O1569" s="282"/>
      <c r="P1569" s="282"/>
      <c r="Q1569" s="282"/>
      <c r="R1569" s="282"/>
    </row>
    <row r="1570" spans="1:18" outlineLevel="1">
      <c r="A1570" s="276">
        <f>ROW()</f>
        <v>1570</v>
      </c>
      <c r="C1570" s="573" t="s">
        <v>165</v>
      </c>
      <c r="D1570" s="464" t="s">
        <v>921</v>
      </c>
      <c r="E1570" s="464"/>
      <c r="F1570" s="464"/>
      <c r="G1570" s="168"/>
      <c r="H1570" s="150"/>
      <c r="I1570" s="150"/>
      <c r="J1570" s="150"/>
      <c r="K1570" s="141"/>
      <c r="L1570" s="141"/>
      <c r="M1570" s="141"/>
      <c r="N1570" s="141"/>
    </row>
    <row r="1571" spans="1:18" outlineLevel="1">
      <c r="A1571" s="276">
        <f>ROW()</f>
        <v>1571</v>
      </c>
      <c r="B1571" s="217" t="s">
        <v>27</v>
      </c>
      <c r="C1571" s="1408" t="s">
        <v>49</v>
      </c>
      <c r="D1571" s="1409"/>
      <c r="E1571" s="1410"/>
      <c r="F1571" s="1410"/>
      <c r="G1571" s="141"/>
      <c r="H1571" s="1327">
        <f t="shared" ref="H1571:H1579" si="514">IF(AND($C1571="yes",D1571=1),$C$1479,0)</f>
        <v>0</v>
      </c>
      <c r="I1571" s="1327">
        <f t="shared" ref="I1571:I1579" si="515">IF(AND($C1571="yes",D1571=2),$C$1479,H1571)</f>
        <v>0</v>
      </c>
      <c r="J1571" s="1327">
        <f t="shared" ref="J1571:J1579" si="516">IF(AND($C1571="yes",D1571=3),$C$1479,I1571)</f>
        <v>0</v>
      </c>
      <c r="K1571" s="1327">
        <f t="shared" ref="K1571:K1579" si="517">IF(AND($C1571="yes",D1571=4),$C$1479,J1571)</f>
        <v>0</v>
      </c>
      <c r="L1571" s="1327">
        <f t="shared" ref="L1571:L1579" si="518">IF(AND($C1571="yes",D1571=5),$C$1479,K1571)</f>
        <v>0</v>
      </c>
      <c r="M1571" s="1327">
        <f t="shared" ref="M1571:M1579" si="519">IF(AND($C1571="yes",D1571=6),$C$1479,L1571)</f>
        <v>0</v>
      </c>
      <c r="N1571" s="141"/>
    </row>
    <row r="1572" spans="1:18" outlineLevel="1">
      <c r="A1572" s="276">
        <f>ROW()</f>
        <v>1572</v>
      </c>
      <c r="B1572" s="217" t="s">
        <v>28</v>
      </c>
      <c r="C1572" s="1408" t="s">
        <v>49</v>
      </c>
      <c r="D1572" s="1409"/>
      <c r="E1572" s="1410"/>
      <c r="F1572" s="1410"/>
      <c r="G1572" s="141"/>
      <c r="H1572" s="195">
        <f t="shared" si="514"/>
        <v>0</v>
      </c>
      <c r="I1572" s="195">
        <f t="shared" si="515"/>
        <v>0</v>
      </c>
      <c r="J1572" s="195">
        <f t="shared" si="516"/>
        <v>0</v>
      </c>
      <c r="K1572" s="195">
        <f t="shared" si="517"/>
        <v>0</v>
      </c>
      <c r="L1572" s="195">
        <f t="shared" si="518"/>
        <v>0</v>
      </c>
      <c r="M1572" s="195">
        <f t="shared" si="519"/>
        <v>0</v>
      </c>
      <c r="N1572" s="141"/>
    </row>
    <row r="1573" spans="1:18" outlineLevel="1">
      <c r="A1573" s="276">
        <f>ROW()</f>
        <v>1573</v>
      </c>
      <c r="B1573" s="217" t="s">
        <v>2</v>
      </c>
      <c r="C1573" s="1408" t="s">
        <v>49</v>
      </c>
      <c r="D1573" s="1409"/>
      <c r="E1573" s="1410"/>
      <c r="F1573" s="1410"/>
      <c r="G1573" s="141"/>
      <c r="H1573" s="195">
        <f t="shared" si="514"/>
        <v>0</v>
      </c>
      <c r="I1573" s="195">
        <f t="shared" si="515"/>
        <v>0</v>
      </c>
      <c r="J1573" s="195">
        <f t="shared" si="516"/>
        <v>0</v>
      </c>
      <c r="K1573" s="195">
        <f t="shared" si="517"/>
        <v>0</v>
      </c>
      <c r="L1573" s="195">
        <f t="shared" si="518"/>
        <v>0</v>
      </c>
      <c r="M1573" s="195">
        <f t="shared" si="519"/>
        <v>0</v>
      </c>
      <c r="N1573" s="141"/>
    </row>
    <row r="1574" spans="1:18" outlineLevel="1">
      <c r="A1574" s="276">
        <f>ROW()</f>
        <v>1574</v>
      </c>
      <c r="B1574" s="217" t="s">
        <v>17</v>
      </c>
      <c r="C1574" s="1408" t="s">
        <v>49</v>
      </c>
      <c r="D1574" s="1409"/>
      <c r="E1574" s="1410"/>
      <c r="F1574" s="1410"/>
      <c r="G1574" s="141"/>
      <c r="H1574" s="195">
        <f t="shared" si="514"/>
        <v>0</v>
      </c>
      <c r="I1574" s="195">
        <f t="shared" si="515"/>
        <v>0</v>
      </c>
      <c r="J1574" s="195">
        <f t="shared" si="516"/>
        <v>0</v>
      </c>
      <c r="K1574" s="195">
        <f t="shared" si="517"/>
        <v>0</v>
      </c>
      <c r="L1574" s="195">
        <f t="shared" si="518"/>
        <v>0</v>
      </c>
      <c r="M1574" s="195">
        <f t="shared" si="519"/>
        <v>0</v>
      </c>
      <c r="N1574" s="141"/>
    </row>
    <row r="1575" spans="1:18" outlineLevel="1">
      <c r="A1575" s="276">
        <f>ROW()</f>
        <v>1575</v>
      </c>
      <c r="B1575" s="217" t="s">
        <v>18</v>
      </c>
      <c r="C1575" s="1408" t="s">
        <v>49</v>
      </c>
      <c r="D1575" s="1409">
        <v>0</v>
      </c>
      <c r="E1575" s="1410"/>
      <c r="F1575" s="1410"/>
      <c r="G1575" s="141"/>
      <c r="H1575" s="195">
        <f t="shared" si="514"/>
        <v>0</v>
      </c>
      <c r="I1575" s="195">
        <f t="shared" si="515"/>
        <v>0</v>
      </c>
      <c r="J1575" s="195">
        <f t="shared" si="516"/>
        <v>0</v>
      </c>
      <c r="K1575" s="195">
        <f t="shared" si="517"/>
        <v>0</v>
      </c>
      <c r="L1575" s="195">
        <f t="shared" si="518"/>
        <v>0</v>
      </c>
      <c r="M1575" s="195">
        <f t="shared" si="519"/>
        <v>0</v>
      </c>
      <c r="N1575" s="141"/>
    </row>
    <row r="1576" spans="1:18" outlineLevel="1">
      <c r="A1576" s="276">
        <f>ROW()</f>
        <v>1576</v>
      </c>
      <c r="B1576" s="217" t="s">
        <v>77</v>
      </c>
      <c r="C1576" s="1408" t="s">
        <v>49</v>
      </c>
      <c r="D1576" s="1409"/>
      <c r="E1576" s="1410"/>
      <c r="F1576" s="1410"/>
      <c r="G1576" s="141"/>
      <c r="H1576" s="195">
        <f t="shared" si="514"/>
        <v>0</v>
      </c>
      <c r="I1576" s="195">
        <f t="shared" si="515"/>
        <v>0</v>
      </c>
      <c r="J1576" s="195">
        <f t="shared" si="516"/>
        <v>0</v>
      </c>
      <c r="K1576" s="195">
        <f t="shared" si="517"/>
        <v>0</v>
      </c>
      <c r="L1576" s="195">
        <f t="shared" si="518"/>
        <v>0</v>
      </c>
      <c r="M1576" s="195">
        <f t="shared" si="519"/>
        <v>0</v>
      </c>
      <c r="N1576" s="141"/>
    </row>
    <row r="1577" spans="1:18" outlineLevel="1">
      <c r="A1577" s="276">
        <f>ROW()</f>
        <v>1577</v>
      </c>
      <c r="B1577" s="217" t="s">
        <v>31</v>
      </c>
      <c r="C1577" s="1408" t="s">
        <v>49</v>
      </c>
      <c r="D1577" s="1409"/>
      <c r="E1577" s="1410"/>
      <c r="F1577" s="1410"/>
      <c r="G1577" s="141"/>
      <c r="H1577" s="195">
        <f t="shared" si="514"/>
        <v>0</v>
      </c>
      <c r="I1577" s="195">
        <f t="shared" si="515"/>
        <v>0</v>
      </c>
      <c r="J1577" s="195">
        <f t="shared" si="516"/>
        <v>0</v>
      </c>
      <c r="K1577" s="195">
        <f t="shared" si="517"/>
        <v>0</v>
      </c>
      <c r="L1577" s="195">
        <f t="shared" si="518"/>
        <v>0</v>
      </c>
      <c r="M1577" s="195">
        <f t="shared" si="519"/>
        <v>0</v>
      </c>
      <c r="N1577" s="141"/>
    </row>
    <row r="1578" spans="1:18" outlineLevel="1">
      <c r="A1578" s="276">
        <f>ROW()</f>
        <v>1578</v>
      </c>
      <c r="B1578" s="217" t="s">
        <v>139</v>
      </c>
      <c r="C1578" s="1408" t="s">
        <v>49</v>
      </c>
      <c r="D1578" s="1409"/>
      <c r="E1578" s="1410"/>
      <c r="F1578" s="1410"/>
      <c r="G1578" s="141"/>
      <c r="H1578" s="195">
        <f t="shared" si="514"/>
        <v>0</v>
      </c>
      <c r="I1578" s="195">
        <f t="shared" si="515"/>
        <v>0</v>
      </c>
      <c r="J1578" s="195">
        <f t="shared" si="516"/>
        <v>0</v>
      </c>
      <c r="K1578" s="195">
        <f t="shared" si="517"/>
        <v>0</v>
      </c>
      <c r="L1578" s="195">
        <f t="shared" si="518"/>
        <v>0</v>
      </c>
      <c r="M1578" s="195">
        <f t="shared" si="519"/>
        <v>0</v>
      </c>
      <c r="N1578" s="141"/>
    </row>
    <row r="1579" spans="1:18" outlineLevel="1">
      <c r="A1579" s="276">
        <f>ROW()</f>
        <v>1579</v>
      </c>
      <c r="B1579" s="217" t="s">
        <v>140</v>
      </c>
      <c r="C1579" s="1408" t="s">
        <v>49</v>
      </c>
      <c r="D1579" s="1409"/>
      <c r="E1579" s="1410"/>
      <c r="F1579" s="1410"/>
      <c r="G1579" s="141"/>
      <c r="H1579" s="195">
        <f t="shared" si="514"/>
        <v>0</v>
      </c>
      <c r="I1579" s="195">
        <f t="shared" si="515"/>
        <v>0</v>
      </c>
      <c r="J1579" s="195">
        <f t="shared" si="516"/>
        <v>0</v>
      </c>
      <c r="K1579" s="195">
        <f t="shared" si="517"/>
        <v>0</v>
      </c>
      <c r="L1579" s="195">
        <f t="shared" si="518"/>
        <v>0</v>
      </c>
      <c r="M1579" s="195">
        <f t="shared" si="519"/>
        <v>0</v>
      </c>
      <c r="N1579" s="141"/>
    </row>
    <row r="1580" spans="1:18" ht="15" thickBot="1">
      <c r="A1580" s="276">
        <f>ROW()</f>
        <v>1580</v>
      </c>
      <c r="C1580" s="568"/>
      <c r="G1580" s="141"/>
      <c r="H1580" s="141"/>
      <c r="I1580" s="141"/>
      <c r="J1580" s="141"/>
      <c r="K1580" s="141"/>
      <c r="L1580" s="141"/>
      <c r="M1580" s="141"/>
      <c r="N1580" s="141"/>
    </row>
    <row r="1581" spans="1:18" ht="15" thickBot="1">
      <c r="A1581" s="276">
        <f>ROW()</f>
        <v>1581</v>
      </c>
      <c r="B1581" s="381" t="s">
        <v>57</v>
      </c>
      <c r="C1581" s="572">
        <f>SUM(G1581:M1581)</f>
        <v>0</v>
      </c>
      <c r="D1581" s="436"/>
      <c r="E1581" s="436"/>
      <c r="F1581" s="436"/>
      <c r="G1581" s="1328">
        <f t="shared" ref="G1581:M1581" si="520">SUM(G1571:G1579)</f>
        <v>0</v>
      </c>
      <c r="H1581" s="1328">
        <f t="shared" si="520"/>
        <v>0</v>
      </c>
      <c r="I1581" s="1328">
        <f t="shared" si="520"/>
        <v>0</v>
      </c>
      <c r="J1581" s="1328">
        <f t="shared" si="520"/>
        <v>0</v>
      </c>
      <c r="K1581" s="1328">
        <f t="shared" si="520"/>
        <v>0</v>
      </c>
      <c r="L1581" s="1328">
        <f t="shared" si="520"/>
        <v>0</v>
      </c>
      <c r="M1581" s="1328">
        <f t="shared" si="520"/>
        <v>0</v>
      </c>
      <c r="N1581" s="141"/>
    </row>
    <row r="1582" spans="1:18">
      <c r="A1582" s="276">
        <f>ROW()</f>
        <v>1582</v>
      </c>
      <c r="G1582" s="141"/>
      <c r="H1582" s="150"/>
      <c r="I1582" s="150"/>
      <c r="J1582" s="150"/>
      <c r="K1582" s="141"/>
      <c r="L1582" s="141"/>
      <c r="M1582" s="141"/>
      <c r="N1582" s="141"/>
    </row>
    <row r="1583" spans="1:18">
      <c r="A1583" s="276">
        <f>ROW()</f>
        <v>1583</v>
      </c>
      <c r="G1583" s="141"/>
      <c r="H1583" s="150"/>
      <c r="I1583" s="150"/>
      <c r="J1583" s="150"/>
      <c r="K1583" s="141"/>
      <c r="L1583" s="141"/>
      <c r="M1583" s="141"/>
      <c r="N1583" s="141"/>
    </row>
    <row r="1584" spans="1:18" ht="15" thickBot="1">
      <c r="A1584" s="276">
        <f>ROW()</f>
        <v>1584</v>
      </c>
      <c r="G1584" s="141"/>
      <c r="H1584" s="150"/>
      <c r="I1584" s="150"/>
      <c r="J1584" s="150"/>
      <c r="K1584" s="141"/>
      <c r="L1584" s="141"/>
      <c r="M1584" s="141"/>
      <c r="N1584" s="141"/>
    </row>
    <row r="1585" spans="1:14" s="223" customFormat="1" ht="15" thickBot="1">
      <c r="A1585" s="276">
        <f>ROW()</f>
        <v>1585</v>
      </c>
      <c r="B1585" s="374" t="s">
        <v>63</v>
      </c>
      <c r="C1585" s="764">
        <f>SUM(G1585:M1585)</f>
        <v>26001730.771107607</v>
      </c>
      <c r="D1585" s="764"/>
      <c r="E1585" s="764"/>
      <c r="F1585" s="764"/>
      <c r="G1585" s="1329">
        <f t="shared" ref="G1585:M1585" si="521">G1581+G1464+G1437+G1372+G1370+G1368+G1343+G421</f>
        <v>0</v>
      </c>
      <c r="H1585" s="1329">
        <f t="shared" si="521"/>
        <v>1949333.3376699942</v>
      </c>
      <c r="I1585" s="1329">
        <f t="shared" si="521"/>
        <v>2765613.3339501228</v>
      </c>
      <c r="J1585" s="1329">
        <f t="shared" si="521"/>
        <v>3811225.2637711638</v>
      </c>
      <c r="K1585" s="1329">
        <f t="shared" si="521"/>
        <v>4748594.1894551627</v>
      </c>
      <c r="L1585" s="1329">
        <f t="shared" si="521"/>
        <v>5718512.796071141</v>
      </c>
      <c r="M1585" s="1329">
        <f t="shared" si="521"/>
        <v>7008451.8501900211</v>
      </c>
      <c r="N1585" s="130"/>
    </row>
    <row r="1586" spans="1:14">
      <c r="A1586" s="276">
        <f>ROW()</f>
        <v>1586</v>
      </c>
      <c r="G1586" s="141"/>
      <c r="H1586" s="141"/>
      <c r="I1586" s="141"/>
      <c r="J1586" s="141"/>
      <c r="K1586" s="141"/>
      <c r="L1586" s="141"/>
      <c r="M1586" s="141"/>
      <c r="N1586" s="141"/>
    </row>
    <row r="1587" spans="1:14" ht="15" thickBot="1">
      <c r="A1587" s="276">
        <f>ROW()</f>
        <v>1587</v>
      </c>
      <c r="G1587" s="141"/>
      <c r="H1587" s="141"/>
      <c r="I1587" s="1330"/>
      <c r="J1587" s="141"/>
      <c r="K1587" s="141"/>
      <c r="L1587" s="141"/>
      <c r="M1587" s="141"/>
      <c r="N1587" s="141"/>
    </row>
    <row r="1588" spans="1:14" ht="15" thickBot="1">
      <c r="A1588" s="276">
        <f>ROW()</f>
        <v>1588</v>
      </c>
      <c r="B1588" s="765" t="s">
        <v>736</v>
      </c>
      <c r="C1588" s="766">
        <f>SUM(G1588:M1588)</f>
        <v>20789035.013612434</v>
      </c>
      <c r="D1588" s="767"/>
      <c r="E1588" s="767"/>
      <c r="F1588" s="767"/>
      <c r="G1588" s="1331">
        <f>'Enrol Staff &amp; Exp'!G421+'Enrol Staff &amp; Exp'!G1343+'Enrol Staff &amp; Exp'!G1368+'Enrol Staff &amp; Exp'!G1370+'Enrol Staff &amp; Exp'!G1372</f>
        <v>0</v>
      </c>
      <c r="H1588" s="1331">
        <f>'Enrol Staff &amp; Exp'!H421+'Enrol Staff &amp; Exp'!H1343+'Enrol Staff &amp; Exp'!H1368+'Enrol Staff &amp; Exp'!H1370+'Enrol Staff &amp; Exp'!H1372</f>
        <v>1435684</v>
      </c>
      <c r="I1588" s="1331">
        <f>'Enrol Staff &amp; Exp'!I421+'Enrol Staff &amp; Exp'!I1343+'Enrol Staff &amp; Exp'!I1368+'Enrol Staff &amp; Exp'!I1370+'Enrol Staff &amp; Exp'!I1372</f>
        <v>2186500.7675000001</v>
      </c>
      <c r="J1588" s="1331">
        <f>'Enrol Staff &amp; Exp'!J421+'Enrol Staff &amp; Exp'!J1343+'Enrol Staff &amp; Exp'!J1368+'Enrol Staff &amp; Exp'!J1370+'Enrol Staff &amp; Exp'!J1372</f>
        <v>3028945.6500499998</v>
      </c>
      <c r="K1588" s="1331">
        <f>'Enrol Staff &amp; Exp'!K421+'Enrol Staff &amp; Exp'!K1343+'Enrol Staff &amp; Exp'!K1368+'Enrol Staff &amp; Exp'!K1370+'Enrol Staff &amp; Exp'!K1372</f>
        <v>3806397.6367239999</v>
      </c>
      <c r="L1588" s="1331">
        <f>'Enrol Staff &amp; Exp'!L421+'Enrol Staff &amp; Exp'!L1343+'Enrol Staff &amp; Exp'!L1368+'Enrol Staff &amp; Exp'!L1370+'Enrol Staff &amp; Exp'!L1372</f>
        <v>4632966.7333667297</v>
      </c>
      <c r="M1588" s="1331">
        <f>'Enrol Staff &amp; Exp'!M421+'Enrol Staff &amp; Exp'!M1343+'Enrol Staff &amp; Exp'!M1368+'Enrol Staff &amp; Exp'!M1370+'Enrol Staff &amp; Exp'!M1372</f>
        <v>5698540.2259717025</v>
      </c>
      <c r="N1588" s="141"/>
    </row>
    <row r="1589" spans="1:14">
      <c r="B1589" s="223"/>
      <c r="D1589" s="761"/>
      <c r="G1589" s="1332"/>
      <c r="H1589" s="1332"/>
      <c r="I1589" s="1332"/>
      <c r="J1589" s="1332"/>
      <c r="K1589" s="1332"/>
      <c r="L1589" s="1332"/>
      <c r="M1589" s="1332"/>
      <c r="N1589" s="141"/>
    </row>
    <row r="1590" spans="1:14">
      <c r="B1590" s="696" t="s">
        <v>752</v>
      </c>
      <c r="C1590" s="275"/>
      <c r="D1590" s="762"/>
      <c r="E1590" s="275"/>
      <c r="F1590" s="275"/>
      <c r="G1590" s="1333"/>
      <c r="H1590" s="1333"/>
      <c r="I1590" s="1333"/>
      <c r="J1590" s="1333"/>
      <c r="K1590" s="1333"/>
      <c r="L1590" s="1333"/>
      <c r="M1590" s="1333"/>
      <c r="N1590" s="141"/>
    </row>
    <row r="1591" spans="1:14">
      <c r="B1591" s="217" t="s">
        <v>733</v>
      </c>
      <c r="G1591" s="1334">
        <f t="shared" ref="G1591:M1591" si="522">+G1585-G1588</f>
        <v>0</v>
      </c>
      <c r="H1591" s="1334">
        <f t="shared" si="522"/>
        <v>513649.33766999422</v>
      </c>
      <c r="I1591" s="1334">
        <f t="shared" si="522"/>
        <v>579112.56645012274</v>
      </c>
      <c r="J1591" s="1334">
        <f t="shared" si="522"/>
        <v>782279.61372116394</v>
      </c>
      <c r="K1591" s="1334">
        <f t="shared" si="522"/>
        <v>942196.55273116287</v>
      </c>
      <c r="L1591" s="1334">
        <f t="shared" si="522"/>
        <v>1085546.0627044113</v>
      </c>
      <c r="M1591" s="1334">
        <f t="shared" si="522"/>
        <v>1309911.6242183186</v>
      </c>
      <c r="N1591" s="141"/>
    </row>
    <row r="1592" spans="1:14">
      <c r="B1592" s="217" t="s">
        <v>734</v>
      </c>
      <c r="G1592" s="451">
        <f t="shared" ref="G1592:M1592" si="523">+G1437</f>
        <v>0</v>
      </c>
      <c r="H1592" s="451">
        <f t="shared" si="523"/>
        <v>473649.33766999422</v>
      </c>
      <c r="I1592" s="451">
        <f t="shared" si="523"/>
        <v>559112.56645012298</v>
      </c>
      <c r="J1592" s="451">
        <f t="shared" si="523"/>
        <v>702279.61372116383</v>
      </c>
      <c r="K1592" s="451">
        <f t="shared" si="523"/>
        <v>842196.55273116217</v>
      </c>
      <c r="L1592" s="451">
        <f t="shared" si="523"/>
        <v>985546.06270441134</v>
      </c>
      <c r="M1592" s="451">
        <f t="shared" si="523"/>
        <v>1189911.6242183188</v>
      </c>
      <c r="N1592" s="141"/>
    </row>
    <row r="1593" spans="1:14">
      <c r="B1593" s="217" t="s">
        <v>128</v>
      </c>
      <c r="G1593" s="1335">
        <f t="shared" ref="G1593:M1593" si="524">+G1464</f>
        <v>0</v>
      </c>
      <c r="H1593" s="1335">
        <f t="shared" si="524"/>
        <v>40000</v>
      </c>
      <c r="I1593" s="1335">
        <f t="shared" si="524"/>
        <v>20000</v>
      </c>
      <c r="J1593" s="1335">
        <f t="shared" si="524"/>
        <v>80000</v>
      </c>
      <c r="K1593" s="1335">
        <f t="shared" si="524"/>
        <v>100000</v>
      </c>
      <c r="L1593" s="1335">
        <f t="shared" si="524"/>
        <v>100000</v>
      </c>
      <c r="M1593" s="1335">
        <f t="shared" si="524"/>
        <v>120000</v>
      </c>
      <c r="N1593" s="1330"/>
    </row>
    <row r="1594" spans="1:14">
      <c r="G1594" s="451">
        <f t="shared" ref="G1594:M1594" si="525">+G1591-G1592</f>
        <v>0</v>
      </c>
      <c r="H1594" s="451">
        <f t="shared" si="525"/>
        <v>40000</v>
      </c>
      <c r="I1594" s="451">
        <f t="shared" si="525"/>
        <v>19999.999999999767</v>
      </c>
      <c r="J1594" s="451">
        <f t="shared" si="525"/>
        <v>80000.000000000116</v>
      </c>
      <c r="K1594" s="451">
        <f t="shared" si="525"/>
        <v>100000.0000000007</v>
      </c>
      <c r="L1594" s="451">
        <f t="shared" si="525"/>
        <v>100000</v>
      </c>
      <c r="M1594" s="451">
        <f t="shared" si="525"/>
        <v>119999.99999999977</v>
      </c>
      <c r="N1594" s="141"/>
    </row>
    <row r="1595" spans="1:14" ht="15" thickBot="1">
      <c r="B1595" s="763" t="s">
        <v>735</v>
      </c>
      <c r="C1595" s="763"/>
      <c r="D1595" s="763"/>
      <c r="E1595" s="763"/>
      <c r="F1595" s="763"/>
      <c r="G1595" s="1336">
        <f t="shared" ref="G1595:M1595" si="526">+G1593-G1594</f>
        <v>0</v>
      </c>
      <c r="H1595" s="1336">
        <f t="shared" si="526"/>
        <v>0</v>
      </c>
      <c r="I1595" s="1336">
        <f t="shared" si="526"/>
        <v>2.3283064365386963E-10</v>
      </c>
      <c r="J1595" s="1336">
        <f t="shared" si="526"/>
        <v>-1.1641532182693481E-10</v>
      </c>
      <c r="K1595" s="1336">
        <f t="shared" si="526"/>
        <v>-6.9849193096160889E-10</v>
      </c>
      <c r="L1595" s="1336">
        <f t="shared" si="526"/>
        <v>0</v>
      </c>
      <c r="M1595" s="1336">
        <f t="shared" si="526"/>
        <v>2.3283064365386963E-10</v>
      </c>
      <c r="N1595" s="141"/>
    </row>
    <row r="1596" spans="1:14" ht="15" thickTop="1"/>
  </sheetData>
  <sheetProtection algorithmName="SHA-512" hashValue="7pE+yaPp2DV/eAowViFAQ5ZrPow90X/XjXKSbFNq1RYcPhDpTGwt4w7EYQj+FefxEtv9BWxd9FUgFSB5l4QJEg==" saltValue="Enm0a38YEurNCxHOGJcVcA==" spinCount="100000" sheet="1" objects="1" scenarios="1" selectLockedCells="1"/>
  <protectedRanges>
    <protectedRange sqref="C1350:D1366 G1361:M1361 G1365:M1365 G1349:M1349 G1353:M1353 G1357:M1357" name="Part Time Employees"/>
    <protectedRange sqref="C1379:C1416" name="General Operating Expenses"/>
    <protectedRange sqref="C84:C97 C105:F108 G98" name="Payroll Tax and Benefits"/>
    <protectedRange sqref="D57 C48:C57 C45:C46 E45:F59" name="Government Funding"/>
    <protectedRange sqref="H33:M33 G36:M43" name="Title I and SPED"/>
    <protectedRange sqref="G17:M30 G15:G16" name="Student Input"/>
    <protectedRange sqref="G68:M74" name="Other Revenues"/>
    <protectedRange sqref="G114:M118 C131:C139 C155:C163 C143:C151" name="Administrator Inputs"/>
    <protectedRange sqref="G123:M126" name="Office Staff Inputs"/>
    <protectedRange sqref="B131:B139 B155 D155 B143:B151 G155:M163 D131:D139 G131:M139 G143:M151 D143:D151" name="Specialists and Electives"/>
    <protectedRange sqref="C47" name="Government Funding_1"/>
    <protectedRange sqref="B114:B118" name="Administrator Inputs_1"/>
    <protectedRange sqref="D114:F118" name="Administrator Inputs_2"/>
    <protectedRange sqref="C114:C118" name="Teachers_1"/>
    <protectedRange sqref="B123:B125" name="Office Staff Inputs_2"/>
    <protectedRange sqref="D123:F125 E131:F133 E143:F145" name="Office Staff Inputs_3"/>
    <protectedRange sqref="C123:C125" name="Teachers_3"/>
    <protectedRange sqref="E172:F174 F176:F180 F182:F186 F188:F192 F194:F198 F200:F204 F206:F210 F212:F216 E223:F223 F225:F229 F231:F235 F237:F241 F243:F247 F249:F253 F255:F259 F261:F265 F218:F222" name="Teachers_4"/>
    <protectedRange sqref="H15:M15" name="Student Input_1"/>
    <protectedRange sqref="H16:M16" name="Student Input_1_1"/>
  </protectedRanges>
  <phoneticPr fontId="7" type="noConversion"/>
  <conditionalFormatting sqref="H37:M37 H39:M39 H43:M43 H41:M41">
    <cfRule type="cellIs" dxfId="51" priority="125" stopIfTrue="1" operator="equal">
      <formula>0</formula>
    </cfRule>
  </conditionalFormatting>
  <conditionalFormatting sqref="I166:M166">
    <cfRule type="cellIs" dxfId="50" priority="139" stopIfTrue="1" operator="equal">
      <formula>0</formula>
    </cfRule>
  </conditionalFormatting>
  <conditionalFormatting sqref="B18:F30">
    <cfRule type="expression" dxfId="49" priority="150" stopIfTrue="1">
      <formula>MOD(ROW(),2)=0</formula>
    </cfRule>
  </conditionalFormatting>
  <conditionalFormatting sqref="B36:F43">
    <cfRule type="expression" dxfId="48" priority="151" stopIfTrue="1">
      <formula>MOD(ROW(),2)=0</formula>
    </cfRule>
  </conditionalFormatting>
  <conditionalFormatting sqref="I140:M140">
    <cfRule type="cellIs" dxfId="47" priority="99" stopIfTrue="1" operator="equal">
      <formula>0</formula>
    </cfRule>
  </conditionalFormatting>
  <conditionalFormatting sqref="C13:F13">
    <cfRule type="expression" dxfId="46" priority="152" stopIfTrue="1">
      <formula>MOD(ROW(),2)=0</formula>
    </cfRule>
  </conditionalFormatting>
  <conditionalFormatting sqref="I152:M152">
    <cfRule type="cellIs" dxfId="45" priority="96" stopIfTrue="1" operator="equal">
      <formula>0</formula>
    </cfRule>
  </conditionalFormatting>
  <conditionalFormatting sqref="I164:M164">
    <cfRule type="cellIs" dxfId="44" priority="95" stopIfTrue="1" operator="equal">
      <formula>0</formula>
    </cfRule>
  </conditionalFormatting>
  <conditionalFormatting sqref="H99:M103">
    <cfRule type="cellIs" dxfId="43" priority="162" stopIfTrue="1" operator="equal">
      <formula>0</formula>
    </cfRule>
  </conditionalFormatting>
  <conditionalFormatting sqref="G114:M118">
    <cfRule type="cellIs" dxfId="42" priority="163" stopIfTrue="1" operator="equal">
      <formula>0</formula>
    </cfRule>
  </conditionalFormatting>
  <conditionalFormatting sqref="G120:M120">
    <cfRule type="cellIs" dxfId="41" priority="164" stopIfTrue="1" operator="equal">
      <formula>0</formula>
    </cfRule>
  </conditionalFormatting>
  <conditionalFormatting sqref="G123:M126">
    <cfRule type="cellIs" dxfId="40" priority="165" stopIfTrue="1" operator="equal">
      <formula>0</formula>
    </cfRule>
  </conditionalFormatting>
  <conditionalFormatting sqref="G128:M128">
    <cfRule type="cellIs" dxfId="39" priority="166" stopIfTrue="1" operator="equal">
      <formula>0</formula>
    </cfRule>
  </conditionalFormatting>
  <conditionalFormatting sqref="G131:M139">
    <cfRule type="cellIs" dxfId="38" priority="168" stopIfTrue="1" operator="equal">
      <formula>0</formula>
    </cfRule>
  </conditionalFormatting>
  <conditionalFormatting sqref="G143:M151">
    <cfRule type="cellIs" dxfId="37" priority="169" stopIfTrue="1" operator="equal">
      <formula>0</formula>
    </cfRule>
  </conditionalFormatting>
  <conditionalFormatting sqref="G155:M163">
    <cfRule type="cellIs" dxfId="36" priority="170" stopIfTrue="1" operator="equal">
      <formula>0</formula>
    </cfRule>
  </conditionalFormatting>
  <conditionalFormatting sqref="G172:M174">
    <cfRule type="cellIs" dxfId="35" priority="171" stopIfTrue="1" operator="equal">
      <formula>0</formula>
    </cfRule>
  </conditionalFormatting>
  <conditionalFormatting sqref="G176:M180">
    <cfRule type="cellIs" dxfId="34" priority="172" stopIfTrue="1" operator="equal">
      <formula>0</formula>
    </cfRule>
  </conditionalFormatting>
  <conditionalFormatting sqref="G182:M186">
    <cfRule type="cellIs" dxfId="33" priority="173" stopIfTrue="1" operator="equal">
      <formula>0</formula>
    </cfRule>
  </conditionalFormatting>
  <conditionalFormatting sqref="G188:M192">
    <cfRule type="cellIs" dxfId="32" priority="174" stopIfTrue="1" operator="equal">
      <formula>0</formula>
    </cfRule>
  </conditionalFormatting>
  <conditionalFormatting sqref="G194:M198">
    <cfRule type="cellIs" dxfId="31" priority="175" stopIfTrue="1" operator="equal">
      <formula>0</formula>
    </cfRule>
  </conditionalFormatting>
  <conditionalFormatting sqref="G200:M204">
    <cfRule type="cellIs" dxfId="30" priority="176" stopIfTrue="1" operator="equal">
      <formula>0</formula>
    </cfRule>
  </conditionalFormatting>
  <conditionalFormatting sqref="G206:M210">
    <cfRule type="cellIs" dxfId="29" priority="177" stopIfTrue="1" operator="equal">
      <formula>0</formula>
    </cfRule>
  </conditionalFormatting>
  <conditionalFormatting sqref="G212:M216">
    <cfRule type="cellIs" dxfId="28" priority="178" stopIfTrue="1" operator="equal">
      <formula>0</formula>
    </cfRule>
  </conditionalFormatting>
  <conditionalFormatting sqref="G218:M223">
    <cfRule type="cellIs" dxfId="27" priority="179" stopIfTrue="1" operator="equal">
      <formula>0</formula>
    </cfRule>
  </conditionalFormatting>
  <conditionalFormatting sqref="G225:M229">
    <cfRule type="cellIs" dxfId="26" priority="180" stopIfTrue="1" operator="equal">
      <formula>0</formula>
    </cfRule>
  </conditionalFormatting>
  <conditionalFormatting sqref="G231:M235">
    <cfRule type="cellIs" dxfId="25" priority="181" stopIfTrue="1" operator="equal">
      <formula>0</formula>
    </cfRule>
  </conditionalFormatting>
  <conditionalFormatting sqref="G237:M241">
    <cfRule type="cellIs" dxfId="24" priority="182" stopIfTrue="1" operator="equal">
      <formula>0</formula>
    </cfRule>
  </conditionalFormatting>
  <conditionalFormatting sqref="G243:M247">
    <cfRule type="cellIs" dxfId="23" priority="183" stopIfTrue="1" operator="equal">
      <formula>0</formula>
    </cfRule>
  </conditionalFormatting>
  <conditionalFormatting sqref="G249:M253">
    <cfRule type="cellIs" dxfId="22" priority="184" stopIfTrue="1" operator="equal">
      <formula>0</formula>
    </cfRule>
  </conditionalFormatting>
  <conditionalFormatting sqref="G255:M259">
    <cfRule type="cellIs" dxfId="21" priority="185" stopIfTrue="1" operator="equal">
      <formula>0</formula>
    </cfRule>
  </conditionalFormatting>
  <conditionalFormatting sqref="G261:M265">
    <cfRule type="cellIs" dxfId="20" priority="186" stopIfTrue="1" operator="equal">
      <formula>0</formula>
    </cfRule>
  </conditionalFormatting>
  <conditionalFormatting sqref="H15:M15">
    <cfRule type="cellIs" dxfId="19" priority="194" stopIfTrue="1" operator="equal">
      <formula>0</formula>
    </cfRule>
  </conditionalFormatting>
  <pageMargins left="0.25" right="0.25" top="0.5" bottom="0.45" header="0.25" footer="0.25"/>
  <pageSetup scale="10" fitToHeight="4" orientation="landscape" r:id="rId1"/>
  <headerFooter>
    <oddHeader xml:space="preserve">&amp;L &amp;C &amp;R </oddHeader>
    <oddFooter>&amp;L&amp;7&amp;D  at &amp;T Mike 702.854.0691&amp;C&amp;7&amp;F  &amp;A&amp;R&amp;7Page &amp;P of &amp;N</oddFooter>
  </headerFooter>
  <rowBreaks count="3" manualBreakCount="3">
    <brk id="58" max="13" man="1"/>
    <brk id="109" max="13" man="1"/>
    <brk id="1375" max="13" man="1"/>
  </rowBreaks>
  <legacyDrawing r:id="rId2"/>
  <extLst>
    <ext xmlns:x14="http://schemas.microsoft.com/office/spreadsheetml/2009/9/main" uri="{CCE6A557-97BC-4b89-ADB6-D9C93CAAB3DF}">
      <x14:dataValidations xmlns:xm="http://schemas.microsoft.com/office/excel/2006/main" xWindow="527" yWindow="807" count="1">
        <x14:dataValidation type="list" allowBlank="1" showInputMessage="1" showErrorMessage="1" promptTitle="County" prompt="In the Dropdown Box select the county where your school will be located." xr:uid="{00000000-0002-0000-0100-000000000000}">
          <x14:formula1>
            <xm:f>'DSA Rates'!$A$10:$A$27</xm:f>
          </x14:formula1>
          <xm:sqref>C57:D57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00"/>
  </sheetPr>
  <dimension ref="A1:O81"/>
  <sheetViews>
    <sheetView showGridLines="0" view="pageBreakPreview" topLeftCell="A7" zoomScale="85" zoomScaleNormal="85" zoomScaleSheetLayoutView="85" workbookViewId="0">
      <selection activeCell="I23" sqref="I23"/>
    </sheetView>
  </sheetViews>
  <sheetFormatPr baseColWidth="10" defaultColWidth="8.83203125" defaultRowHeight="14" outlineLevelRow="1"/>
  <cols>
    <col min="1" max="1" width="2.83203125" style="141" customWidth="1"/>
    <col min="2" max="2" width="40.33203125" style="141" customWidth="1"/>
    <col min="3" max="3" width="19.1640625" style="141" customWidth="1"/>
    <col min="4" max="4" width="7.1640625" style="141" customWidth="1"/>
    <col min="5" max="5" width="22.6640625" style="150" customWidth="1"/>
    <col min="6" max="6" width="14" style="150" customWidth="1"/>
    <col min="7" max="7" width="11.6640625" style="150" customWidth="1"/>
    <col min="8" max="8" width="14.33203125" style="141" bestFit="1" customWidth="1"/>
    <col min="9" max="9" width="13.6640625" style="141" bestFit="1" customWidth="1"/>
    <col min="10" max="10" width="14.33203125" style="141" bestFit="1" customWidth="1"/>
    <col min="11" max="12" width="13.83203125" style="141" bestFit="1" customWidth="1"/>
    <col min="13" max="13" width="15.6640625" style="141" bestFit="1" customWidth="1"/>
    <col min="14" max="14" width="27.83203125" style="141" bestFit="1" customWidth="1"/>
    <col min="15" max="15" width="11.6640625" style="141" bestFit="1" customWidth="1"/>
    <col min="16" max="16" width="8.83203125" style="141"/>
    <col min="17" max="17" width="17.33203125" style="141" customWidth="1"/>
    <col min="18" max="16384" width="8.83203125" style="141"/>
  </cols>
  <sheetData>
    <row r="1" spans="1:14" ht="16">
      <c r="A1" s="457" t="s">
        <v>92</v>
      </c>
      <c r="B1" s="1383"/>
      <c r="H1" s="672" t="s">
        <v>630</v>
      </c>
      <c r="I1" s="672"/>
      <c r="J1" s="672"/>
      <c r="K1" s="275"/>
      <c r="L1" s="275"/>
    </row>
    <row r="2" spans="1:14" ht="16">
      <c r="A2" s="152" t="str">
        <f>SchoolName</f>
        <v>TEACH Las Vegas</v>
      </c>
      <c r="B2" s="153"/>
      <c r="H2" s="1432" t="str">
        <f>+Cover!C17</f>
        <v>4648, 4656 and 4660 North Rancho Drive, Las Vegas, NV</v>
      </c>
      <c r="I2" s="1432"/>
      <c r="J2" s="1432"/>
      <c r="K2" s="1432"/>
      <c r="L2" s="1432"/>
    </row>
    <row r="3" spans="1:14">
      <c r="A3" s="154" t="s">
        <v>412</v>
      </c>
      <c r="H3" s="1433">
        <f>+Cover!C18</f>
        <v>0</v>
      </c>
      <c r="I3" s="1433"/>
      <c r="J3" s="1433"/>
      <c r="K3" s="1433"/>
      <c r="L3" s="1433"/>
    </row>
    <row r="4" spans="1:14">
      <c r="A4" s="155" t="s">
        <v>444</v>
      </c>
      <c r="E4" s="141"/>
    </row>
    <row r="5" spans="1:14">
      <c r="A5" s="129" t="str">
        <f ca="1">CELL("filename")</f>
        <v>/Users/matthewbrown/Desktop/[2021MB-New-CS-Application-Financial-Plan-TEACH REV 21.1.04MB 2021 02 01.xlsx]Enrol Staff &amp; Exp</v>
      </c>
    </row>
    <row r="6" spans="1:14" ht="15" thickBot="1"/>
    <row r="7" spans="1:14" s="130" customFormat="1" outlineLevel="1">
      <c r="B7" s="131" t="s">
        <v>256</v>
      </c>
      <c r="C7" s="132"/>
      <c r="D7" s="133"/>
      <c r="E7" s="134"/>
      <c r="F7" s="134"/>
      <c r="G7" s="135" t="str">
        <f>'Enrol Staff &amp; Exp'!G9</f>
        <v>SY 0/Incubation</v>
      </c>
      <c r="H7" s="135" t="str">
        <f>'Enrol Staff &amp; Exp'!H9</f>
        <v>SY 1</v>
      </c>
      <c r="I7" s="135" t="str">
        <f>'Enrol Staff &amp; Exp'!I9</f>
        <v>SY 2</v>
      </c>
      <c r="J7" s="135" t="str">
        <f>'Enrol Staff &amp; Exp'!J9</f>
        <v>SY 3</v>
      </c>
      <c r="K7" s="135" t="str">
        <f>'Enrol Staff &amp; Exp'!K9</f>
        <v>SY 4</v>
      </c>
      <c r="L7" s="135" t="str">
        <f>'Enrol Staff &amp; Exp'!L9</f>
        <v>SY 5</v>
      </c>
      <c r="M7" s="135" t="str">
        <f>'Enrol Staff &amp; Exp'!M9</f>
        <v>SY 6</v>
      </c>
    </row>
    <row r="8" spans="1:14" ht="15" outlineLevel="1" thickBot="1">
      <c r="B8" s="136" t="s">
        <v>854</v>
      </c>
      <c r="C8" s="836" t="s">
        <v>855</v>
      </c>
      <c r="D8" s="137"/>
      <c r="G8" s="666">
        <f>+H8-1</f>
        <v>2020</v>
      </c>
      <c r="H8" s="156">
        <f>'Enrol Staff &amp; Exp'!H10</f>
        <v>2021</v>
      </c>
      <c r="I8" s="157">
        <f>'Enrol Staff &amp; Exp'!I10</f>
        <v>2022</v>
      </c>
      <c r="J8" s="157">
        <f>'Enrol Staff &amp; Exp'!J10</f>
        <v>2023</v>
      </c>
      <c r="K8" s="157">
        <f>'Enrol Staff &amp; Exp'!K10</f>
        <v>2024</v>
      </c>
      <c r="L8" s="157">
        <f>'Enrol Staff &amp; Exp'!L10</f>
        <v>2025</v>
      </c>
      <c r="M8" s="158">
        <f>'Enrol Staff &amp; Exp'!M10</f>
        <v>2026</v>
      </c>
      <c r="N8" s="159"/>
    </row>
    <row r="9" spans="1:14" outlineLevel="1">
      <c r="C9" s="130"/>
      <c r="G9" s="667">
        <f>+H9-1</f>
        <v>2021</v>
      </c>
      <c r="H9" s="138">
        <f>'Enrol Staff &amp; Exp'!H11</f>
        <v>2022</v>
      </c>
      <c r="I9" s="139">
        <f>'Enrol Staff &amp; Exp'!I11</f>
        <v>2023</v>
      </c>
      <c r="J9" s="139">
        <f>'Enrol Staff &amp; Exp'!J11</f>
        <v>2024</v>
      </c>
      <c r="K9" s="139">
        <f>'Enrol Staff &amp; Exp'!K11</f>
        <v>2025</v>
      </c>
      <c r="L9" s="139">
        <f>'Enrol Staff &amp; Exp'!L11</f>
        <v>2026</v>
      </c>
      <c r="M9" s="140">
        <f>'Enrol Staff &amp; Exp'!M11</f>
        <v>2027</v>
      </c>
      <c r="N9" s="159"/>
    </row>
    <row r="10" spans="1:14" outlineLevel="1">
      <c r="B10" s="950" t="s">
        <v>242</v>
      </c>
      <c r="C10" s="951"/>
      <c r="D10" s="951"/>
      <c r="E10" s="461" t="s">
        <v>304</v>
      </c>
      <c r="H10" s="180">
        <f>'Enrol Staff &amp; Exp'!H31</f>
        <v>325</v>
      </c>
      <c r="I10" s="180">
        <f>'Enrol Staff &amp; Exp'!I31</f>
        <v>425</v>
      </c>
      <c r="J10" s="180">
        <f>'Enrol Staff &amp; Exp'!J31</f>
        <v>550</v>
      </c>
      <c r="K10" s="180">
        <f>'Enrol Staff &amp; Exp'!K31</f>
        <v>675</v>
      </c>
      <c r="L10" s="180">
        <f>'Enrol Staff &amp; Exp'!L31</f>
        <v>800</v>
      </c>
      <c r="M10" s="180">
        <f>'Enrol Staff &amp; Exp'!M31</f>
        <v>975</v>
      </c>
      <c r="N10" s="159"/>
    </row>
    <row r="11" spans="1:14" outlineLevel="1">
      <c r="C11" s="130"/>
      <c r="E11" s="141" t="s">
        <v>374</v>
      </c>
      <c r="F11" s="141"/>
      <c r="G11" s="141"/>
      <c r="H11" s="636">
        <f>+H12/'Enrol Staff &amp; Exp'!H31</f>
        <v>77.003076923076918</v>
      </c>
      <c r="I11" s="636">
        <f>+I12/'Enrol Staff &amp; Exp'!I31</f>
        <v>58.884705882352939</v>
      </c>
      <c r="J11" s="636">
        <f>+J12/'Enrol Staff &amp; Exp'!J31</f>
        <v>45.50181818181818</v>
      </c>
      <c r="K11" s="636">
        <f>+K12/'Enrol Staff &amp; Exp'!K31</f>
        <v>37.075555555555553</v>
      </c>
      <c r="L11" s="636">
        <f>+L12/'Enrol Staff &amp; Exp'!L31</f>
        <v>31.282499999999999</v>
      </c>
      <c r="M11" s="636">
        <f>+M12/'Enrol Staff &amp; Exp'!M31</f>
        <v>25.667692307692306</v>
      </c>
      <c r="N11" s="159"/>
    </row>
    <row r="12" spans="1:14" outlineLevel="1">
      <c r="B12" s="130" t="s">
        <v>245</v>
      </c>
      <c r="C12" s="139" t="s">
        <v>218</v>
      </c>
      <c r="E12" s="141" t="s">
        <v>437</v>
      </c>
      <c r="F12" s="141"/>
      <c r="G12" s="141"/>
      <c r="H12" s="837">
        <v>25026</v>
      </c>
      <c r="I12" s="837">
        <v>25026</v>
      </c>
      <c r="J12" s="837">
        <v>25026</v>
      </c>
      <c r="K12" s="837">
        <v>25026</v>
      </c>
      <c r="L12" s="837">
        <v>25026</v>
      </c>
      <c r="M12" s="837">
        <v>25026</v>
      </c>
      <c r="N12" s="159"/>
    </row>
    <row r="13" spans="1:14" outlineLevel="1">
      <c r="B13" s="130"/>
      <c r="C13" s="917"/>
      <c r="E13" s="169" t="s">
        <v>870</v>
      </c>
      <c r="F13" s="169"/>
      <c r="G13" s="141"/>
      <c r="H13" s="838">
        <v>15.4</v>
      </c>
      <c r="I13" s="838">
        <f>481415/I12</f>
        <v>19.236593942300008</v>
      </c>
      <c r="J13" s="838">
        <f>545443/J12</f>
        <v>21.795053144729483</v>
      </c>
      <c r="K13" s="838">
        <f>612879/K12</f>
        <v>24.489690721649485</v>
      </c>
      <c r="L13" s="838">
        <f>631266/L12</f>
        <v>25.224406617118198</v>
      </c>
      <c r="M13" s="838">
        <f>650204/M12</f>
        <v>25.981139614800608</v>
      </c>
      <c r="N13" s="159"/>
    </row>
    <row r="14" spans="1:14" ht="15" outlineLevel="1">
      <c r="B14" s="130"/>
      <c r="C14" s="917"/>
      <c r="E14" s="161" t="s">
        <v>843</v>
      </c>
      <c r="F14" s="141"/>
      <c r="G14" s="141"/>
      <c r="H14" s="916">
        <v>0</v>
      </c>
      <c r="I14" s="916">
        <f>(I15-H15)/H15</f>
        <v>0.24912947677272776</v>
      </c>
      <c r="J14" s="916">
        <f t="shared" ref="J14:M14" si="0">(J15-I15)/I15</f>
        <v>0.13299959494407121</v>
      </c>
      <c r="K14" s="916">
        <f t="shared" si="0"/>
        <v>0.12363528361350308</v>
      </c>
      <c r="L14" s="916">
        <f t="shared" si="0"/>
        <v>3.0001027935367394E-2</v>
      </c>
      <c r="M14" s="916">
        <f t="shared" si="0"/>
        <v>3.000003168236523E-2</v>
      </c>
      <c r="N14" s="159"/>
    </row>
    <row r="15" spans="1:14" ht="15" outlineLevel="1">
      <c r="E15" s="161" t="s">
        <v>844</v>
      </c>
      <c r="F15" s="141"/>
      <c r="G15" s="141"/>
      <c r="H15" s="838">
        <f>+H13*(1+H14)</f>
        <v>15.4</v>
      </c>
      <c r="I15" s="838">
        <f>I13</f>
        <v>19.236593942300008</v>
      </c>
      <c r="J15" s="838">
        <f t="shared" ref="J15:M15" si="1">J13</f>
        <v>21.795053144729483</v>
      </c>
      <c r="K15" s="838">
        <f t="shared" si="1"/>
        <v>24.489690721649485</v>
      </c>
      <c r="L15" s="838">
        <f t="shared" si="1"/>
        <v>25.224406617118198</v>
      </c>
      <c r="M15" s="838">
        <f t="shared" si="1"/>
        <v>25.981139614800608</v>
      </c>
      <c r="N15" s="159"/>
    </row>
    <row r="16" spans="1:14" ht="15" outlineLevel="1">
      <c r="E16" s="161" t="s">
        <v>628</v>
      </c>
      <c r="F16" s="162"/>
      <c r="G16" s="162"/>
      <c r="H16" s="163">
        <f t="shared" ref="H16:M16" si="2">+H15/12</f>
        <v>1.2833333333333334</v>
      </c>
      <c r="I16" s="163">
        <f t="shared" si="2"/>
        <v>1.6030494951916674</v>
      </c>
      <c r="J16" s="163">
        <f t="shared" si="2"/>
        <v>1.8162544287274569</v>
      </c>
      <c r="K16" s="163">
        <f t="shared" si="2"/>
        <v>2.0408075601374569</v>
      </c>
      <c r="L16" s="163">
        <f t="shared" si="2"/>
        <v>2.1020338847598499</v>
      </c>
      <c r="M16" s="163">
        <f t="shared" si="2"/>
        <v>2.1650949679000506</v>
      </c>
      <c r="N16" s="159"/>
    </row>
    <row r="17" spans="2:15" ht="15" outlineLevel="1">
      <c r="E17" s="164" t="s">
        <v>647</v>
      </c>
      <c r="F17" s="668">
        <f>SUM(G17:M17)</f>
        <v>3306607.4</v>
      </c>
      <c r="G17" s="1162"/>
      <c r="H17" s="948">
        <f t="shared" ref="H17:M17" si="3">H12*(H15)</f>
        <v>385400.4</v>
      </c>
      <c r="I17" s="949">
        <f t="shared" si="3"/>
        <v>481415</v>
      </c>
      <c r="J17" s="949">
        <f t="shared" si="3"/>
        <v>545443</v>
      </c>
      <c r="K17" s="949">
        <f t="shared" si="3"/>
        <v>612879</v>
      </c>
      <c r="L17" s="949">
        <f t="shared" si="3"/>
        <v>631266</v>
      </c>
      <c r="M17" s="949">
        <f t="shared" si="3"/>
        <v>650204</v>
      </c>
      <c r="N17" s="159"/>
    </row>
    <row r="18" spans="2:15" outlineLevel="1">
      <c r="B18" s="141" t="s">
        <v>457</v>
      </c>
      <c r="C18" s="835">
        <v>1</v>
      </c>
      <c r="D18" s="361" t="s">
        <v>919</v>
      </c>
      <c r="E18" s="141" t="str">
        <f>+B18</f>
        <v>Custodial (Non CAM)</v>
      </c>
      <c r="F18" s="669">
        <f t="shared" ref="F18:F24" si="4">SUM(G18:M18)</f>
        <v>150156</v>
      </c>
      <c r="G18" s="1163"/>
      <c r="H18" s="949">
        <f t="shared" ref="H18:M18" si="5">H12*$C$18</f>
        <v>25026</v>
      </c>
      <c r="I18" s="949">
        <f t="shared" si="5"/>
        <v>25026</v>
      </c>
      <c r="J18" s="949">
        <f t="shared" si="5"/>
        <v>25026</v>
      </c>
      <c r="K18" s="949">
        <f t="shared" si="5"/>
        <v>25026</v>
      </c>
      <c r="L18" s="949">
        <f t="shared" si="5"/>
        <v>25026</v>
      </c>
      <c r="M18" s="949">
        <f t="shared" si="5"/>
        <v>25026</v>
      </c>
      <c r="N18" s="159"/>
    </row>
    <row r="19" spans="2:15" outlineLevel="1">
      <c r="B19" s="168" t="s">
        <v>254</v>
      </c>
      <c r="C19" s="835">
        <v>2</v>
      </c>
      <c r="D19" s="361" t="s">
        <v>919</v>
      </c>
      <c r="E19" s="141" t="str">
        <f>+B19</f>
        <v>Utilities</v>
      </c>
      <c r="F19" s="669">
        <f t="shared" si="4"/>
        <v>300312</v>
      </c>
      <c r="G19" s="1163">
        <v>0</v>
      </c>
      <c r="H19" s="949">
        <f t="shared" ref="H19:M19" si="6">H12*$C$19</f>
        <v>50052</v>
      </c>
      <c r="I19" s="949">
        <f t="shared" si="6"/>
        <v>50052</v>
      </c>
      <c r="J19" s="949">
        <f t="shared" si="6"/>
        <v>50052</v>
      </c>
      <c r="K19" s="949">
        <f t="shared" si="6"/>
        <v>50052</v>
      </c>
      <c r="L19" s="949">
        <f t="shared" si="6"/>
        <v>50052</v>
      </c>
      <c r="M19" s="949">
        <f t="shared" si="6"/>
        <v>50052</v>
      </c>
      <c r="N19" s="165"/>
      <c r="O19" s="166"/>
    </row>
    <row r="20" spans="2:15" outlineLevel="1">
      <c r="B20" s="168" t="s">
        <v>456</v>
      </c>
      <c r="C20" s="835">
        <v>0</v>
      </c>
      <c r="D20" s="361" t="s">
        <v>919</v>
      </c>
      <c r="E20" s="141" t="str">
        <f>+B20</f>
        <v>CAM (Common Area Maintenance &amp; Other)</v>
      </c>
      <c r="F20" s="669">
        <f t="shared" si="4"/>
        <v>0</v>
      </c>
      <c r="G20" s="1163"/>
      <c r="H20" s="949">
        <f t="shared" ref="H20:M20" si="7">H12*$C20</f>
        <v>0</v>
      </c>
      <c r="I20" s="949">
        <f t="shared" si="7"/>
        <v>0</v>
      </c>
      <c r="J20" s="949">
        <f t="shared" si="7"/>
        <v>0</v>
      </c>
      <c r="K20" s="949">
        <f t="shared" si="7"/>
        <v>0</v>
      </c>
      <c r="L20" s="949">
        <f t="shared" si="7"/>
        <v>0</v>
      </c>
      <c r="M20" s="949">
        <f t="shared" si="7"/>
        <v>0</v>
      </c>
      <c r="N20" s="159"/>
      <c r="O20" s="167"/>
    </row>
    <row r="21" spans="2:15" outlineLevel="1">
      <c r="B21" s="168" t="s">
        <v>645</v>
      </c>
      <c r="C21" s="612">
        <v>0</v>
      </c>
      <c r="D21" s="361" t="s">
        <v>646</v>
      </c>
      <c r="E21" s="141" t="str">
        <f>+B21</f>
        <v>Campus security</v>
      </c>
      <c r="F21" s="669">
        <f t="shared" si="4"/>
        <v>0</v>
      </c>
      <c r="G21" s="1163"/>
      <c r="H21" s="949">
        <f t="shared" ref="H21:M21" si="8">+$C$21</f>
        <v>0</v>
      </c>
      <c r="I21" s="949">
        <f t="shared" si="8"/>
        <v>0</v>
      </c>
      <c r="J21" s="949">
        <f t="shared" si="8"/>
        <v>0</v>
      </c>
      <c r="K21" s="949">
        <f t="shared" si="8"/>
        <v>0</v>
      </c>
      <c r="L21" s="949">
        <f t="shared" si="8"/>
        <v>0</v>
      </c>
      <c r="M21" s="949">
        <f t="shared" si="8"/>
        <v>0</v>
      </c>
      <c r="N21" s="159"/>
      <c r="O21" s="167"/>
    </row>
    <row r="22" spans="2:15" outlineLevel="1">
      <c r="B22" s="141" t="s">
        <v>644</v>
      </c>
      <c r="C22" s="80">
        <v>1</v>
      </c>
      <c r="E22" s="169" t="str">
        <f>+B22</f>
        <v>Security Deposit(s)(post to Cashflow ("CF Y1 Mo" tab)</v>
      </c>
      <c r="F22" s="669">
        <f t="shared" si="4"/>
        <v>150000</v>
      </c>
      <c r="G22" s="1163">
        <v>0</v>
      </c>
      <c r="H22" s="1164">
        <v>100000</v>
      </c>
      <c r="I22" s="1165">
        <v>50000</v>
      </c>
      <c r="J22" s="1165">
        <v>0</v>
      </c>
      <c r="K22" s="1165">
        <v>0</v>
      </c>
      <c r="L22" s="1165">
        <v>0</v>
      </c>
      <c r="M22" s="1165">
        <v>0</v>
      </c>
      <c r="N22" s="159"/>
    </row>
    <row r="23" spans="2:15" outlineLevel="1">
      <c r="C23" s="911"/>
      <c r="E23" s="912" t="s">
        <v>438</v>
      </c>
      <c r="F23" s="669"/>
      <c r="G23" s="1163">
        <v>0</v>
      </c>
      <c r="H23" s="1164">
        <v>0</v>
      </c>
      <c r="I23" s="1165"/>
      <c r="J23" s="1165"/>
      <c r="K23" s="1165"/>
      <c r="L23" s="1165"/>
      <c r="M23" s="1165"/>
      <c r="N23" s="159"/>
    </row>
    <row r="24" spans="2:15" outlineLevel="1">
      <c r="C24" s="150"/>
      <c r="E24" s="912" t="s">
        <v>517</v>
      </c>
      <c r="F24" s="669">
        <f t="shared" si="4"/>
        <v>0</v>
      </c>
      <c r="G24" s="1164">
        <f>G23/15</f>
        <v>0</v>
      </c>
      <c r="H24" s="1164">
        <f t="shared" ref="H24:M24" si="9">G24+(H23/15)</f>
        <v>0</v>
      </c>
      <c r="I24" s="1165">
        <f t="shared" si="9"/>
        <v>0</v>
      </c>
      <c r="J24" s="1165">
        <f t="shared" si="9"/>
        <v>0</v>
      </c>
      <c r="K24" s="1165">
        <f t="shared" si="9"/>
        <v>0</v>
      </c>
      <c r="L24" s="1165">
        <f t="shared" si="9"/>
        <v>0</v>
      </c>
      <c r="M24" s="1165">
        <f t="shared" si="9"/>
        <v>0</v>
      </c>
      <c r="N24" s="159"/>
    </row>
    <row r="25" spans="2:15" outlineLevel="1">
      <c r="B25" s="150"/>
      <c r="C25" s="170" t="s">
        <v>518</v>
      </c>
      <c r="E25" s="130"/>
      <c r="F25" s="130"/>
      <c r="G25" s="1277">
        <f t="shared" ref="G25" si="10">SUM(G17:G24)</f>
        <v>0</v>
      </c>
      <c r="H25" s="1277">
        <f>SUM(H17:H23)</f>
        <v>560478.4</v>
      </c>
      <c r="I25" s="1277">
        <f t="shared" ref="I25:M25" si="11">SUM(I17:I23)</f>
        <v>606493</v>
      </c>
      <c r="J25" s="1277">
        <f t="shared" si="11"/>
        <v>620521</v>
      </c>
      <c r="K25" s="1277">
        <f t="shared" si="11"/>
        <v>687957</v>
      </c>
      <c r="L25" s="1277">
        <f t="shared" si="11"/>
        <v>706344</v>
      </c>
      <c r="M25" s="1277">
        <f t="shared" si="11"/>
        <v>725282</v>
      </c>
      <c r="N25" s="159"/>
    </row>
    <row r="26" spans="2:15" outlineLevel="1">
      <c r="B26" s="150"/>
      <c r="C26" s="170" t="s">
        <v>547</v>
      </c>
      <c r="E26" s="130"/>
      <c r="F26" s="130"/>
      <c r="G26" s="1278">
        <f>SUM(G17:G22)+G24</f>
        <v>0</v>
      </c>
      <c r="H26" s="1278">
        <f>SUM(H17:H22)+H24</f>
        <v>560478.4</v>
      </c>
      <c r="I26" s="1278">
        <f>SUM(I17:I22)+I24</f>
        <v>606493</v>
      </c>
      <c r="J26" s="1278">
        <f>SUM(J17:J22)+J24</f>
        <v>620521</v>
      </c>
      <c r="K26" s="1278">
        <f t="shared" ref="K26:M26" si="12">SUM(K17:K22)+K24</f>
        <v>687957</v>
      </c>
      <c r="L26" s="1278">
        <f t="shared" si="12"/>
        <v>706344</v>
      </c>
      <c r="M26" s="1278">
        <f t="shared" si="12"/>
        <v>725282</v>
      </c>
      <c r="N26" s="159"/>
    </row>
    <row r="27" spans="2:15" s="130" customFormat="1" outlineLevel="1">
      <c r="B27" s="134"/>
      <c r="G27" s="948">
        <f>+G26-G25</f>
        <v>0</v>
      </c>
      <c r="H27" s="948">
        <f>+H26-H25</f>
        <v>0</v>
      </c>
      <c r="I27" s="948">
        <f t="shared" ref="I27:M27" si="13">+I26-I25</f>
        <v>0</v>
      </c>
      <c r="J27" s="948">
        <f t="shared" si="13"/>
        <v>0</v>
      </c>
      <c r="K27" s="948">
        <f t="shared" si="13"/>
        <v>0</v>
      </c>
      <c r="L27" s="948">
        <f t="shared" si="13"/>
        <v>0</v>
      </c>
      <c r="M27" s="948">
        <f t="shared" si="13"/>
        <v>0</v>
      </c>
      <c r="N27" s="171"/>
    </row>
    <row r="28" spans="2:15" s="130" customFormat="1" outlineLevel="1">
      <c r="B28" s="134"/>
      <c r="C28" s="134"/>
      <c r="N28" s="171"/>
    </row>
    <row r="29" spans="2:15" s="130" customFormat="1" outlineLevel="1">
      <c r="B29" s="168" t="s">
        <v>467</v>
      </c>
      <c r="C29" s="134" t="s">
        <v>468</v>
      </c>
      <c r="H29" s="172"/>
      <c r="I29" s="172"/>
      <c r="J29" s="172"/>
      <c r="K29" s="172"/>
      <c r="L29" s="172"/>
      <c r="M29" s="172"/>
      <c r="N29" s="171"/>
    </row>
    <row r="30" spans="2:15" s="130" customFormat="1" outlineLevel="1">
      <c r="B30" s="170" t="s">
        <v>469</v>
      </c>
      <c r="C30" s="134"/>
      <c r="H30" s="172"/>
      <c r="I30" s="172"/>
      <c r="J30" s="172"/>
      <c r="K30" s="172"/>
      <c r="L30" s="172"/>
      <c r="M30" s="172"/>
      <c r="N30" s="171"/>
    </row>
    <row r="31" spans="2:15" s="130" customFormat="1" outlineLevel="1">
      <c r="B31" s="170"/>
      <c r="C31" s="134"/>
      <c r="H31" s="172"/>
      <c r="I31" s="172"/>
      <c r="J31" s="172"/>
      <c r="K31" s="172"/>
      <c r="L31" s="172"/>
      <c r="M31" s="172"/>
      <c r="N31" s="171"/>
    </row>
    <row r="32" spans="2:15" ht="15" customHeight="1" outlineLevel="1">
      <c r="B32" s="950" t="s">
        <v>243</v>
      </c>
      <c r="C32" s="952"/>
      <c r="D32" s="951"/>
      <c r="E32" s="461"/>
      <c r="H32" s="174"/>
      <c r="I32" s="175"/>
      <c r="J32" s="175"/>
      <c r="K32" s="175"/>
      <c r="L32" s="175"/>
      <c r="M32" s="175"/>
      <c r="N32" s="159"/>
    </row>
    <row r="33" spans="2:14" ht="15" customHeight="1" outlineLevel="1">
      <c r="B33" s="130"/>
      <c r="C33" s="173"/>
      <c r="H33" s="174"/>
      <c r="I33" s="175"/>
      <c r="J33" s="175"/>
      <c r="K33" s="175"/>
      <c r="L33" s="175"/>
      <c r="M33" s="175"/>
      <c r="N33" s="159"/>
    </row>
    <row r="34" spans="2:14" ht="15" customHeight="1" outlineLevel="1">
      <c r="B34" s="141" t="s">
        <v>244</v>
      </c>
      <c r="C34" s="1166">
        <v>0</v>
      </c>
      <c r="E34" s="141"/>
      <c r="F34" s="141"/>
      <c r="G34" s="141"/>
      <c r="H34" s="162"/>
      <c r="N34" s="159"/>
    </row>
    <row r="35" spans="2:14" ht="15" customHeight="1" outlineLevel="1">
      <c r="C35" s="130"/>
      <c r="E35" s="141"/>
      <c r="F35" s="141"/>
      <c r="G35" s="141"/>
      <c r="H35" s="162"/>
      <c r="N35" s="159"/>
    </row>
    <row r="36" spans="2:14" ht="15" customHeight="1" outlineLevel="1">
      <c r="B36" s="141" t="s">
        <v>246</v>
      </c>
      <c r="C36" s="835">
        <v>0</v>
      </c>
      <c r="D36" s="141" t="s">
        <v>218</v>
      </c>
      <c r="H36" s="162"/>
      <c r="I36" s="176"/>
      <c r="J36" s="176"/>
      <c r="K36" s="176"/>
      <c r="L36" s="176"/>
      <c r="M36" s="176"/>
      <c r="N36" s="159"/>
    </row>
    <row r="37" spans="2:14" ht="15" customHeight="1" outlineLevel="1">
      <c r="C37" s="130"/>
      <c r="E37" s="141"/>
      <c r="F37" s="141"/>
      <c r="G37" s="141"/>
      <c r="H37" s="162"/>
      <c r="N37" s="159"/>
    </row>
    <row r="38" spans="2:14" ht="15" customHeight="1" outlineLevel="1">
      <c r="B38" s="141" t="s">
        <v>247</v>
      </c>
      <c r="C38" s="166">
        <f>C34*C36</f>
        <v>0</v>
      </c>
      <c r="E38" s="141"/>
      <c r="F38" s="141"/>
      <c r="G38" s="141"/>
      <c r="H38" s="162"/>
      <c r="N38" s="159"/>
    </row>
    <row r="39" spans="2:14" ht="15" customHeight="1" outlineLevel="1">
      <c r="C39" s="130"/>
      <c r="E39" s="141"/>
      <c r="F39" s="141"/>
      <c r="G39" s="141"/>
      <c r="H39" s="162"/>
      <c r="N39" s="159"/>
    </row>
    <row r="40" spans="2:14" ht="15" customHeight="1" outlineLevel="1">
      <c r="B40" s="141" t="s">
        <v>248</v>
      </c>
      <c r="C40" s="835">
        <v>0</v>
      </c>
      <c r="D40" s="141" t="s">
        <v>218</v>
      </c>
      <c r="E40" s="141"/>
      <c r="F40" s="141"/>
      <c r="G40" s="141"/>
      <c r="H40" s="162"/>
      <c r="N40" s="159"/>
    </row>
    <row r="41" spans="2:14" ht="15" customHeight="1" outlineLevel="1">
      <c r="C41" s="177"/>
      <c r="E41" s="141"/>
      <c r="F41" s="141"/>
      <c r="G41" s="141"/>
      <c r="H41" s="162"/>
      <c r="N41" s="159"/>
    </row>
    <row r="42" spans="2:14" ht="15" customHeight="1" outlineLevel="1">
      <c r="B42" s="141" t="s">
        <v>249</v>
      </c>
      <c r="C42" s="166">
        <f>C34*C40</f>
        <v>0</v>
      </c>
      <c r="E42" s="141"/>
      <c r="F42" s="141"/>
      <c r="G42" s="141"/>
      <c r="H42" s="162"/>
      <c r="N42" s="159"/>
    </row>
    <row r="43" spans="2:14" ht="15" customHeight="1" outlineLevel="1">
      <c r="C43" s="177"/>
      <c r="E43" s="141"/>
      <c r="F43" s="141"/>
      <c r="G43" s="141"/>
      <c r="H43" s="162"/>
      <c r="N43" s="159"/>
    </row>
    <row r="44" spans="2:14" ht="15" customHeight="1" outlineLevel="1">
      <c r="B44" s="130" t="s">
        <v>250</v>
      </c>
      <c r="C44" s="178">
        <f>C38+C42</f>
        <v>0</v>
      </c>
      <c r="E44" s="141"/>
      <c r="F44" s="141"/>
      <c r="G44" s="141"/>
      <c r="N44" s="159"/>
    </row>
    <row r="45" spans="2:14" ht="15" customHeight="1" outlineLevel="1">
      <c r="C45" s="178"/>
      <c r="E45" s="141"/>
      <c r="F45" s="141"/>
      <c r="G45" s="141"/>
      <c r="N45" s="159"/>
    </row>
    <row r="46" spans="2:14" ht="15" customHeight="1" outlineLevel="1">
      <c r="B46" s="168" t="s">
        <v>143</v>
      </c>
      <c r="C46" s="1167">
        <v>0</v>
      </c>
      <c r="D46" s="141" t="s">
        <v>84</v>
      </c>
      <c r="E46" s="141"/>
      <c r="F46" s="141"/>
      <c r="G46" s="141"/>
      <c r="N46" s="159"/>
    </row>
    <row r="47" spans="2:14" ht="15" customHeight="1" outlineLevel="1">
      <c r="C47" s="130"/>
      <c r="E47" s="141"/>
      <c r="F47" s="141"/>
      <c r="G47" s="141"/>
      <c r="N47" s="159"/>
    </row>
    <row r="48" spans="2:14" ht="15" customHeight="1" outlineLevel="1">
      <c r="B48" s="168" t="s">
        <v>85</v>
      </c>
      <c r="C48" s="142">
        <f>C44*(1-C46)</f>
        <v>0</v>
      </c>
      <c r="E48" s="141"/>
      <c r="F48" s="141"/>
      <c r="G48" s="141"/>
      <c r="N48" s="159"/>
    </row>
    <row r="49" spans="2:14" ht="15" customHeight="1" outlineLevel="1">
      <c r="B49" s="141" t="s">
        <v>76</v>
      </c>
      <c r="C49" s="1168">
        <v>0</v>
      </c>
      <c r="D49" s="160"/>
      <c r="E49" s="141"/>
      <c r="F49" s="141"/>
      <c r="G49" s="141"/>
      <c r="N49" s="159"/>
    </row>
    <row r="50" spans="2:14" ht="15" customHeight="1" outlineLevel="1">
      <c r="B50" s="168" t="s">
        <v>482</v>
      </c>
      <c r="C50" s="1168"/>
      <c r="D50" s="160"/>
      <c r="E50" s="141"/>
      <c r="F50" s="141"/>
      <c r="G50" s="141"/>
      <c r="N50" s="159"/>
    </row>
    <row r="51" spans="2:14" ht="15" customHeight="1" outlineLevel="1">
      <c r="B51" s="141" t="s">
        <v>32</v>
      </c>
      <c r="C51" s="1167">
        <v>0</v>
      </c>
      <c r="E51" s="141"/>
      <c r="F51" s="141"/>
      <c r="G51" s="141"/>
      <c r="N51" s="159"/>
    </row>
    <row r="52" spans="2:14" ht="15" customHeight="1" outlineLevel="1">
      <c r="C52" s="130"/>
      <c r="E52" s="141"/>
      <c r="F52" s="141"/>
      <c r="G52" s="141"/>
      <c r="I52" s="160"/>
      <c r="J52" s="160"/>
      <c r="K52" s="160"/>
      <c r="L52" s="160"/>
      <c r="M52" s="160"/>
      <c r="N52" s="159"/>
    </row>
    <row r="53" spans="2:14" ht="15" customHeight="1" outlineLevel="1">
      <c r="B53" s="141" t="s">
        <v>33</v>
      </c>
      <c r="C53" s="839">
        <f>IFERROR(-PMT(C51/12,C49*12,C48,0,1),0)</f>
        <v>0</v>
      </c>
      <c r="E53" s="141"/>
      <c r="F53" s="141"/>
      <c r="G53" s="141"/>
      <c r="I53" s="160"/>
      <c r="J53" s="160"/>
      <c r="K53" s="160"/>
      <c r="L53" s="160"/>
      <c r="M53" s="160"/>
      <c r="N53" s="159"/>
    </row>
    <row r="54" spans="2:14" ht="15" customHeight="1" outlineLevel="1">
      <c r="B54" s="141" t="s">
        <v>34</v>
      </c>
      <c r="C54" s="142">
        <f>C53*12</f>
        <v>0</v>
      </c>
      <c r="D54" s="143"/>
      <c r="E54" s="143"/>
      <c r="F54" s="143"/>
      <c r="G54" s="143"/>
      <c r="H54" s="989">
        <f>+C54</f>
        <v>0</v>
      </c>
      <c r="I54" s="989">
        <f>IF(I8-$H$8&lt;$C$49,$C$54,0)</f>
        <v>0</v>
      </c>
      <c r="J54" s="989">
        <f>IF(J8-$H$8&lt;$C$49,$C$54,0)</f>
        <v>0</v>
      </c>
      <c r="K54" s="989">
        <f>IF(K8-$H$8&lt;$C$49,$C$54,0)</f>
        <v>0</v>
      </c>
      <c r="L54" s="989">
        <f>IF(L8-$H$8&lt;$C$49,$C$54,0)</f>
        <v>0</v>
      </c>
      <c r="M54" s="989">
        <f>IF(M8-$H$8&lt;$C$49,$C$54,0)</f>
        <v>0</v>
      </c>
      <c r="N54" s="159"/>
    </row>
    <row r="55" spans="2:14" ht="15" customHeight="1" outlineLevel="1">
      <c r="B55" s="141" t="s">
        <v>520</v>
      </c>
      <c r="C55" s="142" t="e">
        <f>(-PV(0.02,C49,0,((C54*C49)-C48),0))/C49</f>
        <v>#DIV/0!</v>
      </c>
      <c r="D55" s="143"/>
      <c r="E55" s="143"/>
      <c r="F55" s="143"/>
      <c r="G55" s="143"/>
      <c r="H55" s="991" t="e">
        <f>$C$55</f>
        <v>#DIV/0!</v>
      </c>
      <c r="I55" s="990">
        <f>IF(I8-$H$8&lt;$C$49,$C$55,0)</f>
        <v>0</v>
      </c>
      <c r="J55" s="990">
        <f>IF(J8-$H$8&lt;$C$49,$C$55,0)</f>
        <v>0</v>
      </c>
      <c r="K55" s="990">
        <f>IF(K8-$H$8&lt;$C$49,$C$55,0)</f>
        <v>0</v>
      </c>
      <c r="L55" s="990">
        <f>IF(L8-$H$8&lt;$C$49,$C$55,0)</f>
        <v>0</v>
      </c>
      <c r="M55" s="990">
        <f>IF(M8-$H$8&lt;$C$49,$C$55,0)</f>
        <v>0</v>
      </c>
      <c r="N55" s="159"/>
    </row>
    <row r="56" spans="2:14" ht="15" customHeight="1" outlineLevel="1">
      <c r="B56" s="141" t="s">
        <v>521</v>
      </c>
      <c r="E56" s="141"/>
      <c r="F56" s="141"/>
      <c r="G56" s="141"/>
      <c r="H56" s="179"/>
      <c r="I56" s="180"/>
      <c r="J56" s="180"/>
      <c r="K56" s="180"/>
      <c r="L56" s="180"/>
      <c r="M56" s="180"/>
      <c r="N56" s="159"/>
    </row>
    <row r="57" spans="2:14" ht="15" customHeight="1" outlineLevel="1">
      <c r="B57" s="141" t="s">
        <v>255</v>
      </c>
      <c r="C57" s="835">
        <v>0</v>
      </c>
      <c r="D57" s="141" t="s">
        <v>218</v>
      </c>
      <c r="E57" s="141"/>
      <c r="F57" s="141"/>
      <c r="G57" s="141"/>
      <c r="H57" s="180">
        <f t="shared" ref="H57:M57" si="14">$C$57*$C$34</f>
        <v>0</v>
      </c>
      <c r="I57" s="180">
        <f t="shared" si="14"/>
        <v>0</v>
      </c>
      <c r="J57" s="180">
        <f t="shared" si="14"/>
        <v>0</v>
      </c>
      <c r="K57" s="180">
        <f t="shared" si="14"/>
        <v>0</v>
      </c>
      <c r="L57" s="180">
        <f t="shared" si="14"/>
        <v>0</v>
      </c>
      <c r="M57" s="180">
        <f t="shared" si="14"/>
        <v>0</v>
      </c>
      <c r="N57" s="159"/>
    </row>
    <row r="58" spans="2:14" ht="15" customHeight="1" outlineLevel="1">
      <c r="B58" s="168" t="s">
        <v>254</v>
      </c>
      <c r="C58" s="835">
        <v>0</v>
      </c>
      <c r="D58" s="141" t="s">
        <v>218</v>
      </c>
      <c r="E58" s="141"/>
      <c r="F58" s="141"/>
      <c r="G58" s="141"/>
      <c r="H58" s="180">
        <f t="shared" ref="H58:M58" si="15">$C$58*$C$34</f>
        <v>0</v>
      </c>
      <c r="I58" s="180">
        <f t="shared" si="15"/>
        <v>0</v>
      </c>
      <c r="J58" s="180">
        <f t="shared" si="15"/>
        <v>0</v>
      </c>
      <c r="K58" s="180">
        <f t="shared" si="15"/>
        <v>0</v>
      </c>
      <c r="L58" s="180">
        <f t="shared" si="15"/>
        <v>0</v>
      </c>
      <c r="M58" s="180">
        <f t="shared" si="15"/>
        <v>0</v>
      </c>
      <c r="N58" s="159"/>
    </row>
    <row r="59" spans="2:14" ht="15" customHeight="1" outlineLevel="1">
      <c r="B59" s="168" t="s">
        <v>763</v>
      </c>
      <c r="C59" s="835">
        <v>0</v>
      </c>
      <c r="D59" s="141" t="s">
        <v>218</v>
      </c>
      <c r="E59" s="141"/>
      <c r="F59" s="141"/>
      <c r="G59" s="141"/>
      <c r="H59" s="180">
        <f t="shared" ref="H59:M59" si="16">$C$59*$C$34</f>
        <v>0</v>
      </c>
      <c r="I59" s="180">
        <f t="shared" si="16"/>
        <v>0</v>
      </c>
      <c r="J59" s="180">
        <f t="shared" si="16"/>
        <v>0</v>
      </c>
      <c r="K59" s="180">
        <f t="shared" si="16"/>
        <v>0</v>
      </c>
      <c r="L59" s="180">
        <f t="shared" si="16"/>
        <v>0</v>
      </c>
      <c r="M59" s="180">
        <f t="shared" si="16"/>
        <v>0</v>
      </c>
      <c r="N59" s="159"/>
    </row>
    <row r="60" spans="2:14" ht="15" customHeight="1" outlineLevel="1">
      <c r="B60" s="168" t="s">
        <v>645</v>
      </c>
      <c r="C60" s="835">
        <v>0</v>
      </c>
      <c r="D60" s="141" t="s">
        <v>45</v>
      </c>
      <c r="E60" s="141"/>
      <c r="F60" s="141"/>
      <c r="G60" s="141"/>
      <c r="H60" s="180">
        <f t="shared" ref="H60:M60" si="17">$C$60</f>
        <v>0</v>
      </c>
      <c r="I60" s="180">
        <f t="shared" si="17"/>
        <v>0</v>
      </c>
      <c r="J60" s="180">
        <f t="shared" si="17"/>
        <v>0</v>
      </c>
      <c r="K60" s="180">
        <f t="shared" si="17"/>
        <v>0</v>
      </c>
      <c r="L60" s="180">
        <f t="shared" si="17"/>
        <v>0</v>
      </c>
      <c r="M60" s="180">
        <f t="shared" si="17"/>
        <v>0</v>
      </c>
      <c r="N60" s="159"/>
    </row>
    <row r="61" spans="2:14" ht="15" customHeight="1" outlineLevel="1">
      <c r="B61" s="141" t="s">
        <v>251</v>
      </c>
      <c r="E61" s="141"/>
      <c r="F61" s="141"/>
      <c r="G61" s="141"/>
      <c r="H61" s="180">
        <f>C38*C46</f>
        <v>0</v>
      </c>
      <c r="I61" s="180"/>
      <c r="J61" s="180"/>
      <c r="K61" s="180"/>
      <c r="L61" s="180"/>
      <c r="M61" s="180"/>
      <c r="N61" s="159"/>
    </row>
    <row r="62" spans="2:14" ht="15" customHeight="1" outlineLevel="1">
      <c r="B62" s="141" t="s">
        <v>252</v>
      </c>
      <c r="E62" s="141"/>
      <c r="F62" s="141"/>
      <c r="G62" s="141"/>
      <c r="H62" s="180"/>
      <c r="I62" s="180"/>
      <c r="J62" s="180"/>
      <c r="K62" s="180"/>
      <c r="L62" s="180"/>
      <c r="M62" s="180"/>
      <c r="N62" s="159"/>
    </row>
    <row r="63" spans="2:14" ht="15" customHeight="1" outlineLevel="1">
      <c r="B63" s="181" t="s">
        <v>519</v>
      </c>
      <c r="C63" s="181"/>
      <c r="D63" s="181"/>
      <c r="E63" s="181"/>
      <c r="F63" s="181"/>
      <c r="G63" s="670"/>
      <c r="H63" s="182" t="e">
        <f t="shared" ref="H63:M63" si="18">SUM(H54:H62)-H55</f>
        <v>#DIV/0!</v>
      </c>
      <c r="I63" s="182">
        <f t="shared" si="18"/>
        <v>0</v>
      </c>
      <c r="J63" s="182">
        <f t="shared" si="18"/>
        <v>0</v>
      </c>
      <c r="K63" s="182">
        <f t="shared" si="18"/>
        <v>0</v>
      </c>
      <c r="L63" s="182">
        <f t="shared" si="18"/>
        <v>0</v>
      </c>
      <c r="M63" s="182">
        <f t="shared" si="18"/>
        <v>0</v>
      </c>
      <c r="N63" s="159"/>
    </row>
    <row r="64" spans="2:14" ht="15" customHeight="1" outlineLevel="1">
      <c r="B64" s="462" t="s">
        <v>549</v>
      </c>
      <c r="C64" s="462"/>
      <c r="D64" s="462"/>
      <c r="E64" s="462"/>
      <c r="F64" s="462"/>
      <c r="G64" s="671"/>
      <c r="H64" s="463">
        <f>(($C$38+$C$42)/50)+H57+H58+H59+H60</f>
        <v>0</v>
      </c>
      <c r="I64" s="463">
        <f t="shared" ref="I64:M64" si="19">(($C$38+$C$42)/50)+I57+I58+I59+I60</f>
        <v>0</v>
      </c>
      <c r="J64" s="463">
        <f t="shared" si="19"/>
        <v>0</v>
      </c>
      <c r="K64" s="463">
        <f t="shared" si="19"/>
        <v>0</v>
      </c>
      <c r="L64" s="463">
        <f t="shared" si="19"/>
        <v>0</v>
      </c>
      <c r="M64" s="463">
        <f t="shared" si="19"/>
        <v>0</v>
      </c>
      <c r="N64" s="159"/>
    </row>
    <row r="65" spans="2:14" ht="15" outlineLevel="1" thickBot="1">
      <c r="E65" s="141"/>
      <c r="F65" s="141"/>
      <c r="G65" s="141"/>
      <c r="I65" s="183"/>
      <c r="J65" s="183"/>
      <c r="K65" s="183"/>
      <c r="L65" s="183"/>
      <c r="M65" s="183"/>
      <c r="N65" s="159"/>
    </row>
    <row r="66" spans="2:14" ht="15" outlineLevel="1" thickBot="1">
      <c r="B66" s="144" t="s">
        <v>522</v>
      </c>
      <c r="C66" s="184"/>
      <c r="D66" s="184"/>
      <c r="E66" s="778">
        <f>SUM(G66:M66)</f>
        <v>3907075.4</v>
      </c>
      <c r="F66" s="185"/>
      <c r="G66" s="145">
        <f>IF($C$8="Lease",G25,G63)</f>
        <v>0</v>
      </c>
      <c r="H66" s="145">
        <f t="shared" ref="H66:M66" si="20">IF($C$8="Lease",H25,H63)</f>
        <v>560478.4</v>
      </c>
      <c r="I66" s="145">
        <f t="shared" si="20"/>
        <v>606493</v>
      </c>
      <c r="J66" s="145">
        <f t="shared" si="20"/>
        <v>620521</v>
      </c>
      <c r="K66" s="145">
        <f t="shared" si="20"/>
        <v>687957</v>
      </c>
      <c r="L66" s="145">
        <f t="shared" si="20"/>
        <v>706344</v>
      </c>
      <c r="M66" s="145">
        <f t="shared" si="20"/>
        <v>725282</v>
      </c>
      <c r="N66" s="159"/>
    </row>
    <row r="67" spans="2:14" ht="15" outlineLevel="1" thickBot="1">
      <c r="B67" s="144" t="s">
        <v>548</v>
      </c>
      <c r="C67" s="184"/>
      <c r="D67" s="184"/>
      <c r="E67" s="778">
        <f>SUM(G67:M67)</f>
        <v>3907075.4</v>
      </c>
      <c r="F67" s="185"/>
      <c r="G67" s="959">
        <f>IF($C$8="Lease",G26,G64)</f>
        <v>0</v>
      </c>
      <c r="H67" s="959">
        <f>IF($C$8="Lease",H26,H64)</f>
        <v>560478.4</v>
      </c>
      <c r="I67" s="145">
        <f t="shared" ref="I67:M67" si="21">IF($C$8="Lease",I26,I64)</f>
        <v>606493</v>
      </c>
      <c r="J67" s="145">
        <f t="shared" si="21"/>
        <v>620521</v>
      </c>
      <c r="K67" s="145">
        <f t="shared" si="21"/>
        <v>687957</v>
      </c>
      <c r="L67" s="145">
        <f t="shared" si="21"/>
        <v>706344</v>
      </c>
      <c r="M67" s="145">
        <f t="shared" si="21"/>
        <v>725282</v>
      </c>
      <c r="N67" s="159"/>
    </row>
    <row r="68" spans="2:14" ht="15" thickBot="1">
      <c r="B68" s="769" t="str">
        <f>IF(C8="Lease",$C$26,B67)</f>
        <v>Total lease book expense</v>
      </c>
      <c r="C68" s="770"/>
      <c r="D68" s="770"/>
      <c r="E68" s="960">
        <f>SUM(G68:M68)</f>
        <v>3907075.4</v>
      </c>
      <c r="F68" s="770"/>
      <c r="G68" s="771">
        <f t="shared" ref="G68:M68" si="22">IF($C$8="Lease",G26,G64)</f>
        <v>0</v>
      </c>
      <c r="H68" s="771">
        <f t="shared" si="22"/>
        <v>560478.4</v>
      </c>
      <c r="I68" s="771">
        <f t="shared" si="22"/>
        <v>606493</v>
      </c>
      <c r="J68" s="771">
        <f t="shared" si="22"/>
        <v>620521</v>
      </c>
      <c r="K68" s="771">
        <f t="shared" si="22"/>
        <v>687957</v>
      </c>
      <c r="L68" s="771">
        <f t="shared" si="22"/>
        <v>706344</v>
      </c>
      <c r="M68" s="771">
        <f t="shared" si="22"/>
        <v>725282</v>
      </c>
      <c r="N68" s="159"/>
    </row>
    <row r="69" spans="2:14">
      <c r="B69" s="141" t="s">
        <v>460</v>
      </c>
      <c r="G69" s="772">
        <f t="shared" ref="G69:M69" si="23">+G68-G66</f>
        <v>0</v>
      </c>
      <c r="H69" s="772">
        <f t="shared" si="23"/>
        <v>0</v>
      </c>
      <c r="I69" s="772">
        <f t="shared" si="23"/>
        <v>0</v>
      </c>
      <c r="J69" s="772">
        <f t="shared" si="23"/>
        <v>0</v>
      </c>
      <c r="K69" s="772">
        <f t="shared" si="23"/>
        <v>0</v>
      </c>
      <c r="L69" s="772">
        <f t="shared" si="23"/>
        <v>0</v>
      </c>
      <c r="M69" s="772">
        <f t="shared" si="23"/>
        <v>0</v>
      </c>
    </row>
    <row r="72" spans="2:14">
      <c r="B72" s="958" t="s">
        <v>761</v>
      </c>
      <c r="C72" s="958"/>
      <c r="D72" s="958"/>
      <c r="E72" s="958"/>
      <c r="F72" s="958"/>
      <c r="G72" s="958" t="s">
        <v>717</v>
      </c>
      <c r="H72" s="958" t="s">
        <v>401</v>
      </c>
      <c r="I72" s="958" t="s">
        <v>402</v>
      </c>
      <c r="J72" s="958" t="s">
        <v>403</v>
      </c>
      <c r="K72" s="958" t="s">
        <v>404</v>
      </c>
      <c r="L72" s="958" t="s">
        <v>405</v>
      </c>
      <c r="M72" s="958" t="s">
        <v>406</v>
      </c>
    </row>
    <row r="73" spans="2:14">
      <c r="B73" s="954" t="s">
        <v>762</v>
      </c>
      <c r="C73" s="954"/>
      <c r="D73" s="954"/>
      <c r="E73" s="954"/>
      <c r="F73" s="954"/>
      <c r="G73" s="954"/>
      <c r="H73" s="955">
        <f t="shared" ref="H73:M73" si="24">IF($C$8="lease",H12,$C$34)</f>
        <v>25026</v>
      </c>
      <c r="I73" s="955">
        <f t="shared" si="24"/>
        <v>25026</v>
      </c>
      <c r="J73" s="955">
        <f t="shared" si="24"/>
        <v>25026</v>
      </c>
      <c r="K73" s="955">
        <f t="shared" si="24"/>
        <v>25026</v>
      </c>
      <c r="L73" s="955">
        <f t="shared" si="24"/>
        <v>25026</v>
      </c>
      <c r="M73" s="955">
        <f t="shared" si="24"/>
        <v>25026</v>
      </c>
    </row>
    <row r="74" spans="2:14">
      <c r="B74" s="956" t="s">
        <v>527</v>
      </c>
      <c r="C74" s="954"/>
      <c r="D74" s="954"/>
      <c r="E74" s="954"/>
      <c r="F74" s="954"/>
      <c r="G74" s="954"/>
      <c r="H74" s="955">
        <f t="shared" ref="H74:M74" si="25">IF($C$8="lease",H17,H54)</f>
        <v>385400.4</v>
      </c>
      <c r="I74" s="955">
        <f t="shared" si="25"/>
        <v>481415</v>
      </c>
      <c r="J74" s="955">
        <f t="shared" si="25"/>
        <v>545443</v>
      </c>
      <c r="K74" s="955">
        <f t="shared" si="25"/>
        <v>612879</v>
      </c>
      <c r="L74" s="955">
        <f t="shared" si="25"/>
        <v>631266</v>
      </c>
      <c r="M74" s="955">
        <f t="shared" si="25"/>
        <v>650204</v>
      </c>
    </row>
    <row r="75" spans="2:14">
      <c r="B75" s="956" t="s">
        <v>15</v>
      </c>
      <c r="C75" s="954"/>
      <c r="D75" s="954"/>
      <c r="E75" s="954"/>
      <c r="F75" s="954"/>
      <c r="G75" s="954"/>
      <c r="H75" s="955">
        <f t="shared" ref="H75:M78" si="26">IF($C$8="lease",H18,H57)</f>
        <v>25026</v>
      </c>
      <c r="I75" s="955">
        <f t="shared" si="26"/>
        <v>25026</v>
      </c>
      <c r="J75" s="955">
        <f t="shared" si="26"/>
        <v>25026</v>
      </c>
      <c r="K75" s="955">
        <f t="shared" si="26"/>
        <v>25026</v>
      </c>
      <c r="L75" s="955">
        <f t="shared" si="26"/>
        <v>25026</v>
      </c>
      <c r="M75" s="955">
        <f t="shared" si="26"/>
        <v>25026</v>
      </c>
    </row>
    <row r="76" spans="2:14">
      <c r="B76" s="956" t="s">
        <v>254</v>
      </c>
      <c r="C76" s="954"/>
      <c r="D76" s="954"/>
      <c r="E76" s="954"/>
      <c r="F76" s="954"/>
      <c r="G76" s="954"/>
      <c r="H76" s="955">
        <f t="shared" si="26"/>
        <v>50052</v>
      </c>
      <c r="I76" s="955">
        <f t="shared" si="26"/>
        <v>50052</v>
      </c>
      <c r="J76" s="955">
        <f t="shared" si="26"/>
        <v>50052</v>
      </c>
      <c r="K76" s="955">
        <f t="shared" si="26"/>
        <v>50052</v>
      </c>
      <c r="L76" s="955">
        <f t="shared" si="26"/>
        <v>50052</v>
      </c>
      <c r="M76" s="955">
        <f t="shared" si="26"/>
        <v>50052</v>
      </c>
    </row>
    <row r="77" spans="2:14">
      <c r="B77" s="957" t="s">
        <v>764</v>
      </c>
      <c r="C77" s="954"/>
      <c r="D77" s="954"/>
      <c r="E77" s="954"/>
      <c r="F77" s="954"/>
      <c r="G77" s="954"/>
      <c r="H77" s="955">
        <f t="shared" si="26"/>
        <v>0</v>
      </c>
      <c r="I77" s="955">
        <f t="shared" si="26"/>
        <v>0</v>
      </c>
      <c r="J77" s="955">
        <f t="shared" si="26"/>
        <v>0</v>
      </c>
      <c r="K77" s="955">
        <f t="shared" si="26"/>
        <v>0</v>
      </c>
      <c r="L77" s="955">
        <f t="shared" si="26"/>
        <v>0</v>
      </c>
      <c r="M77" s="955">
        <f t="shared" si="26"/>
        <v>0</v>
      </c>
    </row>
    <row r="78" spans="2:14">
      <c r="B78" s="957" t="s">
        <v>765</v>
      </c>
      <c r="C78" s="954"/>
      <c r="D78" s="954"/>
      <c r="E78" s="954"/>
      <c r="F78" s="954"/>
      <c r="G78" s="954"/>
      <c r="H78" s="955">
        <f t="shared" si="26"/>
        <v>0</v>
      </c>
      <c r="I78" s="955">
        <f t="shared" si="26"/>
        <v>0</v>
      </c>
      <c r="J78" s="955">
        <f t="shared" si="26"/>
        <v>0</v>
      </c>
      <c r="K78" s="955">
        <f t="shared" si="26"/>
        <v>0</v>
      </c>
      <c r="L78" s="955">
        <f t="shared" si="26"/>
        <v>0</v>
      </c>
      <c r="M78" s="955">
        <f t="shared" si="26"/>
        <v>0</v>
      </c>
    </row>
    <row r="79" spans="2:14">
      <c r="B79" s="957" t="s">
        <v>642</v>
      </c>
      <c r="C79" s="954"/>
      <c r="D79" s="954"/>
      <c r="E79" s="954"/>
      <c r="F79" s="954"/>
      <c r="G79" s="954"/>
      <c r="H79" s="955">
        <f t="shared" ref="H79:M79" si="27">IF($C$8="lease",H23,0)</f>
        <v>0</v>
      </c>
      <c r="I79" s="955">
        <f t="shared" si="27"/>
        <v>0</v>
      </c>
      <c r="J79" s="955">
        <f t="shared" si="27"/>
        <v>0</v>
      </c>
      <c r="K79" s="955">
        <f t="shared" si="27"/>
        <v>0</v>
      </c>
      <c r="L79" s="955">
        <f t="shared" si="27"/>
        <v>0</v>
      </c>
      <c r="M79" s="955">
        <f t="shared" si="27"/>
        <v>0</v>
      </c>
    </row>
    <row r="80" spans="2:14">
      <c r="B80" s="957" t="s">
        <v>643</v>
      </c>
      <c r="C80" s="954"/>
      <c r="D80" s="954"/>
      <c r="E80" s="954"/>
      <c r="F80" s="954"/>
      <c r="G80" s="954"/>
      <c r="H80" s="955">
        <f t="shared" ref="H80:M80" si="28">IF($C$8="lease",H22,0)</f>
        <v>100000</v>
      </c>
      <c r="I80" s="955">
        <f t="shared" si="28"/>
        <v>50000</v>
      </c>
      <c r="J80" s="955">
        <f t="shared" si="28"/>
        <v>0</v>
      </c>
      <c r="K80" s="955">
        <f t="shared" si="28"/>
        <v>0</v>
      </c>
      <c r="L80" s="955">
        <f t="shared" si="28"/>
        <v>0</v>
      </c>
      <c r="M80" s="955">
        <f t="shared" si="28"/>
        <v>0</v>
      </c>
    </row>
    <row r="81" spans="2:2">
      <c r="B81" s="465" t="s">
        <v>766</v>
      </c>
    </row>
  </sheetData>
  <sheetProtection algorithmName="SHA-512" hashValue="bPYqmB/9Z3JUJ6C+Io+m0cqEDfSJux+84vv1nc/3JeAUUArko5jLRyEsAzH23c8fE5pwTMJlp6tzXJGa1pkMig==" saltValue="3x2/lX3ymToLpGUqIDeQWQ==" spinCount="100000" sheet="1" selectLockedCells="1"/>
  <mergeCells count="2">
    <mergeCell ref="H2:L2"/>
    <mergeCell ref="H3:L3"/>
  </mergeCells>
  <conditionalFormatting sqref="C49">
    <cfRule type="expression" dxfId="18" priority="3">
      <formula>"'=or(&lt;0.95*Facilities!$I$16,&gt;1.05*Facilities!$I$16,&lt;0.95*Facilities!$I$51,&gt;1.05*Facilities!$I$51)"</formula>
    </cfRule>
    <cfRule type="expression" priority="4">
      <formula>"'=or(&lt;.95*Facilities!$I$16,&gt;1.05*Facilities!$I$16,&lt;.95*Facilities!$I$51,&gt;1.05*Facilities!$I$51)"</formula>
    </cfRule>
  </conditionalFormatting>
  <conditionalFormatting sqref="G63:G64">
    <cfRule type="cellIs" dxfId="17" priority="5" stopIfTrue="1" operator="equal">
      <formula>0</formula>
    </cfRule>
  </conditionalFormatting>
  <pageMargins left="0.25" right="0.25" top="0.5" bottom="0.44999999999999996" header="0.25" footer="0.25"/>
  <pageSetup scale="54" fitToHeight="3" orientation="landscape" r:id="rId1"/>
  <headerFooter>
    <oddHeader xml:space="preserve">&amp;L &amp;C &amp;R </oddHeader>
    <oddFooter>&amp;L&amp;7&amp;D  at &amp;T Mike 702.486.8879&amp;C&amp;7&amp;F  &amp;A&amp;R&amp;7Page &amp;P of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view="pageBreakPreview" topLeftCell="A77" zoomScale="85" zoomScaleNormal="85" zoomScaleSheetLayoutView="85" workbookViewId="0">
      <selection activeCell="L9" sqref="L9"/>
    </sheetView>
  </sheetViews>
  <sheetFormatPr baseColWidth="10" defaultColWidth="9.1640625" defaultRowHeight="13"/>
  <cols>
    <col min="1" max="1" width="30" style="874" customWidth="1"/>
    <col min="2" max="2" width="30.83203125" style="874" customWidth="1"/>
    <col min="3" max="4" width="9" style="874" customWidth="1"/>
    <col min="5" max="5" width="7.33203125" style="874" customWidth="1"/>
    <col min="6" max="6" width="7" style="874" customWidth="1"/>
    <col min="7" max="7" width="10.1640625" style="874" customWidth="1"/>
    <col min="8" max="8" width="8.33203125" style="874" customWidth="1"/>
    <col min="9" max="9" width="10" style="874" customWidth="1"/>
    <col min="10" max="10" width="8.6640625" style="874" customWidth="1"/>
    <col min="11" max="11" width="10" style="874" customWidth="1"/>
    <col min="12" max="12" width="11.33203125" style="874" customWidth="1"/>
    <col min="13" max="13" width="10.6640625" style="874" customWidth="1"/>
    <col min="14" max="14" width="2.83203125" style="874" customWidth="1"/>
    <col min="15" max="16384" width="9.1640625" style="874"/>
  </cols>
  <sheetData>
    <row r="1" spans="1:14" ht="16">
      <c r="A1" s="877" t="s">
        <v>856</v>
      </c>
      <c r="B1" s="877"/>
      <c r="G1" s="1139"/>
      <c r="H1" s="139" t="s">
        <v>401</v>
      </c>
      <c r="I1" s="139" t="s">
        <v>402</v>
      </c>
      <c r="J1" s="139" t="s">
        <v>403</v>
      </c>
      <c r="K1" s="139" t="s">
        <v>404</v>
      </c>
      <c r="L1" s="139" t="s">
        <v>405</v>
      </c>
      <c r="M1" s="140" t="s">
        <v>406</v>
      </c>
    </row>
    <row r="2" spans="1:14" ht="16">
      <c r="A2" s="878" t="str">
        <f>SchoolName</f>
        <v>TEACH Las Vegas</v>
      </c>
      <c r="B2" s="878"/>
      <c r="G2" s="1139"/>
      <c r="H2" s="1140">
        <f>+'Enrol Staff &amp; Exp'!H10</f>
        <v>2021</v>
      </c>
      <c r="I2" s="1141">
        <f>+H3</f>
        <v>2022</v>
      </c>
      <c r="J2" s="1141">
        <f>+I3</f>
        <v>2023</v>
      </c>
      <c r="K2" s="1141">
        <f>+J3</f>
        <v>2024</v>
      </c>
      <c r="L2" s="1141">
        <f>+K3</f>
        <v>2025</v>
      </c>
      <c r="M2" s="1142">
        <f>+L3</f>
        <v>2026</v>
      </c>
    </row>
    <row r="3" spans="1:14" ht="16">
      <c r="A3" s="875" t="s">
        <v>412</v>
      </c>
      <c r="G3" s="1139"/>
      <c r="H3" s="1143">
        <f t="shared" ref="H3:M3" si="0">+H2+1</f>
        <v>2022</v>
      </c>
      <c r="I3" s="1144">
        <f t="shared" si="0"/>
        <v>2023</v>
      </c>
      <c r="J3" s="1144">
        <f t="shared" si="0"/>
        <v>2024</v>
      </c>
      <c r="K3" s="1144">
        <f t="shared" si="0"/>
        <v>2025</v>
      </c>
      <c r="L3" s="1144">
        <f t="shared" si="0"/>
        <v>2026</v>
      </c>
      <c r="M3" s="1145">
        <f t="shared" si="0"/>
        <v>2027</v>
      </c>
    </row>
    <row r="4" spans="1:14" ht="14">
      <c r="A4" s="876" t="s">
        <v>444</v>
      </c>
      <c r="F4" s="874" t="s">
        <v>836</v>
      </c>
      <c r="H4" s="903">
        <f>+'Enrol Staff &amp; Exp'!H31</f>
        <v>325</v>
      </c>
      <c r="I4" s="903">
        <f>+'Enrol Staff &amp; Exp'!I31</f>
        <v>425</v>
      </c>
      <c r="J4" s="903">
        <f>+'Enrol Staff &amp; Exp'!J31</f>
        <v>550</v>
      </c>
      <c r="K4" s="903">
        <f>+'Enrol Staff &amp; Exp'!K31</f>
        <v>675</v>
      </c>
      <c r="L4" s="903">
        <f>+'Enrol Staff &amp; Exp'!L31</f>
        <v>800</v>
      </c>
      <c r="M4" s="903">
        <f>+'Enrol Staff &amp; Exp'!M31</f>
        <v>975</v>
      </c>
    </row>
    <row r="5" spans="1:14" ht="14">
      <c r="A5" s="906" t="str">
        <f ca="1">CELL("filename")</f>
        <v>/Users/matthewbrown/Desktop/[2021MB-New-CS-Application-Financial-Plan-TEACH REV 21.1.04MB 2021 02 01.xlsx]Enrol Staff &amp; Exp</v>
      </c>
      <c r="F5" s="874" t="s">
        <v>837</v>
      </c>
      <c r="H5" s="903">
        <f>+'Enrol Staff &amp; Exp'!H16</f>
        <v>13</v>
      </c>
      <c r="I5" s="903">
        <f>+'Enrol Staff &amp; Exp'!I16</f>
        <v>17</v>
      </c>
      <c r="J5" s="903">
        <f>+'Enrol Staff &amp; Exp'!J16</f>
        <v>22</v>
      </c>
      <c r="K5" s="903">
        <f>+'Enrol Staff &amp; Exp'!K16</f>
        <v>27</v>
      </c>
      <c r="L5" s="903">
        <f>+'Enrol Staff &amp; Exp'!L16</f>
        <v>32</v>
      </c>
      <c r="M5" s="903">
        <f>+'Enrol Staff &amp; Exp'!M16</f>
        <v>39</v>
      </c>
    </row>
    <row r="6" spans="1:14" ht="14">
      <c r="F6" s="874" t="s">
        <v>838</v>
      </c>
      <c r="H6" s="905">
        <f t="shared" ref="H6:M6" si="1">+H4/H5</f>
        <v>25</v>
      </c>
      <c r="I6" s="905">
        <f t="shared" si="1"/>
        <v>25</v>
      </c>
      <c r="J6" s="905">
        <f t="shared" si="1"/>
        <v>25</v>
      </c>
      <c r="K6" s="905">
        <f t="shared" si="1"/>
        <v>25</v>
      </c>
      <c r="L6" s="905">
        <f t="shared" si="1"/>
        <v>25</v>
      </c>
      <c r="M6" s="905">
        <f t="shared" si="1"/>
        <v>25</v>
      </c>
    </row>
    <row r="7" spans="1:14" ht="17.25" customHeight="1">
      <c r="A7" s="978" t="s">
        <v>857</v>
      </c>
      <c r="B7" s="979"/>
      <c r="C7" s="979"/>
      <c r="D7" s="979"/>
      <c r="E7" s="979"/>
      <c r="F7" s="979"/>
      <c r="G7" s="979"/>
      <c r="H7" s="979"/>
      <c r="I7" s="979"/>
      <c r="J7" s="979"/>
      <c r="K7" s="979"/>
      <c r="L7" s="979"/>
      <c r="M7" s="979"/>
      <c r="N7" s="904"/>
    </row>
    <row r="8" spans="1:14" ht="19.5" customHeight="1">
      <c r="A8" s="897" t="s">
        <v>827</v>
      </c>
      <c r="B8" s="899" t="s">
        <v>850</v>
      </c>
      <c r="C8" s="900" t="s">
        <v>825</v>
      </c>
      <c r="D8" s="900" t="s">
        <v>826</v>
      </c>
      <c r="E8" s="901" t="s">
        <v>831</v>
      </c>
      <c r="F8" s="1434" t="s">
        <v>772</v>
      </c>
      <c r="G8" s="1435"/>
      <c r="H8" s="1434" t="s">
        <v>773</v>
      </c>
      <c r="I8" s="1435"/>
      <c r="J8" s="1434" t="s">
        <v>774</v>
      </c>
      <c r="K8" s="1435"/>
      <c r="L8" s="1434" t="s">
        <v>851</v>
      </c>
      <c r="M8" s="1435"/>
    </row>
    <row r="9" spans="1:14" ht="15">
      <c r="A9" s="920" t="s">
        <v>304</v>
      </c>
      <c r="B9" s="923" t="s">
        <v>775</v>
      </c>
      <c r="C9" s="898"/>
      <c r="D9" s="898"/>
      <c r="E9" s="924"/>
      <c r="F9" s="1146">
        <v>500</v>
      </c>
      <c r="G9" s="932"/>
      <c r="H9" s="1146">
        <v>400</v>
      </c>
      <c r="I9" s="940"/>
      <c r="J9" s="1146">
        <f>+H4</f>
        <v>325</v>
      </c>
      <c r="K9" s="940"/>
      <c r="L9" s="1146">
        <f>+K4</f>
        <v>675</v>
      </c>
      <c r="M9" s="940"/>
    </row>
    <row r="10" spans="1:14" ht="15">
      <c r="A10" s="921" t="s">
        <v>776</v>
      </c>
      <c r="B10" s="925" t="s">
        <v>777</v>
      </c>
      <c r="C10" s="890"/>
      <c r="D10" s="890"/>
      <c r="E10" s="926"/>
      <c r="F10" s="933"/>
      <c r="G10" s="934"/>
      <c r="H10" s="941"/>
      <c r="I10" s="942"/>
      <c r="J10" s="941"/>
      <c r="K10" s="942"/>
      <c r="L10" s="941"/>
      <c r="M10" s="940"/>
    </row>
    <row r="11" spans="1:14" ht="15">
      <c r="A11" s="921" t="s">
        <v>778</v>
      </c>
      <c r="B11" s="925" t="s">
        <v>779</v>
      </c>
      <c r="C11" s="890"/>
      <c r="D11" s="890"/>
      <c r="E11" s="926"/>
      <c r="F11" s="1146">
        <v>25</v>
      </c>
      <c r="G11" s="934"/>
      <c r="H11" s="1155">
        <v>25</v>
      </c>
      <c r="I11" s="942"/>
      <c r="J11" s="1160">
        <f>+H6</f>
        <v>25</v>
      </c>
      <c r="K11" s="942"/>
      <c r="L11" s="1160">
        <f>+K6</f>
        <v>25</v>
      </c>
      <c r="M11" s="940"/>
    </row>
    <row r="12" spans="1:14" ht="15">
      <c r="A12" s="921" t="s">
        <v>839</v>
      </c>
      <c r="B12" s="925" t="s">
        <v>840</v>
      </c>
      <c r="C12" s="902">
        <v>55</v>
      </c>
      <c r="D12" s="902">
        <v>100</v>
      </c>
      <c r="E12" s="1148">
        <f>AVERAGE(C12:D12)</f>
        <v>77.5</v>
      </c>
      <c r="F12" s="1147">
        <v>600</v>
      </c>
      <c r="G12" s="935">
        <f>+F12*$E$12</f>
        <v>46500</v>
      </c>
      <c r="H12" s="1156">
        <v>800</v>
      </c>
      <c r="I12" s="935">
        <f>+H12*$E$12</f>
        <v>62000</v>
      </c>
      <c r="J12" s="1156">
        <v>500</v>
      </c>
      <c r="K12" s="935">
        <f>+J12*$E$12</f>
        <v>38750</v>
      </c>
      <c r="L12" s="1156">
        <v>700</v>
      </c>
      <c r="M12" s="935">
        <f>+L12*$E$12</f>
        <v>54250</v>
      </c>
    </row>
    <row r="13" spans="1:14" ht="14">
      <c r="A13" s="921"/>
      <c r="B13" s="925"/>
      <c r="C13" s="890"/>
      <c r="D13" s="890"/>
      <c r="E13" s="927"/>
      <c r="F13" s="936"/>
      <c r="G13" s="932"/>
      <c r="H13" s="936"/>
      <c r="I13" s="940"/>
      <c r="J13" s="936"/>
      <c r="K13" s="940"/>
      <c r="L13" s="936"/>
      <c r="M13" s="940"/>
    </row>
    <row r="14" spans="1:14" ht="15">
      <c r="A14" s="920" t="s">
        <v>835</v>
      </c>
      <c r="B14" s="925"/>
      <c r="C14" s="890"/>
      <c r="D14" s="890"/>
      <c r="E14" s="927"/>
      <c r="F14" s="933"/>
      <c r="G14" s="932"/>
      <c r="H14" s="933"/>
      <c r="I14" s="940"/>
      <c r="J14" s="933"/>
      <c r="K14" s="940"/>
      <c r="L14" s="933"/>
      <c r="M14" s="940"/>
    </row>
    <row r="15" spans="1:14" ht="24" customHeight="1">
      <c r="A15" s="921" t="s">
        <v>780</v>
      </c>
      <c r="B15" s="925" t="s">
        <v>781</v>
      </c>
      <c r="C15" s="891">
        <v>750</v>
      </c>
      <c r="D15" s="891">
        <v>1000</v>
      </c>
      <c r="E15" s="1149">
        <v>850</v>
      </c>
      <c r="F15" s="933">
        <f>+F9/F11</f>
        <v>20</v>
      </c>
      <c r="G15" s="937">
        <f>+F15*$E15</f>
        <v>17000</v>
      </c>
      <c r="H15" s="933">
        <f>+H9/H11</f>
        <v>16</v>
      </c>
      <c r="I15" s="937">
        <f>+H15*$E15</f>
        <v>13600</v>
      </c>
      <c r="J15" s="933">
        <f>+J9/J11</f>
        <v>13</v>
      </c>
      <c r="K15" s="937">
        <f>+J15*$E15</f>
        <v>11050</v>
      </c>
      <c r="L15" s="933">
        <f>+L9/L11</f>
        <v>27</v>
      </c>
      <c r="M15" s="937">
        <f>+L15*$E15</f>
        <v>22950</v>
      </c>
    </row>
    <row r="16" spans="1:14" ht="15">
      <c r="A16" s="921" t="s">
        <v>782</v>
      </c>
      <c r="B16" s="925" t="s">
        <v>783</v>
      </c>
      <c r="C16" s="891">
        <v>850</v>
      </c>
      <c r="D16" s="891">
        <v>1200</v>
      </c>
      <c r="E16" s="1149">
        <v>1000</v>
      </c>
      <c r="F16" s="1150">
        <v>2</v>
      </c>
      <c r="G16" s="938">
        <f t="shared" ref="G16:G28" si="2">+$E16*F16</f>
        <v>2000</v>
      </c>
      <c r="H16" s="1146">
        <v>2</v>
      </c>
      <c r="I16" s="938">
        <f t="shared" ref="I16:I28" si="3">+$E16*H16</f>
        <v>2000</v>
      </c>
      <c r="J16" s="1158">
        <v>0</v>
      </c>
      <c r="K16" s="938">
        <f t="shared" ref="K16:K28" si="4">+$E16*J16</f>
        <v>0</v>
      </c>
      <c r="L16" s="1158">
        <v>2</v>
      </c>
      <c r="M16" s="938">
        <f t="shared" ref="M16:M28" si="5">+$E16*L16</f>
        <v>2000</v>
      </c>
    </row>
    <row r="17" spans="1:13" ht="15">
      <c r="A17" s="921" t="s">
        <v>784</v>
      </c>
      <c r="B17" s="925" t="s">
        <v>785</v>
      </c>
      <c r="C17" s="891">
        <v>850</v>
      </c>
      <c r="D17" s="891">
        <v>1200</v>
      </c>
      <c r="E17" s="1149">
        <v>1000</v>
      </c>
      <c r="F17" s="1151">
        <v>1</v>
      </c>
      <c r="G17" s="938">
        <f t="shared" si="2"/>
        <v>1000</v>
      </c>
      <c r="H17" s="1146">
        <v>1</v>
      </c>
      <c r="I17" s="938">
        <f t="shared" si="3"/>
        <v>1000</v>
      </c>
      <c r="J17" s="1158">
        <v>0</v>
      </c>
      <c r="K17" s="938">
        <f t="shared" si="4"/>
        <v>0</v>
      </c>
      <c r="L17" s="1158">
        <v>1</v>
      </c>
      <c r="M17" s="938">
        <f t="shared" si="5"/>
        <v>1000</v>
      </c>
    </row>
    <row r="18" spans="1:13" ht="31.5" customHeight="1">
      <c r="A18" s="921" t="s">
        <v>786</v>
      </c>
      <c r="B18" s="925" t="s">
        <v>787</v>
      </c>
      <c r="C18" s="891"/>
      <c r="D18" s="891"/>
      <c r="E18" s="1149">
        <v>400</v>
      </c>
      <c r="F18" s="1151">
        <v>2</v>
      </c>
      <c r="G18" s="938">
        <f t="shared" si="2"/>
        <v>800</v>
      </c>
      <c r="H18" s="1146">
        <v>2</v>
      </c>
      <c r="I18" s="938">
        <f t="shared" si="3"/>
        <v>800</v>
      </c>
      <c r="J18" s="1158">
        <v>0</v>
      </c>
      <c r="K18" s="938">
        <f t="shared" si="4"/>
        <v>0</v>
      </c>
      <c r="L18" s="1158">
        <v>2</v>
      </c>
      <c r="M18" s="938">
        <f t="shared" si="5"/>
        <v>800</v>
      </c>
    </row>
    <row r="19" spans="1:13" ht="27.75" customHeight="1">
      <c r="A19" s="921" t="s">
        <v>788</v>
      </c>
      <c r="B19" s="925" t="s">
        <v>789</v>
      </c>
      <c r="C19" s="891"/>
      <c r="D19" s="891"/>
      <c r="E19" s="1149">
        <v>100</v>
      </c>
      <c r="F19" s="1151">
        <v>4</v>
      </c>
      <c r="G19" s="938">
        <f t="shared" si="2"/>
        <v>400</v>
      </c>
      <c r="H19" s="1146">
        <v>4</v>
      </c>
      <c r="I19" s="938">
        <f t="shared" si="3"/>
        <v>400</v>
      </c>
      <c r="J19" s="1158">
        <v>0</v>
      </c>
      <c r="K19" s="938">
        <f t="shared" si="4"/>
        <v>0</v>
      </c>
      <c r="L19" s="1158">
        <v>4</v>
      </c>
      <c r="M19" s="938">
        <f t="shared" si="5"/>
        <v>400</v>
      </c>
    </row>
    <row r="20" spans="1:13" ht="15">
      <c r="A20" s="921" t="s">
        <v>790</v>
      </c>
      <c r="B20" s="925" t="s">
        <v>791</v>
      </c>
      <c r="C20" s="891"/>
      <c r="D20" s="891"/>
      <c r="E20" s="1149">
        <v>400</v>
      </c>
      <c r="F20" s="1151">
        <v>1</v>
      </c>
      <c r="G20" s="938">
        <f t="shared" si="2"/>
        <v>400</v>
      </c>
      <c r="H20" s="1146">
        <v>1</v>
      </c>
      <c r="I20" s="938">
        <f t="shared" si="3"/>
        <v>400</v>
      </c>
      <c r="J20" s="1158">
        <v>0.25</v>
      </c>
      <c r="K20" s="938">
        <f t="shared" si="4"/>
        <v>100</v>
      </c>
      <c r="L20" s="1158">
        <v>1</v>
      </c>
      <c r="M20" s="938">
        <f t="shared" si="5"/>
        <v>400</v>
      </c>
    </row>
    <row r="21" spans="1:13" ht="15">
      <c r="A21" s="921" t="s">
        <v>792</v>
      </c>
      <c r="B21" s="925" t="s">
        <v>793</v>
      </c>
      <c r="C21" s="891">
        <v>70</v>
      </c>
      <c r="D21" s="891">
        <v>100</v>
      </c>
      <c r="E21" s="1149">
        <v>100</v>
      </c>
      <c r="F21" s="1151">
        <v>4</v>
      </c>
      <c r="G21" s="938">
        <f t="shared" si="2"/>
        <v>400</v>
      </c>
      <c r="H21" s="1146">
        <v>4</v>
      </c>
      <c r="I21" s="938">
        <f t="shared" si="3"/>
        <v>400</v>
      </c>
      <c r="J21" s="1158">
        <v>2</v>
      </c>
      <c r="K21" s="938">
        <f t="shared" si="4"/>
        <v>200</v>
      </c>
      <c r="L21" s="1158">
        <v>4</v>
      </c>
      <c r="M21" s="938">
        <f t="shared" si="5"/>
        <v>400</v>
      </c>
    </row>
    <row r="22" spans="1:13" ht="15">
      <c r="A22" s="921" t="s">
        <v>794</v>
      </c>
      <c r="B22" s="925" t="s">
        <v>795</v>
      </c>
      <c r="C22" s="891"/>
      <c r="D22" s="891"/>
      <c r="E22" s="1149">
        <v>400</v>
      </c>
      <c r="F22" s="1151">
        <v>1</v>
      </c>
      <c r="G22" s="938">
        <f t="shared" si="2"/>
        <v>400</v>
      </c>
      <c r="H22" s="1146">
        <v>1</v>
      </c>
      <c r="I22" s="938">
        <f t="shared" si="3"/>
        <v>400</v>
      </c>
      <c r="J22" s="1158">
        <v>1</v>
      </c>
      <c r="K22" s="938">
        <f t="shared" si="4"/>
        <v>400</v>
      </c>
      <c r="L22" s="1158">
        <v>1</v>
      </c>
      <c r="M22" s="938">
        <f t="shared" si="5"/>
        <v>400</v>
      </c>
    </row>
    <row r="23" spans="1:13" ht="15">
      <c r="A23" s="921" t="s">
        <v>796</v>
      </c>
      <c r="B23" s="925" t="s">
        <v>797</v>
      </c>
      <c r="C23" s="891"/>
      <c r="D23" s="891"/>
      <c r="E23" s="1149">
        <v>600</v>
      </c>
      <c r="F23" s="1151">
        <v>1</v>
      </c>
      <c r="G23" s="938">
        <f t="shared" si="2"/>
        <v>600</v>
      </c>
      <c r="H23" s="1146">
        <v>1</v>
      </c>
      <c r="I23" s="938">
        <f t="shared" si="3"/>
        <v>600</v>
      </c>
      <c r="J23" s="1158">
        <v>0</v>
      </c>
      <c r="K23" s="938">
        <f t="shared" si="4"/>
        <v>0</v>
      </c>
      <c r="L23" s="1158">
        <v>1</v>
      </c>
      <c r="M23" s="938">
        <f t="shared" si="5"/>
        <v>600</v>
      </c>
    </row>
    <row r="24" spans="1:13" ht="15">
      <c r="A24" s="921" t="s">
        <v>798</v>
      </c>
      <c r="B24" s="925" t="s">
        <v>799</v>
      </c>
      <c r="C24" s="891"/>
      <c r="D24" s="891"/>
      <c r="E24" s="1149">
        <v>1500</v>
      </c>
      <c r="F24" s="1151">
        <v>1</v>
      </c>
      <c r="G24" s="938">
        <f t="shared" si="2"/>
        <v>1500</v>
      </c>
      <c r="H24" s="1146">
        <v>1</v>
      </c>
      <c r="I24" s="938">
        <f t="shared" si="3"/>
        <v>1500</v>
      </c>
      <c r="J24" s="1158">
        <v>0</v>
      </c>
      <c r="K24" s="938">
        <f t="shared" si="4"/>
        <v>0</v>
      </c>
      <c r="L24" s="1158">
        <v>1</v>
      </c>
      <c r="M24" s="938">
        <f t="shared" si="5"/>
        <v>1500</v>
      </c>
    </row>
    <row r="25" spans="1:13" ht="15">
      <c r="A25" s="921" t="s">
        <v>800</v>
      </c>
      <c r="B25" s="925" t="s">
        <v>801</v>
      </c>
      <c r="C25" s="891"/>
      <c r="D25" s="891"/>
      <c r="E25" s="1149">
        <v>200</v>
      </c>
      <c r="F25" s="1151">
        <v>1</v>
      </c>
      <c r="G25" s="938">
        <f t="shared" si="2"/>
        <v>200</v>
      </c>
      <c r="H25" s="1146">
        <v>1</v>
      </c>
      <c r="I25" s="938">
        <f t="shared" si="3"/>
        <v>200</v>
      </c>
      <c r="J25" s="1158">
        <v>0.5</v>
      </c>
      <c r="K25" s="938">
        <f t="shared" si="4"/>
        <v>100</v>
      </c>
      <c r="L25" s="1158">
        <v>1</v>
      </c>
      <c r="M25" s="938">
        <f t="shared" si="5"/>
        <v>200</v>
      </c>
    </row>
    <row r="26" spans="1:13" ht="15">
      <c r="A26" s="921" t="s">
        <v>802</v>
      </c>
      <c r="B26" s="925" t="s">
        <v>803</v>
      </c>
      <c r="C26" s="891"/>
      <c r="D26" s="891"/>
      <c r="E26" s="1149">
        <v>400</v>
      </c>
      <c r="F26" s="1151">
        <v>2</v>
      </c>
      <c r="G26" s="938">
        <f t="shared" si="2"/>
        <v>800</v>
      </c>
      <c r="H26" s="1146">
        <v>2</v>
      </c>
      <c r="I26" s="938">
        <f t="shared" si="3"/>
        <v>800</v>
      </c>
      <c r="J26" s="1158">
        <v>2</v>
      </c>
      <c r="K26" s="938">
        <f t="shared" si="4"/>
        <v>800</v>
      </c>
      <c r="L26" s="1158">
        <v>2</v>
      </c>
      <c r="M26" s="938">
        <f t="shared" si="5"/>
        <v>800</v>
      </c>
    </row>
    <row r="27" spans="1:13" ht="15">
      <c r="A27" s="921" t="s">
        <v>804</v>
      </c>
      <c r="B27" s="925" t="s">
        <v>805</v>
      </c>
      <c r="C27" s="891"/>
      <c r="D27" s="891"/>
      <c r="E27" s="1149">
        <v>100</v>
      </c>
      <c r="F27" s="1151">
        <v>3</v>
      </c>
      <c r="G27" s="938">
        <f t="shared" si="2"/>
        <v>300</v>
      </c>
      <c r="H27" s="1146">
        <v>3</v>
      </c>
      <c r="I27" s="938">
        <f t="shared" si="3"/>
        <v>300</v>
      </c>
      <c r="J27" s="1158">
        <v>3</v>
      </c>
      <c r="K27" s="938">
        <f t="shared" si="4"/>
        <v>300</v>
      </c>
      <c r="L27" s="1158">
        <v>3</v>
      </c>
      <c r="M27" s="938">
        <f t="shared" si="5"/>
        <v>300</v>
      </c>
    </row>
    <row r="28" spans="1:13" ht="30">
      <c r="A28" s="921" t="s">
        <v>806</v>
      </c>
      <c r="B28" s="925" t="s">
        <v>807</v>
      </c>
      <c r="C28" s="891"/>
      <c r="D28" s="891"/>
      <c r="E28" s="1149">
        <v>4000</v>
      </c>
      <c r="F28" s="1151">
        <v>1</v>
      </c>
      <c r="G28" s="938">
        <f t="shared" si="2"/>
        <v>4000</v>
      </c>
      <c r="H28" s="1146">
        <v>0</v>
      </c>
      <c r="I28" s="938">
        <f t="shared" si="3"/>
        <v>0</v>
      </c>
      <c r="J28" s="1158">
        <v>0</v>
      </c>
      <c r="K28" s="938">
        <f t="shared" si="4"/>
        <v>0</v>
      </c>
      <c r="L28" s="1158">
        <v>0</v>
      </c>
      <c r="M28" s="938">
        <f t="shared" si="5"/>
        <v>0</v>
      </c>
    </row>
    <row r="29" spans="1:13" ht="15">
      <c r="A29" s="921" t="s">
        <v>808</v>
      </c>
      <c r="B29" s="925" t="s">
        <v>809</v>
      </c>
      <c r="C29" s="891">
        <v>7</v>
      </c>
      <c r="D29" s="891">
        <v>10</v>
      </c>
      <c r="E29" s="928" t="s">
        <v>810</v>
      </c>
      <c r="F29" s="1152">
        <v>0</v>
      </c>
      <c r="G29" s="938">
        <f>+F29*F9</f>
        <v>0</v>
      </c>
      <c r="H29" s="1152">
        <v>7</v>
      </c>
      <c r="I29" s="938">
        <f>+H29*H9</f>
        <v>2800</v>
      </c>
      <c r="J29" s="1152">
        <v>7</v>
      </c>
      <c r="K29" s="938">
        <f>+J29*J9</f>
        <v>2275</v>
      </c>
      <c r="L29" s="1152">
        <v>7</v>
      </c>
      <c r="M29" s="938">
        <f>+L29*L9</f>
        <v>4725</v>
      </c>
    </row>
    <row r="30" spans="1:13" ht="15">
      <c r="A30" s="921" t="s">
        <v>811</v>
      </c>
      <c r="B30" s="925" t="s">
        <v>812</v>
      </c>
      <c r="C30" s="891"/>
      <c r="D30" s="891"/>
      <c r="E30" s="1149">
        <v>1000</v>
      </c>
      <c r="F30" s="1151">
        <v>1</v>
      </c>
      <c r="G30" s="938">
        <f>+$E30*F30</f>
        <v>1000</v>
      </c>
      <c r="H30" s="1146">
        <v>1</v>
      </c>
      <c r="I30" s="938">
        <f>+$E30*H30</f>
        <v>1000</v>
      </c>
      <c r="J30" s="1158">
        <v>0</v>
      </c>
      <c r="K30" s="938">
        <f>+$E30*J30</f>
        <v>0</v>
      </c>
      <c r="L30" s="1158">
        <v>1</v>
      </c>
      <c r="M30" s="938">
        <f>+$E30*L30</f>
        <v>1000</v>
      </c>
    </row>
    <row r="31" spans="1:13" ht="15">
      <c r="A31" s="921" t="s">
        <v>813</v>
      </c>
      <c r="B31" s="925" t="s">
        <v>814</v>
      </c>
      <c r="C31" s="891"/>
      <c r="D31" s="891"/>
      <c r="E31" s="1149">
        <v>300</v>
      </c>
      <c r="F31" s="1151">
        <v>2</v>
      </c>
      <c r="G31" s="938">
        <f>+$E31*F31</f>
        <v>600</v>
      </c>
      <c r="H31" s="1146">
        <v>2</v>
      </c>
      <c r="I31" s="938">
        <f>+$E31*H31</f>
        <v>600</v>
      </c>
      <c r="J31" s="1158">
        <v>1</v>
      </c>
      <c r="K31" s="938">
        <f>+$E31*J31</f>
        <v>300</v>
      </c>
      <c r="L31" s="1158">
        <v>2</v>
      </c>
      <c r="M31" s="938">
        <f>+$E31*L31</f>
        <v>600</v>
      </c>
    </row>
    <row r="32" spans="1:13" ht="15">
      <c r="A32" s="921" t="s">
        <v>815</v>
      </c>
      <c r="B32" s="925" t="s">
        <v>816</v>
      </c>
      <c r="C32" s="891"/>
      <c r="D32" s="891"/>
      <c r="E32" s="1149">
        <v>150</v>
      </c>
      <c r="F32" s="1151">
        <v>1</v>
      </c>
      <c r="G32" s="938">
        <f>+$E32*F32</f>
        <v>150</v>
      </c>
      <c r="H32" s="1146">
        <v>1</v>
      </c>
      <c r="I32" s="938">
        <f>+$E32*H32</f>
        <v>150</v>
      </c>
      <c r="J32" s="1158">
        <v>0.2</v>
      </c>
      <c r="K32" s="938">
        <f>+$E32*J32</f>
        <v>30</v>
      </c>
      <c r="L32" s="1158">
        <v>1</v>
      </c>
      <c r="M32" s="938">
        <f>+$E32*L32</f>
        <v>150</v>
      </c>
    </row>
    <row r="33" spans="1:13" ht="15">
      <c r="A33" s="921" t="s">
        <v>817</v>
      </c>
      <c r="B33" s="925" t="s">
        <v>818</v>
      </c>
      <c r="C33" s="891"/>
      <c r="D33" s="891"/>
      <c r="E33" s="1149">
        <v>250</v>
      </c>
      <c r="F33" s="1151">
        <v>1</v>
      </c>
      <c r="G33" s="938">
        <f>+$E33*F33</f>
        <v>250</v>
      </c>
      <c r="H33" s="1146">
        <v>1</v>
      </c>
      <c r="I33" s="938">
        <f>+$E33*H33</f>
        <v>250</v>
      </c>
      <c r="J33" s="1158">
        <v>0.2</v>
      </c>
      <c r="K33" s="938">
        <f>+$E33*J33</f>
        <v>50</v>
      </c>
      <c r="L33" s="1158">
        <v>1</v>
      </c>
      <c r="M33" s="938">
        <f>+$E33*L33</f>
        <v>250</v>
      </c>
    </row>
    <row r="34" spans="1:13" ht="30">
      <c r="A34" s="922" t="s">
        <v>819</v>
      </c>
      <c r="B34" s="929" t="s">
        <v>820</v>
      </c>
      <c r="C34" s="892"/>
      <c r="D34" s="892"/>
      <c r="E34" s="1154">
        <v>200</v>
      </c>
      <c r="F34" s="1153">
        <v>1</v>
      </c>
      <c r="G34" s="939">
        <f>+$E34*F34</f>
        <v>200</v>
      </c>
      <c r="H34" s="1157">
        <v>1</v>
      </c>
      <c r="I34" s="939">
        <f>+$E34*H34</f>
        <v>200</v>
      </c>
      <c r="J34" s="1159">
        <v>0.5</v>
      </c>
      <c r="K34" s="939">
        <f>+$E34*J34</f>
        <v>100</v>
      </c>
      <c r="L34" s="1159">
        <v>1</v>
      </c>
      <c r="M34" s="939">
        <f>+$E34*L34</f>
        <v>200</v>
      </c>
    </row>
    <row r="35" spans="1:13" ht="15">
      <c r="A35" s="879" t="s">
        <v>821</v>
      </c>
      <c r="B35" s="930"/>
      <c r="C35" s="889"/>
      <c r="D35" s="889"/>
      <c r="E35" s="931"/>
      <c r="F35" s="888"/>
      <c r="G35" s="880">
        <f>SUM(G15:G34)</f>
        <v>32000</v>
      </c>
      <c r="H35" s="881"/>
      <c r="I35" s="880">
        <f>SUM(I15:I34)</f>
        <v>27400</v>
      </c>
      <c r="J35" s="881"/>
      <c r="K35" s="880">
        <f>SUM(K15:K34)</f>
        <v>15705</v>
      </c>
      <c r="L35" s="881"/>
      <c r="M35" s="880">
        <f>SUM(M15:M34)</f>
        <v>38675</v>
      </c>
    </row>
    <row r="36" spans="1:13" ht="15">
      <c r="A36" s="882" t="s">
        <v>822</v>
      </c>
      <c r="B36" s="945" t="s">
        <v>823</v>
      </c>
      <c r="C36" s="946"/>
      <c r="D36" s="946"/>
      <c r="E36" s="1161">
        <v>0.15</v>
      </c>
      <c r="F36" s="943"/>
      <c r="G36" s="883">
        <f>+G35*$E36</f>
        <v>4800</v>
      </c>
      <c r="H36" s="884"/>
      <c r="I36" s="883">
        <f>+I35*$E36</f>
        <v>4110</v>
      </c>
      <c r="J36" s="884"/>
      <c r="K36" s="883">
        <f>+K35*$E36</f>
        <v>2355.75</v>
      </c>
      <c r="L36" s="884"/>
      <c r="M36" s="883">
        <f>+M35*$E36</f>
        <v>5801.25</v>
      </c>
    </row>
    <row r="37" spans="1:13" ht="15">
      <c r="A37" s="893" t="s">
        <v>828</v>
      </c>
      <c r="B37" s="894" t="s">
        <v>824</v>
      </c>
      <c r="C37" s="885"/>
      <c r="D37" s="885"/>
      <c r="E37" s="885"/>
      <c r="F37" s="885"/>
      <c r="G37" s="907">
        <f>+G35+G36</f>
        <v>36800</v>
      </c>
      <c r="H37" s="908"/>
      <c r="I37" s="907">
        <f>+I35+I36</f>
        <v>31510</v>
      </c>
      <c r="J37" s="908"/>
      <c r="K37" s="907">
        <f>+K35+K36</f>
        <v>18060.75</v>
      </c>
      <c r="L37" s="908"/>
      <c r="M37" s="907">
        <f>+M35+M36</f>
        <v>44476.25</v>
      </c>
    </row>
    <row r="38" spans="1:13" ht="15">
      <c r="A38" s="895" t="s">
        <v>829</v>
      </c>
      <c r="B38" s="896" t="s">
        <v>830</v>
      </c>
      <c r="C38" s="885"/>
      <c r="D38" s="885"/>
      <c r="E38" s="885"/>
      <c r="F38" s="885"/>
      <c r="G38" s="886">
        <f>+G37/F9</f>
        <v>73.599999999999994</v>
      </c>
      <c r="H38" s="887"/>
      <c r="I38" s="886">
        <f>+I37/H9</f>
        <v>78.775000000000006</v>
      </c>
      <c r="J38" s="887"/>
      <c r="K38" s="886">
        <f>+K37/J9</f>
        <v>55.571538461538459</v>
      </c>
      <c r="L38" s="887"/>
      <c r="M38" s="886">
        <f>+M37/L9</f>
        <v>65.890740740740739</v>
      </c>
    </row>
    <row r="40" spans="1:13">
      <c r="A40" s="944" t="s">
        <v>852</v>
      </c>
    </row>
    <row r="41" spans="1:13">
      <c r="A41" s="874" t="s">
        <v>834</v>
      </c>
    </row>
    <row r="42" spans="1:13">
      <c r="A42" s="874" t="s">
        <v>833</v>
      </c>
    </row>
    <row r="43" spans="1:13">
      <c r="A43" s="874" t="s">
        <v>832</v>
      </c>
    </row>
  </sheetData>
  <sheetProtection algorithmName="SHA-512" hashValue="4Qn+m98zeC89CZssAmWxmsDgJ3NpHjRreV13ONJGnXFwiWY48S9sFr25w9sJkk6pCxXGyUQkDRyB1UikURaCDw==" saltValue="skyuIpN8Bmsah7vQSoqxdQ==" spinCount="100000" sheet="1" objects="1" scenarios="1"/>
  <mergeCells count="4">
    <mergeCell ref="F8:G8"/>
    <mergeCell ref="H8:I8"/>
    <mergeCell ref="J8:K8"/>
    <mergeCell ref="L8:M8"/>
  </mergeCell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N57"/>
  <sheetViews>
    <sheetView topLeftCell="A29" zoomScale="85" zoomScaleNormal="85" zoomScaleSheetLayoutView="115" workbookViewId="0">
      <selection activeCell="D23" sqref="D23"/>
    </sheetView>
  </sheetViews>
  <sheetFormatPr baseColWidth="10" defaultColWidth="8.83203125" defaultRowHeight="14"/>
  <cols>
    <col min="1" max="1" width="2.83203125" style="141" customWidth="1"/>
    <col min="2" max="2" width="58.6640625" style="141" customWidth="1"/>
    <col min="3" max="3" width="9" style="141" customWidth="1"/>
    <col min="4" max="4" width="17.33203125" style="141" customWidth="1"/>
    <col min="5" max="5" width="17.1640625" style="150" customWidth="1"/>
    <col min="6" max="6" width="1.6640625" style="150" customWidth="1"/>
    <col min="7" max="7" width="12.33203125" style="150" customWidth="1"/>
    <col min="8" max="13" width="13.6640625" style="141" customWidth="1"/>
    <col min="14" max="14" width="27.83203125" style="141" bestFit="1" customWidth="1"/>
    <col min="15" max="15" width="11.6640625" style="141" bestFit="1" customWidth="1"/>
    <col min="16" max="16" width="8.83203125" style="141"/>
    <col min="17" max="17" width="17.33203125" style="141" customWidth="1"/>
    <col min="18" max="16384" width="8.83203125" style="141"/>
  </cols>
  <sheetData>
    <row r="1" spans="1:14" ht="16">
      <c r="A1" s="457" t="s">
        <v>892</v>
      </c>
      <c r="B1" s="458"/>
      <c r="L1" s="679"/>
    </row>
    <row r="2" spans="1:14" ht="16">
      <c r="A2" s="459" t="str">
        <f>SchoolName</f>
        <v>TEACH Las Vegas</v>
      </c>
      <c r="B2" s="460"/>
      <c r="D2" s="223"/>
    </row>
    <row r="3" spans="1:14">
      <c r="A3" s="154" t="s">
        <v>412</v>
      </c>
    </row>
    <row r="4" spans="1:14">
      <c r="A4" s="155" t="s">
        <v>444</v>
      </c>
    </row>
    <row r="5" spans="1:14">
      <c r="A5" s="129" t="str">
        <f ca="1">CELL("filename")</f>
        <v>/Users/matthewbrown/Desktop/[2021MB-New-CS-Application-Financial-Plan-TEACH REV 21.1.04MB 2021 02 01.xlsx]Enrol Staff &amp; Exp</v>
      </c>
    </row>
    <row r="6" spans="1:14">
      <c r="G6" s="135" t="str">
        <f>'Enrol Staff &amp; Exp'!G9</f>
        <v>SY 0/Incubation</v>
      </c>
      <c r="H6" s="135" t="str">
        <f>'Enrol Staff &amp; Exp'!H9</f>
        <v>SY 1</v>
      </c>
      <c r="I6" s="135" t="str">
        <f>'Enrol Staff &amp; Exp'!I9</f>
        <v>SY 2</v>
      </c>
      <c r="J6" s="135" t="str">
        <f>'Enrol Staff &amp; Exp'!J9</f>
        <v>SY 3</v>
      </c>
      <c r="K6" s="135" t="str">
        <f>'Enrol Staff &amp; Exp'!K9</f>
        <v>SY 4</v>
      </c>
      <c r="L6" s="135" t="str">
        <f>'Enrol Staff &amp; Exp'!L9</f>
        <v>SY 5</v>
      </c>
      <c r="M6" s="135" t="str">
        <f>'Enrol Staff &amp; Exp'!M9</f>
        <v>SY 6</v>
      </c>
      <c r="N6" s="159"/>
    </row>
    <row r="7" spans="1:14">
      <c r="G7" s="156">
        <f>'Enrol Staff &amp; Exp'!G10</f>
        <v>2020</v>
      </c>
      <c r="H7" s="156">
        <f>'Enrol Staff &amp; Exp'!H10</f>
        <v>2021</v>
      </c>
      <c r="I7" s="157">
        <f>'Enrol Staff &amp; Exp'!I10</f>
        <v>2022</v>
      </c>
      <c r="J7" s="157">
        <f>'Enrol Staff &amp; Exp'!J10</f>
        <v>2023</v>
      </c>
      <c r="K7" s="157">
        <f>'Enrol Staff &amp; Exp'!K10</f>
        <v>2024</v>
      </c>
      <c r="L7" s="157">
        <f>'Enrol Staff &amp; Exp'!L10</f>
        <v>2025</v>
      </c>
      <c r="M7" s="158">
        <f>'Enrol Staff &amp; Exp'!M10</f>
        <v>2026</v>
      </c>
      <c r="N7" s="159"/>
    </row>
    <row r="8" spans="1:14">
      <c r="G8" s="138">
        <f>'Enrol Staff &amp; Exp'!G11</f>
        <v>2021</v>
      </c>
      <c r="H8" s="138">
        <f>'Enrol Staff &amp; Exp'!H11</f>
        <v>2022</v>
      </c>
      <c r="I8" s="139">
        <f>'Enrol Staff &amp; Exp'!I11</f>
        <v>2023</v>
      </c>
      <c r="J8" s="139">
        <f>'Enrol Staff &amp; Exp'!J11</f>
        <v>2024</v>
      </c>
      <c r="K8" s="139">
        <f>'Enrol Staff &amp; Exp'!K11</f>
        <v>2025</v>
      </c>
      <c r="L8" s="139">
        <f>'Enrol Staff &amp; Exp'!L11</f>
        <v>2026</v>
      </c>
      <c r="M8" s="140">
        <f>'Enrol Staff &amp; Exp'!M11</f>
        <v>2027</v>
      </c>
      <c r="N8" s="159"/>
    </row>
    <row r="9" spans="1:14">
      <c r="C9" s="1281"/>
      <c r="N9" s="159"/>
    </row>
    <row r="10" spans="1:14">
      <c r="B10" s="130" t="s">
        <v>70</v>
      </c>
      <c r="C10" s="130"/>
      <c r="H10" s="135"/>
      <c r="I10" s="135"/>
      <c r="J10" s="135"/>
      <c r="K10" s="135"/>
      <c r="L10" s="135"/>
      <c r="M10" s="135"/>
      <c r="N10" s="159"/>
    </row>
    <row r="11" spans="1:14">
      <c r="B11" s="186" t="s">
        <v>223</v>
      </c>
      <c r="C11" s="623">
        <v>0</v>
      </c>
      <c r="D11" s="187" t="s">
        <v>220</v>
      </c>
      <c r="E11" s="187"/>
      <c r="F11" s="187"/>
      <c r="G11" s="187"/>
      <c r="H11" s="187"/>
      <c r="I11" s="187"/>
      <c r="J11" s="187"/>
      <c r="K11" s="187"/>
      <c r="L11" s="187"/>
      <c r="M11" s="187"/>
      <c r="N11" s="159"/>
    </row>
    <row r="12" spans="1:14">
      <c r="B12" s="188"/>
      <c r="C12" s="823">
        <v>500</v>
      </c>
      <c r="D12" s="159" t="s">
        <v>20</v>
      </c>
      <c r="E12" s="159"/>
      <c r="F12" s="159"/>
      <c r="G12" s="159"/>
      <c r="H12" s="159"/>
      <c r="I12" s="159"/>
      <c r="J12" s="159"/>
      <c r="K12" s="159"/>
      <c r="L12" s="159"/>
      <c r="M12" s="159"/>
      <c r="N12" s="159"/>
    </row>
    <row r="13" spans="1:14">
      <c r="B13" s="188"/>
      <c r="C13" s="189"/>
      <c r="D13" s="159"/>
      <c r="E13" s="159"/>
      <c r="F13" s="159"/>
      <c r="G13" s="159"/>
      <c r="H13" s="159"/>
      <c r="I13" s="159"/>
      <c r="J13" s="159"/>
      <c r="K13" s="159"/>
      <c r="L13" s="159"/>
      <c r="M13" s="159"/>
      <c r="N13" s="159"/>
    </row>
    <row r="14" spans="1:14">
      <c r="B14" s="188" t="s">
        <v>14</v>
      </c>
      <c r="C14" s="623"/>
      <c r="D14" s="159" t="s">
        <v>172</v>
      </c>
      <c r="E14" s="159"/>
      <c r="F14" s="159"/>
      <c r="G14" s="159"/>
      <c r="H14" s="159"/>
      <c r="I14" s="159"/>
      <c r="J14" s="159"/>
      <c r="K14" s="159"/>
      <c r="L14" s="159"/>
      <c r="M14" s="159"/>
      <c r="N14" s="159"/>
    </row>
    <row r="15" spans="1:14">
      <c r="B15" s="188" t="s">
        <v>10</v>
      </c>
      <c r="C15" s="823"/>
      <c r="D15" s="146" t="s">
        <v>194</v>
      </c>
      <c r="E15" s="146"/>
      <c r="F15" s="146"/>
      <c r="G15" s="146"/>
      <c r="H15" s="159"/>
      <c r="I15" s="159"/>
      <c r="J15" s="159"/>
      <c r="K15" s="159"/>
      <c r="L15" s="159"/>
      <c r="M15" s="159"/>
      <c r="N15" s="159"/>
    </row>
    <row r="16" spans="1:14">
      <c r="B16" s="188" t="s">
        <v>137</v>
      </c>
      <c r="C16" s="623"/>
      <c r="D16" s="146" t="s">
        <v>136</v>
      </c>
      <c r="E16" s="146"/>
      <c r="F16" s="146"/>
      <c r="G16" s="146"/>
      <c r="H16" s="159"/>
      <c r="I16" s="159"/>
      <c r="J16" s="159"/>
      <c r="K16" s="159"/>
      <c r="L16" s="159"/>
      <c r="M16" s="159"/>
      <c r="N16" s="159"/>
    </row>
    <row r="17" spans="2:14">
      <c r="B17" s="190"/>
      <c r="C17" s="191"/>
      <c r="D17" s="192"/>
      <c r="E17" s="192"/>
      <c r="F17" s="192"/>
      <c r="G17" s="192"/>
      <c r="H17" s="192"/>
      <c r="I17" s="192"/>
      <c r="J17" s="192"/>
      <c r="K17" s="192"/>
      <c r="L17" s="192"/>
      <c r="M17" s="192"/>
      <c r="N17" s="159"/>
    </row>
    <row r="18" spans="2:14">
      <c r="B18" s="141" t="s">
        <v>253</v>
      </c>
      <c r="H18" s="180">
        <f>'Enrol Staff &amp; Exp'!H31</f>
        <v>325</v>
      </c>
      <c r="I18" s="180">
        <f>'Enrol Staff &amp; Exp'!I31</f>
        <v>425</v>
      </c>
      <c r="J18" s="180">
        <f>'Enrol Staff &amp; Exp'!J31</f>
        <v>550</v>
      </c>
      <c r="K18" s="180">
        <f>'Enrol Staff &amp; Exp'!K31</f>
        <v>675</v>
      </c>
      <c r="L18" s="180">
        <f>'Enrol Staff &amp; Exp'!L31</f>
        <v>800</v>
      </c>
      <c r="M18" s="180">
        <f>'Enrol Staff &amp; Exp'!M31</f>
        <v>975</v>
      </c>
      <c r="N18" s="193"/>
    </row>
    <row r="19" spans="2:14">
      <c r="B19" s="130"/>
      <c r="C19" s="130"/>
      <c r="N19" s="159"/>
    </row>
    <row r="20" spans="2:14">
      <c r="B20" s="141" t="s">
        <v>19</v>
      </c>
      <c r="D20" s="194"/>
      <c r="G20" s="1138"/>
      <c r="H20" s="180">
        <f t="shared" ref="H20:M20" si="0">IF(H18=0,0,IF(H18&gt;($C$12*5),6,IF(H18&gt;($C$12*4),5,IF(H18&gt;($C$12*3),4,IF(H18&gt;($C$12*2),3,IF(H18&gt;$C$12,2,IF(H18&gt;0,1)))))))</f>
        <v>1</v>
      </c>
      <c r="I20" s="180">
        <f t="shared" si="0"/>
        <v>1</v>
      </c>
      <c r="J20" s="180">
        <f t="shared" si="0"/>
        <v>2</v>
      </c>
      <c r="K20" s="180">
        <f t="shared" si="0"/>
        <v>2</v>
      </c>
      <c r="L20" s="180">
        <f t="shared" si="0"/>
        <v>2</v>
      </c>
      <c r="M20" s="180">
        <f t="shared" si="0"/>
        <v>2</v>
      </c>
      <c r="N20" s="159"/>
    </row>
    <row r="21" spans="2:14">
      <c r="B21" s="150" t="s">
        <v>35</v>
      </c>
      <c r="D21" s="194"/>
      <c r="G21" s="1138"/>
      <c r="H21" s="180">
        <f t="shared" ref="H21:M21" si="1">H20*($C$11*12)</f>
        <v>0</v>
      </c>
      <c r="I21" s="180">
        <f t="shared" si="1"/>
        <v>0</v>
      </c>
      <c r="J21" s="180">
        <f t="shared" si="1"/>
        <v>0</v>
      </c>
      <c r="K21" s="180">
        <f t="shared" si="1"/>
        <v>0</v>
      </c>
      <c r="L21" s="180">
        <f t="shared" si="1"/>
        <v>0</v>
      </c>
      <c r="M21" s="180">
        <f t="shared" si="1"/>
        <v>0</v>
      </c>
      <c r="N21" s="159"/>
    </row>
    <row r="22" spans="2:14">
      <c r="B22" s="150" t="s">
        <v>21</v>
      </c>
      <c r="D22" s="824">
        <v>10</v>
      </c>
      <c r="E22" s="150" t="s">
        <v>68</v>
      </c>
      <c r="G22" s="1138"/>
      <c r="H22" s="195">
        <f t="shared" ref="H22:M22" si="2">$D$22*H18</f>
        <v>3250</v>
      </c>
      <c r="I22" s="195">
        <f t="shared" si="2"/>
        <v>4250</v>
      </c>
      <c r="J22" s="195">
        <f t="shared" si="2"/>
        <v>5500</v>
      </c>
      <c r="K22" s="195">
        <f t="shared" si="2"/>
        <v>6750</v>
      </c>
      <c r="L22" s="195">
        <f t="shared" si="2"/>
        <v>8000</v>
      </c>
      <c r="M22" s="195">
        <f t="shared" si="2"/>
        <v>9750</v>
      </c>
      <c r="N22" s="159"/>
    </row>
    <row r="23" spans="2:14">
      <c r="B23" s="150" t="s">
        <v>489</v>
      </c>
      <c r="D23" s="824">
        <v>350</v>
      </c>
      <c r="E23" s="150" t="s">
        <v>492</v>
      </c>
      <c r="G23" s="1138"/>
      <c r="H23" s="195">
        <f>$D$23*'Enrol Staff &amp; Exp'!H103</f>
        <v>7350</v>
      </c>
      <c r="I23" s="195">
        <f>$D$23*('Enrol Staff &amp; Exp'!I103-'Enrol Staff &amp; Exp'!H103)</f>
        <v>3500</v>
      </c>
      <c r="J23" s="195">
        <f>$D$23*('Enrol Staff &amp; Exp'!J103-'Enrol Staff &amp; Exp'!I103)</f>
        <v>4200</v>
      </c>
      <c r="K23" s="195">
        <f>$D$23*('Enrol Staff &amp; Exp'!K103-'Enrol Staff &amp; Exp'!J103)</f>
        <v>3150</v>
      </c>
      <c r="L23" s="195">
        <f>$D$23*('Enrol Staff &amp; Exp'!L103-'Enrol Staff &amp; Exp'!K103)</f>
        <v>3150</v>
      </c>
      <c r="M23" s="195">
        <f>$D$23*('Enrol Staff &amp; Exp'!M103-'Enrol Staff &amp; Exp'!L103)</f>
        <v>3850</v>
      </c>
      <c r="N23" s="159"/>
    </row>
    <row r="24" spans="2:14">
      <c r="B24" s="150" t="s">
        <v>490</v>
      </c>
      <c r="D24" s="1279" t="s">
        <v>505</v>
      </c>
      <c r="G24" s="1138"/>
      <c r="H24" s="195"/>
      <c r="I24" s="195"/>
      <c r="J24" s="195"/>
      <c r="K24" s="195">
        <f>H23</f>
        <v>7350</v>
      </c>
      <c r="L24" s="195">
        <f>I23</f>
        <v>3500</v>
      </c>
      <c r="M24" s="195">
        <f>J23</f>
        <v>4200</v>
      </c>
      <c r="N24" s="159"/>
    </row>
    <row r="25" spans="2:14">
      <c r="B25" s="150" t="s">
        <v>491</v>
      </c>
      <c r="D25" s="1280" t="s">
        <v>506</v>
      </c>
      <c r="G25" s="1138"/>
      <c r="H25" s="195">
        <f>H23/3</f>
        <v>2450</v>
      </c>
      <c r="I25" s="195">
        <f>H25+(I23/3)</f>
        <v>3616.666666666667</v>
      </c>
      <c r="J25" s="195">
        <f>I25+(J23/3)</f>
        <v>5016.666666666667</v>
      </c>
      <c r="K25" s="195">
        <f>J25+(K23/3)+(K24/3)-(H23/3)</f>
        <v>6066.6666666666679</v>
      </c>
      <c r="L25" s="195">
        <f>K25+(L23/3)+(L24/3)-(I23/3)</f>
        <v>7116.666666666667</v>
      </c>
      <c r="M25" s="195">
        <f>L25+(M23/3)+(M24/3)-(J23/3)</f>
        <v>8400</v>
      </c>
      <c r="N25" s="159"/>
    </row>
    <row r="26" spans="2:14" s="150" customFormat="1" ht="14.25" customHeight="1">
      <c r="B26" s="150" t="s">
        <v>493</v>
      </c>
      <c r="D26" s="825">
        <v>0</v>
      </c>
      <c r="E26" s="150" t="s">
        <v>194</v>
      </c>
      <c r="G26" s="1138"/>
      <c r="H26" s="196">
        <f>(($D$26*$C$15*$C$14)+$C$16)*'Enrol Staff &amp; Exp'!H15</f>
        <v>0</v>
      </c>
      <c r="I26" s="196">
        <f>(($D$26*$C$15*$C$14)+$C$16)*('Enrol Staff &amp; Exp'!I15-'Enrol Staff &amp; Exp'!H15)</f>
        <v>0</v>
      </c>
      <c r="J26" s="196">
        <f>(($D$26*$C$15*$C$14)+$C$16)*('Enrol Staff &amp; Exp'!J15-'Enrol Staff &amp; Exp'!I15)</f>
        <v>0</v>
      </c>
      <c r="K26" s="196">
        <f>(($D$26*$C$15*$C$14)+$C$16)*('Enrol Staff &amp; Exp'!K15-'Enrol Staff &amp; Exp'!J15)</f>
        <v>0</v>
      </c>
      <c r="L26" s="196">
        <f>(($D$26*$C$15*$C$14)+$C$16)*('Enrol Staff &amp; Exp'!L15-'Enrol Staff &amp; Exp'!K15)</f>
        <v>0</v>
      </c>
      <c r="M26" s="196">
        <f>(($D$26*$C$15*$C$14)+$C$16)*('Enrol Staff &amp; Exp'!M15-'Enrol Staff &amp; Exp'!L15)</f>
        <v>0</v>
      </c>
      <c r="N26" s="168"/>
    </row>
    <row r="27" spans="2:14" s="150" customFormat="1">
      <c r="B27" s="150" t="s">
        <v>494</v>
      </c>
      <c r="D27" s="1279" t="s">
        <v>505</v>
      </c>
      <c r="G27" s="1138"/>
      <c r="H27" s="196"/>
      <c r="I27" s="196"/>
      <c r="J27" s="196"/>
      <c r="K27" s="196">
        <f>+H26</f>
        <v>0</v>
      </c>
      <c r="L27" s="196">
        <f>+I26</f>
        <v>0</v>
      </c>
      <c r="M27" s="196">
        <f>+J26</f>
        <v>0</v>
      </c>
      <c r="N27" s="168"/>
    </row>
    <row r="28" spans="2:14" s="150" customFormat="1">
      <c r="B28" s="150" t="s">
        <v>495</v>
      </c>
      <c r="D28" s="1279" t="s">
        <v>506</v>
      </c>
      <c r="G28" s="1138"/>
      <c r="H28" s="195">
        <f>H26/3</f>
        <v>0</v>
      </c>
      <c r="I28" s="195">
        <f>H28+(I26/3)</f>
        <v>0</v>
      </c>
      <c r="J28" s="195">
        <f>I28+(J26/3)</f>
        <v>0</v>
      </c>
      <c r="K28" s="195">
        <f>J28+(K26/3)+(K27/3)-(H26/3)</f>
        <v>0</v>
      </c>
      <c r="L28" s="195">
        <f>K28+(L26/3)+(L27/3)-(I26/3)</f>
        <v>0</v>
      </c>
      <c r="M28" s="195">
        <f>L28+(M26/3)+(M27/3)-(J26/3)</f>
        <v>0</v>
      </c>
      <c r="N28" s="168"/>
    </row>
    <row r="29" spans="2:14">
      <c r="B29" s="150" t="s">
        <v>496</v>
      </c>
      <c r="C29" s="150"/>
      <c r="D29" s="824">
        <v>0</v>
      </c>
      <c r="E29" s="150" t="s">
        <v>142</v>
      </c>
      <c r="G29" s="1138"/>
      <c r="H29" s="195">
        <f>$D$29*'Enrol Staff &amp; Exp'!H103</f>
        <v>0</v>
      </c>
      <c r="I29" s="195">
        <f>$D29*('Enrol Staff &amp; Exp'!I103-'Enrol Staff &amp; Exp'!H103)</f>
        <v>0</v>
      </c>
      <c r="J29" s="195">
        <f>$D29*('Enrol Staff &amp; Exp'!J103-'Enrol Staff &amp; Exp'!I103)</f>
        <v>0</v>
      </c>
      <c r="K29" s="195">
        <f>$D29*('Enrol Staff &amp; Exp'!K103-'Enrol Staff &amp; Exp'!J103)</f>
        <v>0</v>
      </c>
      <c r="L29" s="195">
        <f>$D29*('Enrol Staff &amp; Exp'!L103-'Enrol Staff &amp; Exp'!K103)</f>
        <v>0</v>
      </c>
      <c r="M29" s="195">
        <f>$D29*('Enrol Staff &amp; Exp'!M103-'Enrol Staff &amp; Exp'!L103)</f>
        <v>0</v>
      </c>
      <c r="N29" s="159"/>
    </row>
    <row r="30" spans="2:14">
      <c r="B30" s="150" t="s">
        <v>497</v>
      </c>
      <c r="C30" s="150"/>
      <c r="D30" s="1279" t="s">
        <v>505</v>
      </c>
      <c r="G30" s="1138"/>
      <c r="H30" s="195"/>
      <c r="I30" s="195"/>
      <c r="J30" s="195"/>
      <c r="K30" s="195">
        <f>H29</f>
        <v>0</v>
      </c>
      <c r="L30" s="195">
        <f>I29</f>
        <v>0</v>
      </c>
      <c r="M30" s="195">
        <f>J29</f>
        <v>0</v>
      </c>
      <c r="N30" s="159"/>
    </row>
    <row r="31" spans="2:14">
      <c r="B31" s="150" t="s">
        <v>498</v>
      </c>
      <c r="C31" s="150"/>
      <c r="D31" s="1279" t="s">
        <v>506</v>
      </c>
      <c r="G31" s="1138"/>
      <c r="H31" s="195">
        <f>H29/3</f>
        <v>0</v>
      </c>
      <c r="I31" s="195">
        <f>H31+(I29/3)</f>
        <v>0</v>
      </c>
      <c r="J31" s="195">
        <f>I31+(J29/3)</f>
        <v>0</v>
      </c>
      <c r="K31" s="195">
        <f>J31+(K29/3)+(K30/3)-(H29/3)</f>
        <v>0</v>
      </c>
      <c r="L31" s="195">
        <f>K31+(L29/3)+(L30/3)-(I29/3)</f>
        <v>0</v>
      </c>
      <c r="M31" s="195">
        <f>L31+(M29/3)+(M30/3)-(J29/3)</f>
        <v>0</v>
      </c>
      <c r="N31" s="159"/>
    </row>
    <row r="32" spans="2:14">
      <c r="B32" s="150" t="s">
        <v>281</v>
      </c>
      <c r="D32" s="824">
        <v>0</v>
      </c>
      <c r="E32" s="150" t="s">
        <v>220</v>
      </c>
      <c r="G32" s="1138"/>
      <c r="H32" s="195">
        <f>($D$32*12)*'Enrol Staff &amp; Exp'!H103</f>
        <v>0</v>
      </c>
      <c r="I32" s="195">
        <f>($D$32*12)*'Enrol Staff &amp; Exp'!I103</f>
        <v>0</v>
      </c>
      <c r="J32" s="195">
        <f>($D$32*12)*'Enrol Staff &amp; Exp'!J103</f>
        <v>0</v>
      </c>
      <c r="K32" s="195">
        <f>($D$32*12)*'Enrol Staff &amp; Exp'!K103</f>
        <v>0</v>
      </c>
      <c r="L32" s="195">
        <f>($D$32*12)*'Enrol Staff &amp; Exp'!L103</f>
        <v>0</v>
      </c>
      <c r="M32" s="195">
        <f>($D$32*12)*'Enrol Staff &amp; Exp'!M103</f>
        <v>0</v>
      </c>
      <c r="N32" s="159"/>
    </row>
    <row r="33" spans="2:14">
      <c r="B33" s="150" t="s">
        <v>203</v>
      </c>
      <c r="C33" s="150"/>
      <c r="D33" s="824">
        <v>0</v>
      </c>
      <c r="E33" s="150" t="s">
        <v>86</v>
      </c>
      <c r="G33" s="1138"/>
      <c r="H33" s="196">
        <f>D33</f>
        <v>0</v>
      </c>
      <c r="I33" s="196"/>
      <c r="J33" s="196"/>
      <c r="K33" s="196"/>
      <c r="L33" s="196"/>
      <c r="M33" s="196"/>
      <c r="N33" s="159"/>
    </row>
    <row r="34" spans="2:14">
      <c r="B34" s="150" t="s">
        <v>499</v>
      </c>
      <c r="D34" s="824">
        <v>3500</v>
      </c>
      <c r="E34" s="168" t="s">
        <v>87</v>
      </c>
      <c r="F34" s="168"/>
      <c r="G34" s="1138"/>
      <c r="H34" s="196">
        <f>D34</f>
        <v>3500</v>
      </c>
      <c r="I34" s="196"/>
      <c r="J34" s="196"/>
      <c r="K34" s="196"/>
      <c r="L34" s="196"/>
      <c r="M34" s="196"/>
      <c r="N34" s="159"/>
    </row>
    <row r="35" spans="2:14">
      <c r="B35" s="150" t="s">
        <v>500</v>
      </c>
      <c r="D35" s="1279" t="s">
        <v>507</v>
      </c>
      <c r="E35" s="168"/>
      <c r="F35" s="168"/>
      <c r="G35" s="1138"/>
      <c r="H35" s="196"/>
      <c r="I35" s="196"/>
      <c r="J35" s="196"/>
      <c r="K35" s="196"/>
      <c r="L35" s="196"/>
      <c r="M35" s="196">
        <f>+H34</f>
        <v>3500</v>
      </c>
      <c r="N35" s="159"/>
    </row>
    <row r="36" spans="2:14">
      <c r="B36" s="150" t="s">
        <v>501</v>
      </c>
      <c r="D36" s="1279" t="s">
        <v>506</v>
      </c>
      <c r="E36" s="168"/>
      <c r="F36" s="168"/>
      <c r="G36" s="1138"/>
      <c r="H36" s="196">
        <f>H34/5</f>
        <v>700</v>
      </c>
      <c r="I36" s="196">
        <f>+H36</f>
        <v>700</v>
      </c>
      <c r="J36" s="196">
        <f>+I36</f>
        <v>700</v>
      </c>
      <c r="K36" s="196">
        <f>+J36</f>
        <v>700</v>
      </c>
      <c r="L36" s="196">
        <f>+K36</f>
        <v>700</v>
      </c>
      <c r="M36" s="196">
        <f>+L36</f>
        <v>700</v>
      </c>
      <c r="N36" s="159"/>
    </row>
    <row r="37" spans="2:14">
      <c r="B37" s="150" t="s">
        <v>502</v>
      </c>
      <c r="D37" s="824">
        <v>2000</v>
      </c>
      <c r="E37" s="168" t="s">
        <v>284</v>
      </c>
      <c r="F37" s="168"/>
      <c r="G37" s="1138"/>
      <c r="H37" s="196">
        <f>'Enrol Staff &amp; Exp'!H16*'FFE&amp;T'!D37</f>
        <v>26000</v>
      </c>
      <c r="I37" s="196">
        <f>$D$37*('Enrol Staff &amp; Exp'!I16-'Enrol Staff &amp; Exp'!H16)</f>
        <v>8000</v>
      </c>
      <c r="J37" s="196">
        <f>$D$37*('Enrol Staff &amp; Exp'!J16-'Enrol Staff &amp; Exp'!I16)</f>
        <v>10000</v>
      </c>
      <c r="K37" s="196">
        <f>$D$37*('Enrol Staff &amp; Exp'!K16-'Enrol Staff &amp; Exp'!J16)</f>
        <v>10000</v>
      </c>
      <c r="L37" s="196">
        <f>$D$37*('Enrol Staff &amp; Exp'!L16-'Enrol Staff &amp; Exp'!K16)</f>
        <v>10000</v>
      </c>
      <c r="M37" s="196">
        <f>$D$37*('Enrol Staff &amp; Exp'!M16-'Enrol Staff &amp; Exp'!L16)</f>
        <v>14000</v>
      </c>
      <c r="N37" s="159"/>
    </row>
    <row r="38" spans="2:14">
      <c r="B38" s="150" t="s">
        <v>503</v>
      </c>
      <c r="D38" s="1279" t="s">
        <v>505</v>
      </c>
      <c r="E38" s="168"/>
      <c r="F38" s="168"/>
      <c r="G38" s="1138"/>
      <c r="H38" s="196"/>
      <c r="I38" s="196"/>
      <c r="J38" s="196"/>
      <c r="K38" s="196">
        <f>+H37</f>
        <v>26000</v>
      </c>
      <c r="L38" s="196">
        <f>+I37</f>
        <v>8000</v>
      </c>
      <c r="M38" s="196">
        <f>+J37</f>
        <v>10000</v>
      </c>
      <c r="N38" s="159"/>
    </row>
    <row r="39" spans="2:14">
      <c r="B39" s="150" t="s">
        <v>504</v>
      </c>
      <c r="D39" s="1279" t="s">
        <v>506</v>
      </c>
      <c r="E39" s="168"/>
      <c r="F39" s="168"/>
      <c r="G39" s="1138"/>
      <c r="H39" s="195">
        <f>H37/3</f>
        <v>8666.6666666666661</v>
      </c>
      <c r="I39" s="195">
        <f>H39+(I37/3)</f>
        <v>11333.333333333332</v>
      </c>
      <c r="J39" s="195">
        <f>I39+(J37/3)</f>
        <v>14666.666666666666</v>
      </c>
      <c r="K39" s="195">
        <f>J39+(K37/3)+(K38/3)-(H37/3)</f>
        <v>18000</v>
      </c>
      <c r="L39" s="195">
        <f>K39+(L37/3)+(L38/3)-(I37/3)</f>
        <v>21333.333333333332</v>
      </c>
      <c r="M39" s="195">
        <f>L39+(M37/3)+(M38/3)-(J37/3)</f>
        <v>26000</v>
      </c>
      <c r="N39" s="159"/>
    </row>
    <row r="40" spans="2:14">
      <c r="B40" s="150" t="s">
        <v>629</v>
      </c>
      <c r="D40" s="824">
        <v>75</v>
      </c>
      <c r="E40" s="168" t="s">
        <v>68</v>
      </c>
      <c r="F40" s="168"/>
      <c r="G40" s="1138"/>
      <c r="H40" s="196">
        <f t="shared" ref="H40:M40" si="3">$D$40*H18</f>
        <v>24375</v>
      </c>
      <c r="I40" s="196">
        <f t="shared" si="3"/>
        <v>31875</v>
      </c>
      <c r="J40" s="196">
        <f t="shared" si="3"/>
        <v>41250</v>
      </c>
      <c r="K40" s="196">
        <f t="shared" si="3"/>
        <v>50625</v>
      </c>
      <c r="L40" s="196">
        <f t="shared" si="3"/>
        <v>60000</v>
      </c>
      <c r="M40" s="196">
        <f t="shared" si="3"/>
        <v>73125</v>
      </c>
      <c r="N40" s="159"/>
    </row>
    <row r="41" spans="2:14">
      <c r="B41" s="150" t="s">
        <v>268</v>
      </c>
      <c r="D41" s="824">
        <v>0</v>
      </c>
      <c r="E41" s="150" t="s">
        <v>220</v>
      </c>
      <c r="G41" s="1138"/>
      <c r="H41" s="195">
        <f t="shared" ref="H41:M41" si="4">$D$41*12</f>
        <v>0</v>
      </c>
      <c r="I41" s="195">
        <f t="shared" si="4"/>
        <v>0</v>
      </c>
      <c r="J41" s="195">
        <f t="shared" si="4"/>
        <v>0</v>
      </c>
      <c r="K41" s="195">
        <f t="shared" si="4"/>
        <v>0</v>
      </c>
      <c r="L41" s="195">
        <f t="shared" si="4"/>
        <v>0</v>
      </c>
      <c r="M41" s="195">
        <f t="shared" si="4"/>
        <v>0</v>
      </c>
      <c r="N41" s="159"/>
    </row>
    <row r="42" spans="2:14">
      <c r="B42" s="150" t="s">
        <v>82</v>
      </c>
      <c r="D42" s="824">
        <v>1250</v>
      </c>
      <c r="E42" s="150" t="s">
        <v>220</v>
      </c>
      <c r="G42" s="1138"/>
      <c r="H42" s="195">
        <f t="shared" ref="H42:M42" si="5">$D$42*12</f>
        <v>15000</v>
      </c>
      <c r="I42" s="195">
        <f t="shared" si="5"/>
        <v>15000</v>
      </c>
      <c r="J42" s="195">
        <f t="shared" si="5"/>
        <v>15000</v>
      </c>
      <c r="K42" s="195">
        <f t="shared" si="5"/>
        <v>15000</v>
      </c>
      <c r="L42" s="195">
        <f t="shared" si="5"/>
        <v>15000</v>
      </c>
      <c r="M42" s="195">
        <f t="shared" si="5"/>
        <v>15000</v>
      </c>
      <c r="N42" s="159"/>
    </row>
    <row r="43" spans="2:14">
      <c r="B43" s="150" t="s">
        <v>508</v>
      </c>
      <c r="D43" s="824">
        <v>0</v>
      </c>
      <c r="E43" s="150" t="s">
        <v>12</v>
      </c>
      <c r="G43" s="1138"/>
      <c r="H43" s="645">
        <v>0</v>
      </c>
      <c r="I43" s="645">
        <v>0</v>
      </c>
      <c r="J43" s="645">
        <v>0</v>
      </c>
      <c r="K43" s="645">
        <v>0</v>
      </c>
      <c r="L43" s="645">
        <v>0</v>
      </c>
      <c r="M43" s="645">
        <v>0</v>
      </c>
      <c r="N43" s="159"/>
    </row>
    <row r="44" spans="2:14">
      <c r="B44" s="150" t="s">
        <v>509</v>
      </c>
      <c r="D44" s="824">
        <v>0</v>
      </c>
      <c r="E44" s="150" t="s">
        <v>511</v>
      </c>
      <c r="G44" s="1138"/>
      <c r="H44" s="645">
        <v>0</v>
      </c>
      <c r="I44" s="645">
        <v>0</v>
      </c>
      <c r="J44" s="645">
        <v>0</v>
      </c>
      <c r="K44" s="645">
        <v>0</v>
      </c>
      <c r="L44" s="645">
        <v>0</v>
      </c>
      <c r="M44" s="645">
        <v>0</v>
      </c>
      <c r="N44" s="159"/>
    </row>
    <row r="45" spans="2:14">
      <c r="B45" s="150" t="s">
        <v>510</v>
      </c>
      <c r="D45" s="824">
        <v>0</v>
      </c>
      <c r="G45" s="1138"/>
      <c r="H45" s="645">
        <f t="shared" ref="H45:M45" si="6">$D$45</f>
        <v>0</v>
      </c>
      <c r="I45" s="645">
        <f t="shared" si="6"/>
        <v>0</v>
      </c>
      <c r="J45" s="645">
        <f t="shared" si="6"/>
        <v>0</v>
      </c>
      <c r="K45" s="645">
        <f t="shared" si="6"/>
        <v>0</v>
      </c>
      <c r="L45" s="645">
        <f t="shared" si="6"/>
        <v>0</v>
      </c>
      <c r="M45" s="645">
        <f t="shared" si="6"/>
        <v>0</v>
      </c>
      <c r="N45" s="159"/>
    </row>
    <row r="46" spans="2:14">
      <c r="B46" s="150" t="s">
        <v>1</v>
      </c>
      <c r="D46" s="824">
        <v>0</v>
      </c>
      <c r="E46" s="150" t="s">
        <v>220</v>
      </c>
      <c r="G46" s="1138"/>
      <c r="H46" s="195">
        <f t="shared" ref="H46:M46" si="7">$D$46*12</f>
        <v>0</v>
      </c>
      <c r="I46" s="195">
        <f t="shared" si="7"/>
        <v>0</v>
      </c>
      <c r="J46" s="195">
        <f t="shared" si="7"/>
        <v>0</v>
      </c>
      <c r="K46" s="195">
        <f t="shared" si="7"/>
        <v>0</v>
      </c>
      <c r="L46" s="195">
        <f t="shared" si="7"/>
        <v>0</v>
      </c>
      <c r="M46" s="195">
        <f t="shared" si="7"/>
        <v>0</v>
      </c>
      <c r="N46" s="159"/>
    </row>
    <row r="47" spans="2:14">
      <c r="B47" s="150" t="s">
        <v>512</v>
      </c>
      <c r="D47" s="824">
        <v>0</v>
      </c>
      <c r="E47" s="150" t="s">
        <v>282</v>
      </c>
      <c r="G47" s="1138"/>
      <c r="H47" s="195">
        <f>$D$47*('Enrol Staff &amp; Exp'!H103-'Enrol Staff &amp; Exp'!G103)</f>
        <v>0</v>
      </c>
      <c r="I47" s="195">
        <f>$D$47*('Enrol Staff &amp; Exp'!I103-'Enrol Staff &amp; Exp'!H103)</f>
        <v>0</v>
      </c>
      <c r="J47" s="195">
        <f>$D$47*('Enrol Staff &amp; Exp'!J103-'Enrol Staff &amp; Exp'!I103)</f>
        <v>0</v>
      </c>
      <c r="K47" s="195">
        <f>$D$47*('Enrol Staff &amp; Exp'!K103-'Enrol Staff &amp; Exp'!J103)</f>
        <v>0</v>
      </c>
      <c r="L47" s="195">
        <f>$D$47*('Enrol Staff &amp; Exp'!L103-'Enrol Staff &amp; Exp'!K103)</f>
        <v>0</v>
      </c>
      <c r="M47" s="195">
        <f>$D$47*('Enrol Staff &amp; Exp'!M103-'Enrol Staff &amp; Exp'!L103)</f>
        <v>0</v>
      </c>
      <c r="N47" s="159"/>
    </row>
    <row r="48" spans="2:14">
      <c r="B48" s="150" t="s">
        <v>513</v>
      </c>
      <c r="D48" s="1279" t="s">
        <v>505</v>
      </c>
      <c r="G48" s="1138"/>
      <c r="H48" s="195"/>
      <c r="I48" s="195"/>
      <c r="J48" s="195"/>
      <c r="K48" s="195">
        <f>+H47</f>
        <v>0</v>
      </c>
      <c r="L48" s="195">
        <f>+I47</f>
        <v>0</v>
      </c>
      <c r="M48" s="195">
        <f>+J47</f>
        <v>0</v>
      </c>
      <c r="N48" s="159"/>
    </row>
    <row r="49" spans="2:14">
      <c r="B49" s="150" t="s">
        <v>514</v>
      </c>
      <c r="D49" s="1279" t="s">
        <v>506</v>
      </c>
      <c r="G49" s="1138"/>
      <c r="H49" s="195">
        <f>H47/3</f>
        <v>0</v>
      </c>
      <c r="I49" s="195">
        <f>H49+(I47/3)</f>
        <v>0</v>
      </c>
      <c r="J49" s="195">
        <f>I49+(J47/3)</f>
        <v>0</v>
      </c>
      <c r="K49" s="195">
        <f>J49+(K47/3)+(K48/3)-(H47/3)</f>
        <v>0</v>
      </c>
      <c r="L49" s="195">
        <f>K49+(L47/3)+(L48/3)-(I47/3)</f>
        <v>0</v>
      </c>
      <c r="M49" s="195">
        <f>L49+(M47/3)+(M48/3)-(J47/3)</f>
        <v>0</v>
      </c>
      <c r="N49" s="159"/>
    </row>
    <row r="50" spans="2:14">
      <c r="B50" s="150" t="s">
        <v>285</v>
      </c>
      <c r="D50" s="824">
        <v>150</v>
      </c>
      <c r="E50" s="150" t="s">
        <v>66</v>
      </c>
      <c r="G50" s="1138"/>
      <c r="H50" s="195">
        <f>$D$50*'Enrol Staff &amp; Exp'!H103</f>
        <v>3150</v>
      </c>
      <c r="I50" s="195">
        <f>$D$50*'Enrol Staff &amp; Exp'!I103</f>
        <v>4650</v>
      </c>
      <c r="J50" s="195">
        <f>$D$50*'Enrol Staff &amp; Exp'!J103</f>
        <v>6450</v>
      </c>
      <c r="K50" s="195">
        <f>$D$50*'Enrol Staff &amp; Exp'!K103</f>
        <v>7800</v>
      </c>
      <c r="L50" s="195">
        <f>$D$50*'Enrol Staff &amp; Exp'!L103</f>
        <v>9150</v>
      </c>
      <c r="M50" s="195">
        <f>$D$50*'Enrol Staff &amp; Exp'!M103</f>
        <v>10800</v>
      </c>
      <c r="N50" s="159"/>
    </row>
    <row r="51" spans="2:14">
      <c r="B51" s="150" t="s">
        <v>515</v>
      </c>
      <c r="C51" s="150"/>
      <c r="D51" s="824">
        <v>200</v>
      </c>
      <c r="E51" s="150" t="s">
        <v>282</v>
      </c>
      <c r="G51" s="1138"/>
      <c r="H51" s="195">
        <f>$D$51*'Enrol Staff &amp; Exp'!H103</f>
        <v>4200</v>
      </c>
      <c r="I51" s="195">
        <f>$D$51*('Enrol Staff &amp; Exp'!I103-'Enrol Staff &amp; Exp'!H103)</f>
        <v>2000</v>
      </c>
      <c r="J51" s="195">
        <f>$D$51*('Enrol Staff &amp; Exp'!J103-'Enrol Staff &amp; Exp'!I103)</f>
        <v>2400</v>
      </c>
      <c r="K51" s="195">
        <f>$D$51*('Enrol Staff &amp; Exp'!K103-'Enrol Staff &amp; Exp'!J103)</f>
        <v>1800</v>
      </c>
      <c r="L51" s="195">
        <f>$D$51*('Enrol Staff &amp; Exp'!L103-'Enrol Staff &amp; Exp'!K103)</f>
        <v>1800</v>
      </c>
      <c r="M51" s="195">
        <f>$D$51*('Enrol Staff &amp; Exp'!M103-'Enrol Staff &amp; Exp'!L103)</f>
        <v>2200</v>
      </c>
      <c r="N51" s="159"/>
    </row>
    <row r="52" spans="2:14">
      <c r="B52" s="168" t="s">
        <v>516</v>
      </c>
      <c r="C52" s="197"/>
      <c r="D52" s="824">
        <v>150</v>
      </c>
      <c r="E52" s="168" t="s">
        <v>79</v>
      </c>
      <c r="F52" s="168"/>
      <c r="G52" s="1138"/>
      <c r="H52" s="198">
        <f>$D$52*'Enrol Staff &amp; Exp'!H31</f>
        <v>48750</v>
      </c>
      <c r="I52" s="198">
        <f>$D$52*('Enrol Staff &amp; Exp'!I31-'Enrol Staff &amp; Exp'!H31)</f>
        <v>15000</v>
      </c>
      <c r="J52" s="198">
        <f>$D$52*('Enrol Staff &amp; Exp'!J31-'Enrol Staff &amp; Exp'!I31)</f>
        <v>18750</v>
      </c>
      <c r="K52" s="198">
        <f>$D$52*('Enrol Staff &amp; Exp'!K31-'Enrol Staff &amp; Exp'!J31)</f>
        <v>18750</v>
      </c>
      <c r="L52" s="198">
        <f>$D$52*('Enrol Staff &amp; Exp'!L31-'Enrol Staff &amp; Exp'!K31)</f>
        <v>18750</v>
      </c>
      <c r="M52" s="198">
        <f>$D$52*('Enrol Staff &amp; Exp'!M31-'Enrol Staff &amp; Exp'!L31)</f>
        <v>26250</v>
      </c>
      <c r="N52" s="159"/>
    </row>
    <row r="53" spans="2:14" ht="15" thickBot="1">
      <c r="B53" s="168" t="s">
        <v>602</v>
      </c>
      <c r="C53" s="197"/>
      <c r="D53" s="168"/>
      <c r="E53" s="168"/>
      <c r="F53" s="168"/>
      <c r="G53" s="168"/>
      <c r="H53" s="198">
        <f>(H51+H52)/15</f>
        <v>3530</v>
      </c>
      <c r="I53" s="198">
        <f>H53+((I51+I52)/15)</f>
        <v>4663.333333333333</v>
      </c>
      <c r="J53" s="198">
        <f>I53+((J51+J52)/15)</f>
        <v>6073.333333333333</v>
      </c>
      <c r="K53" s="198">
        <f>J53+((K51+K52)/15)</f>
        <v>7443.333333333333</v>
      </c>
      <c r="L53" s="198">
        <f>K53+((L51+L52)/15)</f>
        <v>8813.3333333333321</v>
      </c>
      <c r="M53" s="198">
        <f>L53+((M51+M52)/15)</f>
        <v>10709.999999999998</v>
      </c>
      <c r="N53" s="159"/>
    </row>
    <row r="54" spans="2:14" ht="15" thickBot="1">
      <c r="B54" s="144" t="s">
        <v>599</v>
      </c>
      <c r="C54" s="147"/>
      <c r="D54" s="777">
        <f>SUM(H54:M54)</f>
        <v>780650</v>
      </c>
      <c r="E54" s="148"/>
      <c r="F54" s="148"/>
      <c r="G54" s="145">
        <f t="shared" ref="G54:M54" si="8">+G21+G22+G23+G24+G26+G27+G29+G30+G32+G33+G34+G35+G37+G38+G40+G41+G42+G43+G44+G46+G47+G48+G50+G51+G52</f>
        <v>0</v>
      </c>
      <c r="H54" s="145">
        <f t="shared" si="8"/>
        <v>135575</v>
      </c>
      <c r="I54" s="145">
        <f t="shared" si="8"/>
        <v>84275</v>
      </c>
      <c r="J54" s="145">
        <f t="shared" si="8"/>
        <v>103550</v>
      </c>
      <c r="K54" s="145">
        <f t="shared" si="8"/>
        <v>147225</v>
      </c>
      <c r="L54" s="145">
        <f t="shared" si="8"/>
        <v>137350</v>
      </c>
      <c r="M54" s="145">
        <f t="shared" si="8"/>
        <v>172675</v>
      </c>
      <c r="N54" s="159"/>
    </row>
    <row r="55" spans="2:14" ht="15" thickBot="1">
      <c r="B55" s="769" t="s">
        <v>598</v>
      </c>
      <c r="C55" s="773"/>
      <c r="D55" s="776">
        <f>SUM(H55:M55)</f>
        <v>628850</v>
      </c>
      <c r="E55" s="773"/>
      <c r="F55" s="773"/>
      <c r="G55" s="771">
        <f t="shared" ref="G55:M55" si="9">+G21+G22+G25+G28+G31+G32+G33+G36+G39+G40+G41+G42+G45+G46+G49+G50+G53</f>
        <v>0</v>
      </c>
      <c r="H55" s="771">
        <f t="shared" si="9"/>
        <v>61121.666666666664</v>
      </c>
      <c r="I55" s="771">
        <f t="shared" si="9"/>
        <v>76088.333333333328</v>
      </c>
      <c r="J55" s="771">
        <f t="shared" si="9"/>
        <v>94656.666666666672</v>
      </c>
      <c r="K55" s="771">
        <f t="shared" si="9"/>
        <v>112385</v>
      </c>
      <c r="L55" s="771">
        <f t="shared" si="9"/>
        <v>130113.33333333333</v>
      </c>
      <c r="M55" s="771">
        <f t="shared" si="9"/>
        <v>154485</v>
      </c>
      <c r="N55" s="159"/>
    </row>
    <row r="56" spans="2:14">
      <c r="B56" s="309" t="s">
        <v>460</v>
      </c>
      <c r="C56" s="309"/>
      <c r="D56" s="309"/>
      <c r="E56" s="774"/>
      <c r="F56" s="774"/>
      <c r="G56" s="775">
        <f t="shared" ref="G56:M56" si="10">+G55-G54</f>
        <v>0</v>
      </c>
      <c r="H56" s="775">
        <f t="shared" si="10"/>
        <v>-74453.333333333343</v>
      </c>
      <c r="I56" s="775">
        <f t="shared" si="10"/>
        <v>-8186.6666666666715</v>
      </c>
      <c r="J56" s="775">
        <f t="shared" si="10"/>
        <v>-8893.3333333333285</v>
      </c>
      <c r="K56" s="775">
        <f t="shared" si="10"/>
        <v>-34840</v>
      </c>
      <c r="L56" s="775">
        <f t="shared" si="10"/>
        <v>-7236.6666666666715</v>
      </c>
      <c r="M56" s="775">
        <f t="shared" si="10"/>
        <v>-18190</v>
      </c>
    </row>
    <row r="57" spans="2:14">
      <c r="B57" s="309" t="s">
        <v>603</v>
      </c>
    </row>
  </sheetData>
  <sheetProtection algorithmName="SHA-512" hashValue="9zlBOk8TFp2ow0ETXSCZXYnG07GaTZmRNr6/aOWMueVIGMXxbW5sSL2bE2s6rfXwBAJcd5GHQEA2/Kc+YSC/3Q==" saltValue="qCrtenf5VnyHBD0Q1kRH3w==" spinCount="100000" sheet="1" selectLockedCells="1"/>
  <phoneticPr fontId="7" type="noConversion"/>
  <pageMargins left="0.25" right="0.25" top="0.5" bottom="0.44999999999999996" header="0.25" footer="0.25"/>
  <pageSetup scale="65" fitToHeight="3" orientation="landscape" r:id="rId1"/>
  <headerFooter>
    <oddHeader xml:space="preserve">&amp;L &amp;C &amp;R </oddHeader>
    <oddFooter>&amp;L&amp;7&amp;D  at &amp;T Mike 702.486.8879&amp;C&amp;7&amp;F  &amp;A&amp;R&amp;7Page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00"/>
  </sheetPr>
  <dimension ref="A1:N45"/>
  <sheetViews>
    <sheetView showGridLines="0" view="pageBreakPreview" topLeftCell="A6" zoomScaleNormal="70" zoomScaleSheetLayoutView="100" workbookViewId="0">
      <selection activeCell="I37" sqref="I37"/>
    </sheetView>
  </sheetViews>
  <sheetFormatPr baseColWidth="10" defaultColWidth="8.83203125" defaultRowHeight="14"/>
  <cols>
    <col min="1" max="1" width="6.6640625" style="217" bestFit="1" customWidth="1"/>
    <col min="2" max="2" width="50.6640625" style="217" customWidth="1"/>
    <col min="3" max="3" width="12.6640625" style="217" customWidth="1"/>
    <col min="4" max="5" width="9.33203125" style="221" customWidth="1"/>
    <col min="6" max="6" width="10.33203125" style="221" customWidth="1"/>
    <col min="7" max="7" width="11" style="221" customWidth="1"/>
    <col min="8" max="8" width="13.6640625" style="217" customWidth="1"/>
    <col min="9" max="9" width="14" style="217" customWidth="1"/>
    <col min="10" max="10" width="15.33203125" style="217" customWidth="1"/>
    <col min="11" max="14" width="16.33203125" style="217" customWidth="1"/>
    <col min="15" max="15" width="17.33203125" style="217" customWidth="1"/>
    <col min="16" max="17" width="10.6640625" style="217" bestFit="1" customWidth="1"/>
    <col min="18" max="18" width="20.1640625" style="217" customWidth="1"/>
    <col min="19" max="16384" width="8.83203125" style="217"/>
  </cols>
  <sheetData>
    <row r="1" spans="1:14" ht="18">
      <c r="A1" s="514" t="s">
        <v>672</v>
      </c>
      <c r="B1" s="215"/>
      <c r="E1" s="277" t="s">
        <v>400</v>
      </c>
      <c r="F1" s="1121">
        <f>'Enrol Staff &amp; Exp'!H6</f>
        <v>2021</v>
      </c>
    </row>
    <row r="2" spans="1:14" ht="16">
      <c r="A2" s="1437" t="str">
        <f>SchoolName</f>
        <v>TEACH Las Vegas</v>
      </c>
      <c r="B2" s="1437"/>
      <c r="E2" s="464" t="s">
        <v>567</v>
      </c>
      <c r="F2" s="201">
        <f>+F1+1</f>
        <v>2022</v>
      </c>
    </row>
    <row r="3" spans="1:14">
      <c r="A3" s="220" t="s">
        <v>412</v>
      </c>
    </row>
    <row r="4" spans="1:14">
      <c r="A4" s="222" t="s">
        <v>444</v>
      </c>
    </row>
    <row r="5" spans="1:14">
      <c r="A5" s="200" t="str">
        <f ca="1">CELL("filename")</f>
        <v>/Users/matthewbrown/Desktop/[2021MB-New-CS-Application-Financial-Plan-TEACH REV 21.1.04MB 2021 02 01.xlsx]Enrol Staff &amp; Exp</v>
      </c>
    </row>
    <row r="7" spans="1:14">
      <c r="A7" s="276"/>
      <c r="B7" s="223"/>
    </row>
    <row r="8" spans="1:14">
      <c r="A8" s="276"/>
      <c r="B8" s="223"/>
    </row>
    <row r="9" spans="1:14">
      <c r="A9" s="276"/>
      <c r="B9" s="223"/>
    </row>
    <row r="10" spans="1:14">
      <c r="A10" s="276"/>
      <c r="H10" s="516"/>
      <c r="I10" s="516" t="s">
        <v>424</v>
      </c>
      <c r="J10" s="517"/>
      <c r="K10" s="517"/>
      <c r="L10" s="517"/>
      <c r="M10" s="517"/>
      <c r="N10" s="518"/>
    </row>
    <row r="11" spans="1:14">
      <c r="A11" s="276"/>
      <c r="H11" s="519" t="s">
        <v>425</v>
      </c>
      <c r="I11" s="519" t="s">
        <v>401</v>
      </c>
      <c r="J11" s="273" t="s">
        <v>402</v>
      </c>
      <c r="K11" s="273" t="s">
        <v>403</v>
      </c>
      <c r="L11" s="273" t="s">
        <v>404</v>
      </c>
      <c r="M11" s="273" t="s">
        <v>405</v>
      </c>
      <c r="N11" s="274" t="s">
        <v>406</v>
      </c>
    </row>
    <row r="12" spans="1:14" ht="16">
      <c r="A12" s="280">
        <f>ROW()</f>
        <v>12</v>
      </c>
      <c r="F12" s="281"/>
      <c r="G12" s="281"/>
      <c r="H12" s="1096">
        <f>+I12-1</f>
        <v>2020</v>
      </c>
      <c r="I12" s="1096">
        <f>+F1</f>
        <v>2021</v>
      </c>
      <c r="J12" s="1097">
        <f>+I13</f>
        <v>2022</v>
      </c>
      <c r="K12" s="1097">
        <f>+J13</f>
        <v>2023</v>
      </c>
      <c r="L12" s="1097">
        <f>+K13</f>
        <v>2024</v>
      </c>
      <c r="M12" s="1097">
        <f>+L13</f>
        <v>2025</v>
      </c>
      <c r="N12" s="1098">
        <f>+M13</f>
        <v>2026</v>
      </c>
    </row>
    <row r="13" spans="1:14" s="221" customFormat="1" ht="16">
      <c r="A13" s="280">
        <f>ROW()</f>
        <v>13</v>
      </c>
      <c r="D13" s="282"/>
      <c r="E13" s="282"/>
      <c r="F13" s="283"/>
      <c r="G13" s="283"/>
      <c r="H13" s="1099">
        <f>+I13-1</f>
        <v>2021</v>
      </c>
      <c r="I13" s="1099">
        <f t="shared" ref="I13:N13" si="0">+I12+1</f>
        <v>2022</v>
      </c>
      <c r="J13" s="1100">
        <f t="shared" si="0"/>
        <v>2023</v>
      </c>
      <c r="K13" s="1100">
        <f t="shared" si="0"/>
        <v>2024</v>
      </c>
      <c r="L13" s="1100">
        <f t="shared" si="0"/>
        <v>2025</v>
      </c>
      <c r="M13" s="1100">
        <f t="shared" si="0"/>
        <v>2026</v>
      </c>
      <c r="N13" s="1101">
        <f t="shared" si="0"/>
        <v>2027</v>
      </c>
    </row>
    <row r="14" spans="1:14" s="221" customFormat="1" ht="18">
      <c r="A14" s="280">
        <f>ROW()</f>
        <v>14</v>
      </c>
      <c r="B14" s="520" t="s">
        <v>408</v>
      </c>
      <c r="C14" s="284"/>
      <c r="D14" s="282"/>
      <c r="E14" s="282"/>
      <c r="F14" s="283"/>
      <c r="G14" s="283"/>
      <c r="H14" s="1027"/>
      <c r="I14" s="1031"/>
      <c r="J14" s="1031"/>
      <c r="K14" s="1031"/>
      <c r="L14" s="1031"/>
      <c r="M14" s="1031"/>
      <c r="N14" s="1031"/>
    </row>
    <row r="15" spans="1:14">
      <c r="A15" s="280">
        <f>ROW()</f>
        <v>15</v>
      </c>
      <c r="B15" s="285" t="s">
        <v>197</v>
      </c>
      <c r="C15" s="286"/>
      <c r="D15" s="285"/>
      <c r="E15" s="285"/>
      <c r="F15" s="168"/>
      <c r="G15" s="168"/>
      <c r="H15" s="1102">
        <v>0</v>
      </c>
      <c r="I15" s="1103">
        <f t="shared" ref="I15:N15" si="1">COUNTIF(I18:I30,"&gt;0")</f>
        <v>8</v>
      </c>
      <c r="J15" s="1104">
        <f t="shared" si="1"/>
        <v>9</v>
      </c>
      <c r="K15" s="1104">
        <f t="shared" si="1"/>
        <v>10</v>
      </c>
      <c r="L15" s="1104">
        <f t="shared" si="1"/>
        <v>11</v>
      </c>
      <c r="M15" s="1104">
        <f t="shared" si="1"/>
        <v>12</v>
      </c>
      <c r="N15" s="1105">
        <f t="shared" si="1"/>
        <v>13</v>
      </c>
    </row>
    <row r="16" spans="1:14">
      <c r="A16" s="280">
        <f>ROW()</f>
        <v>16</v>
      </c>
      <c r="B16" s="287" t="s">
        <v>283</v>
      </c>
      <c r="C16" s="288"/>
      <c r="D16" s="287"/>
      <c r="E16" s="287"/>
      <c r="F16" s="461"/>
      <c r="G16" s="461"/>
      <c r="H16" s="1106">
        <v>0</v>
      </c>
      <c r="I16" s="1107">
        <f>+'Enrol Staff &amp; Exp'!H16</f>
        <v>13</v>
      </c>
      <c r="J16" s="1108">
        <f>+'Enrol Staff &amp; Exp'!I16</f>
        <v>17</v>
      </c>
      <c r="K16" s="1108">
        <f>+'Enrol Staff &amp; Exp'!J16</f>
        <v>22</v>
      </c>
      <c r="L16" s="1108">
        <f>+'Enrol Staff &amp; Exp'!K16</f>
        <v>27</v>
      </c>
      <c r="M16" s="1108">
        <f>+'Enrol Staff &amp; Exp'!L16</f>
        <v>32</v>
      </c>
      <c r="N16" s="1109">
        <f>+'Enrol Staff &amp; Exp'!M16</f>
        <v>39</v>
      </c>
    </row>
    <row r="17" spans="1:14">
      <c r="A17" s="280">
        <f>ROW()</f>
        <v>17</v>
      </c>
      <c r="B17" s="285"/>
      <c r="C17" s="291"/>
      <c r="D17" s="290"/>
      <c r="E17" s="290"/>
      <c r="F17" s="1045"/>
      <c r="G17" s="1110"/>
      <c r="H17" s="1045"/>
      <c r="I17" s="1045"/>
      <c r="J17" s="1045"/>
      <c r="K17" s="1045"/>
      <c r="L17" s="1045"/>
      <c r="M17" s="1045"/>
      <c r="N17" s="1045"/>
    </row>
    <row r="18" spans="1:14">
      <c r="A18" s="280">
        <f>ROW()</f>
        <v>18</v>
      </c>
      <c r="B18" s="292" t="s">
        <v>161</v>
      </c>
      <c r="C18" s="286"/>
      <c r="D18" s="285"/>
      <c r="E18" s="285"/>
      <c r="F18" s="168"/>
      <c r="G18" s="168"/>
      <c r="H18" s="1111"/>
      <c r="I18" s="1112">
        <f>+Market!E15</f>
        <v>75</v>
      </c>
      <c r="J18" s="1113">
        <f>+Market!F15</f>
        <v>75</v>
      </c>
      <c r="K18" s="1113">
        <f>+Market!G15</f>
        <v>75</v>
      </c>
      <c r="L18" s="1113">
        <f>+Market!H15</f>
        <v>75</v>
      </c>
      <c r="M18" s="1113">
        <f>+Market!I15</f>
        <v>75</v>
      </c>
      <c r="N18" s="1113">
        <f>+Market!J15</f>
        <v>75</v>
      </c>
    </row>
    <row r="19" spans="1:14">
      <c r="A19" s="280">
        <f>ROW()</f>
        <v>19</v>
      </c>
      <c r="B19" s="293" t="s">
        <v>173</v>
      </c>
      <c r="C19" s="294"/>
      <c r="D19" s="293"/>
      <c r="E19" s="293"/>
      <c r="F19" s="1114"/>
      <c r="G19" s="168"/>
      <c r="H19" s="1115"/>
      <c r="I19" s="1116">
        <f>+Market!E16</f>
        <v>50</v>
      </c>
      <c r="J19" s="1117">
        <f>+Market!F16</f>
        <v>75</v>
      </c>
      <c r="K19" s="1117">
        <f>+Market!G16</f>
        <v>75</v>
      </c>
      <c r="L19" s="1117">
        <f>+Market!H16</f>
        <v>75</v>
      </c>
      <c r="M19" s="1117">
        <f>+Market!I16</f>
        <v>75</v>
      </c>
      <c r="N19" s="1117">
        <f>+Market!J16</f>
        <v>75</v>
      </c>
    </row>
    <row r="20" spans="1:14">
      <c r="A20" s="280">
        <f>ROW()</f>
        <v>20</v>
      </c>
      <c r="B20" s="293" t="s">
        <v>174</v>
      </c>
      <c r="C20" s="294"/>
      <c r="D20" s="293"/>
      <c r="E20" s="293"/>
      <c r="F20" s="1114"/>
      <c r="G20" s="168"/>
      <c r="H20" s="1115"/>
      <c r="I20" s="1116">
        <f>+Market!E17</f>
        <v>25</v>
      </c>
      <c r="J20" s="1117">
        <f>+Market!F17</f>
        <v>50</v>
      </c>
      <c r="K20" s="1117">
        <f>+Market!G17</f>
        <v>75</v>
      </c>
      <c r="L20" s="1117">
        <f>+Market!H17</f>
        <v>75</v>
      </c>
      <c r="M20" s="1117">
        <f>+Market!I17</f>
        <v>75</v>
      </c>
      <c r="N20" s="1117">
        <f>+Market!J17</f>
        <v>75</v>
      </c>
    </row>
    <row r="21" spans="1:14">
      <c r="A21" s="280">
        <f>ROW()</f>
        <v>21</v>
      </c>
      <c r="B21" s="293" t="s">
        <v>175</v>
      </c>
      <c r="C21" s="294"/>
      <c r="D21" s="293"/>
      <c r="E21" s="293"/>
      <c r="F21" s="1114"/>
      <c r="G21" s="168"/>
      <c r="H21" s="1115"/>
      <c r="I21" s="1116">
        <f>+Market!E18</f>
        <v>25</v>
      </c>
      <c r="J21" s="1117">
        <f>+Market!F18</f>
        <v>25</v>
      </c>
      <c r="K21" s="1117">
        <f>+Market!G18</f>
        <v>50</v>
      </c>
      <c r="L21" s="1117">
        <f>+Market!H18</f>
        <v>75</v>
      </c>
      <c r="M21" s="1117">
        <f>+Market!I18</f>
        <v>75</v>
      </c>
      <c r="N21" s="1117">
        <f>+Market!J18</f>
        <v>75</v>
      </c>
    </row>
    <row r="22" spans="1:14">
      <c r="A22" s="280">
        <f>ROW()</f>
        <v>22</v>
      </c>
      <c r="B22" s="293" t="s">
        <v>176</v>
      </c>
      <c r="C22" s="294"/>
      <c r="D22" s="293"/>
      <c r="E22" s="293"/>
      <c r="F22" s="1114"/>
      <c r="G22" s="168"/>
      <c r="H22" s="1115"/>
      <c r="I22" s="1116">
        <f>+Market!E19</f>
        <v>25</v>
      </c>
      <c r="J22" s="1117">
        <f>+Market!F19</f>
        <v>25</v>
      </c>
      <c r="K22" s="1117">
        <f>+Market!G19</f>
        <v>25</v>
      </c>
      <c r="L22" s="1117">
        <f>+Market!H19</f>
        <v>50</v>
      </c>
      <c r="M22" s="1117">
        <f>+Market!I19</f>
        <v>75</v>
      </c>
      <c r="N22" s="1117">
        <f>+Market!J19</f>
        <v>75</v>
      </c>
    </row>
    <row r="23" spans="1:14">
      <c r="A23" s="280">
        <f>ROW()</f>
        <v>23</v>
      </c>
      <c r="B23" s="293" t="s">
        <v>177</v>
      </c>
      <c r="C23" s="294"/>
      <c r="D23" s="293"/>
      <c r="E23" s="293"/>
      <c r="F23" s="1114"/>
      <c r="G23" s="168"/>
      <c r="H23" s="1115"/>
      <c r="I23" s="1116">
        <f>+Market!E20</f>
        <v>25</v>
      </c>
      <c r="J23" s="1117">
        <f>+Market!F20</f>
        <v>25</v>
      </c>
      <c r="K23" s="1117">
        <f>+Market!G20</f>
        <v>25</v>
      </c>
      <c r="L23" s="1117">
        <f>+Market!H20</f>
        <v>25</v>
      </c>
      <c r="M23" s="1117">
        <f>+Market!I20</f>
        <v>50</v>
      </c>
      <c r="N23" s="1117">
        <f>+Market!J20</f>
        <v>75</v>
      </c>
    </row>
    <row r="24" spans="1:14">
      <c r="A24" s="280">
        <f>ROW()</f>
        <v>24</v>
      </c>
      <c r="B24" s="293" t="s">
        <v>178</v>
      </c>
      <c r="C24" s="294"/>
      <c r="D24" s="293"/>
      <c r="E24" s="293"/>
      <c r="F24" s="1114"/>
      <c r="G24" s="168"/>
      <c r="H24" s="1115"/>
      <c r="I24" s="1116">
        <f>+Market!E21</f>
        <v>50</v>
      </c>
      <c r="J24" s="1117">
        <f>+Market!F21</f>
        <v>50</v>
      </c>
      <c r="K24" s="1117">
        <f>+Market!G21</f>
        <v>50</v>
      </c>
      <c r="L24" s="1117">
        <f>+Market!H21</f>
        <v>50</v>
      </c>
      <c r="M24" s="1117">
        <f>+Market!I21</f>
        <v>50</v>
      </c>
      <c r="N24" s="1117">
        <f>+Market!J21</f>
        <v>75</v>
      </c>
    </row>
    <row r="25" spans="1:14">
      <c r="A25" s="280">
        <f>ROW()</f>
        <v>25</v>
      </c>
      <c r="B25" s="293" t="s">
        <v>179</v>
      </c>
      <c r="C25" s="294"/>
      <c r="D25" s="293"/>
      <c r="E25" s="293"/>
      <c r="F25" s="1114"/>
      <c r="G25" s="168"/>
      <c r="H25" s="1115"/>
      <c r="I25" s="1116">
        <f>+Market!E22</f>
        <v>50</v>
      </c>
      <c r="J25" s="1117">
        <f>+Market!F22</f>
        <v>50</v>
      </c>
      <c r="K25" s="1117">
        <f>+Market!G22</f>
        <v>50</v>
      </c>
      <c r="L25" s="1117">
        <f>+Market!H22</f>
        <v>50</v>
      </c>
      <c r="M25" s="1117">
        <f>+Market!I22</f>
        <v>50</v>
      </c>
      <c r="N25" s="1117">
        <f>+Market!J22</f>
        <v>75</v>
      </c>
    </row>
    <row r="26" spans="1:14">
      <c r="A26" s="280">
        <f>ROW()</f>
        <v>26</v>
      </c>
      <c r="B26" s="293" t="s">
        <v>180</v>
      </c>
      <c r="C26" s="294"/>
      <c r="D26" s="293"/>
      <c r="E26" s="293"/>
      <c r="F26" s="1114"/>
      <c r="G26" s="168"/>
      <c r="H26" s="1115"/>
      <c r="I26" s="1116">
        <f>+Market!E23</f>
        <v>0</v>
      </c>
      <c r="J26" s="1117">
        <f>+Market!F23</f>
        <v>50</v>
      </c>
      <c r="K26" s="1117">
        <f>+Market!G23</f>
        <v>50</v>
      </c>
      <c r="L26" s="1117">
        <f>+Market!H23</f>
        <v>50</v>
      </c>
      <c r="M26" s="1117">
        <f>+Market!I23</f>
        <v>50</v>
      </c>
      <c r="N26" s="1117">
        <f>+Market!J23</f>
        <v>75</v>
      </c>
    </row>
    <row r="27" spans="1:14">
      <c r="A27" s="280">
        <f>ROW()</f>
        <v>27</v>
      </c>
      <c r="B27" s="293" t="s">
        <v>181</v>
      </c>
      <c r="C27" s="294"/>
      <c r="D27" s="293"/>
      <c r="E27" s="293"/>
      <c r="F27" s="1114"/>
      <c r="G27" s="168"/>
      <c r="H27" s="1115"/>
      <c r="I27" s="1116">
        <f>+Market!E24</f>
        <v>0</v>
      </c>
      <c r="J27" s="1117">
        <f>+Market!F24</f>
        <v>0</v>
      </c>
      <c r="K27" s="1117">
        <f>+Market!G24</f>
        <v>75</v>
      </c>
      <c r="L27" s="1117">
        <f>+Market!H24</f>
        <v>75</v>
      </c>
      <c r="M27" s="1117">
        <f>+Market!I24</f>
        <v>75</v>
      </c>
      <c r="N27" s="1117">
        <f>+Market!J24</f>
        <v>75</v>
      </c>
    </row>
    <row r="28" spans="1:14">
      <c r="A28" s="280">
        <f>ROW()</f>
        <v>28</v>
      </c>
      <c r="B28" s="293" t="s">
        <v>182</v>
      </c>
      <c r="C28" s="294"/>
      <c r="D28" s="293"/>
      <c r="E28" s="293"/>
      <c r="F28" s="1114"/>
      <c r="G28" s="168"/>
      <c r="H28" s="1115"/>
      <c r="I28" s="1116">
        <f>+Market!E25</f>
        <v>0</v>
      </c>
      <c r="J28" s="1117">
        <f>+Market!F25</f>
        <v>0</v>
      </c>
      <c r="K28" s="1117">
        <f>+Market!G25</f>
        <v>0</v>
      </c>
      <c r="L28" s="1117">
        <f>+Market!H25</f>
        <v>75</v>
      </c>
      <c r="M28" s="1117">
        <f>+Market!I25</f>
        <v>75</v>
      </c>
      <c r="N28" s="1117">
        <f>+Market!J25</f>
        <v>75</v>
      </c>
    </row>
    <row r="29" spans="1:14">
      <c r="A29" s="280">
        <f>ROW()</f>
        <v>29</v>
      </c>
      <c r="B29" s="293" t="s">
        <v>183</v>
      </c>
      <c r="C29" s="294"/>
      <c r="D29" s="293"/>
      <c r="E29" s="293"/>
      <c r="F29" s="1114"/>
      <c r="G29" s="168"/>
      <c r="H29" s="1115"/>
      <c r="I29" s="1116">
        <f>+Market!E26</f>
        <v>0</v>
      </c>
      <c r="J29" s="1117">
        <f>+Market!F26</f>
        <v>0</v>
      </c>
      <c r="K29" s="1117">
        <f>+Market!G26</f>
        <v>0</v>
      </c>
      <c r="L29" s="1117">
        <f>+Market!H26</f>
        <v>0</v>
      </c>
      <c r="M29" s="1117">
        <f>+Market!I26</f>
        <v>75</v>
      </c>
      <c r="N29" s="1117">
        <f>+Market!J26</f>
        <v>75</v>
      </c>
    </row>
    <row r="30" spans="1:14">
      <c r="A30" s="280">
        <f>ROW()</f>
        <v>30</v>
      </c>
      <c r="B30" s="293" t="s">
        <v>184</v>
      </c>
      <c r="C30" s="294"/>
      <c r="D30" s="293"/>
      <c r="E30" s="293"/>
      <c r="F30" s="1114"/>
      <c r="G30" s="461"/>
      <c r="H30" s="1118"/>
      <c r="I30" s="1119">
        <f>+Market!E27</f>
        <v>0</v>
      </c>
      <c r="J30" s="1120">
        <f>+Market!F27</f>
        <v>0</v>
      </c>
      <c r="K30" s="1120">
        <f>+Market!G27</f>
        <v>0</v>
      </c>
      <c r="L30" s="1120">
        <f>+Market!H27</f>
        <v>0</v>
      </c>
      <c r="M30" s="1120">
        <f>+Market!I27</f>
        <v>0</v>
      </c>
      <c r="N30" s="1120">
        <f>+Market!J27</f>
        <v>75</v>
      </c>
    </row>
    <row r="31" spans="1:14">
      <c r="A31" s="280">
        <f>ROW()</f>
        <v>31</v>
      </c>
      <c r="B31" s="296" t="s">
        <v>185</v>
      </c>
      <c r="C31" s="297"/>
      <c r="D31" s="297"/>
      <c r="E31" s="297"/>
      <c r="F31" s="297"/>
      <c r="G31" s="301"/>
      <c r="H31" s="421"/>
      <c r="I31" s="782">
        <f t="shared" ref="I31:N31" si="2">SUM(I18:I30)</f>
        <v>325</v>
      </c>
      <c r="J31" s="782">
        <f t="shared" si="2"/>
        <v>425</v>
      </c>
      <c r="K31" s="782">
        <f t="shared" si="2"/>
        <v>550</v>
      </c>
      <c r="L31" s="782">
        <f t="shared" si="2"/>
        <v>675</v>
      </c>
      <c r="M31" s="782">
        <f t="shared" si="2"/>
        <v>800</v>
      </c>
      <c r="N31" s="782">
        <f t="shared" si="2"/>
        <v>975</v>
      </c>
    </row>
    <row r="32" spans="1:14">
      <c r="A32" s="280"/>
      <c r="B32" s="285" t="s">
        <v>565</v>
      </c>
      <c r="C32" s="285"/>
      <c r="D32" s="285"/>
      <c r="E32" s="285"/>
      <c r="F32" s="282"/>
      <c r="G32" s="282"/>
      <c r="H32" s="783"/>
      <c r="I32" s="515">
        <f t="shared" ref="I32:N32" si="3">+I31/I16</f>
        <v>25</v>
      </c>
      <c r="J32" s="515">
        <f t="shared" si="3"/>
        <v>25</v>
      </c>
      <c r="K32" s="515">
        <f t="shared" si="3"/>
        <v>25</v>
      </c>
      <c r="L32" s="515">
        <f t="shared" si="3"/>
        <v>25</v>
      </c>
      <c r="M32" s="515">
        <f t="shared" si="3"/>
        <v>25</v>
      </c>
      <c r="N32" s="515">
        <f t="shared" si="3"/>
        <v>25</v>
      </c>
    </row>
    <row r="33" spans="2:14">
      <c r="D33" s="217"/>
      <c r="H33" s="221"/>
      <c r="I33" s="221"/>
      <c r="J33" s="221"/>
      <c r="K33" s="221"/>
      <c r="L33" s="221"/>
      <c r="M33" s="221"/>
      <c r="N33" s="221"/>
    </row>
    <row r="34" spans="2:14" ht="18">
      <c r="B34" s="1436" t="s">
        <v>566</v>
      </c>
      <c r="C34" s="1436"/>
      <c r="D34" s="1436"/>
      <c r="H34" s="278" t="str">
        <f>+H11</f>
        <v>SY 0</v>
      </c>
      <c r="I34" s="278" t="str">
        <f t="shared" ref="I34:N34" si="4">+I11</f>
        <v>SY 1</v>
      </c>
      <c r="J34" s="278" t="str">
        <f t="shared" si="4"/>
        <v>SY 2</v>
      </c>
      <c r="K34" s="278" t="str">
        <f t="shared" si="4"/>
        <v>SY 3</v>
      </c>
      <c r="L34" s="278" t="str">
        <f t="shared" si="4"/>
        <v>SY 4</v>
      </c>
      <c r="M34" s="278" t="str">
        <f t="shared" si="4"/>
        <v>SY 5</v>
      </c>
      <c r="N34" s="278" t="str">
        <f t="shared" si="4"/>
        <v>SY 6</v>
      </c>
    </row>
    <row r="35" spans="2:14" ht="15">
      <c r="B35" s="596" t="s">
        <v>523</v>
      </c>
      <c r="C35" s="596" t="s">
        <v>564</v>
      </c>
      <c r="D35" s="596"/>
      <c r="E35" s="596"/>
      <c r="F35" s="596"/>
      <c r="G35" s="304" t="s">
        <v>487</v>
      </c>
      <c r="H35" s="995">
        <f>H13</f>
        <v>2021</v>
      </c>
      <c r="I35" s="995">
        <f t="shared" ref="I35:N35" si="5">I13</f>
        <v>2022</v>
      </c>
      <c r="J35" s="995">
        <f t="shared" si="5"/>
        <v>2023</v>
      </c>
      <c r="K35" s="995">
        <f t="shared" si="5"/>
        <v>2024</v>
      </c>
      <c r="L35" s="995">
        <f t="shared" si="5"/>
        <v>2025</v>
      </c>
      <c r="M35" s="995">
        <f t="shared" si="5"/>
        <v>2026</v>
      </c>
      <c r="N35" s="995">
        <f t="shared" si="5"/>
        <v>2027</v>
      </c>
    </row>
    <row r="36" spans="2:14">
      <c r="B36" s="1122" t="s">
        <v>965</v>
      </c>
      <c r="C36" s="1123" t="s">
        <v>966</v>
      </c>
      <c r="D36" s="1123"/>
      <c r="E36" s="1123"/>
      <c r="F36" s="1124"/>
      <c r="G36" s="992">
        <f>SUM(H36:N36)</f>
        <v>38810.45930580001</v>
      </c>
      <c r="H36" s="1130">
        <v>0</v>
      </c>
      <c r="I36" s="1131">
        <v>6000</v>
      </c>
      <c r="J36" s="1131">
        <f>I36*1.03</f>
        <v>6180</v>
      </c>
      <c r="K36" s="1131">
        <f t="shared" ref="K36:N36" si="6">J36*1.03</f>
        <v>6365.4000000000005</v>
      </c>
      <c r="L36" s="1131">
        <f t="shared" si="6"/>
        <v>6556.362000000001</v>
      </c>
      <c r="M36" s="1131">
        <f t="shared" si="6"/>
        <v>6753.0528600000016</v>
      </c>
      <c r="N36" s="1131">
        <f t="shared" si="6"/>
        <v>6955.6444458000014</v>
      </c>
    </row>
    <row r="37" spans="2:14">
      <c r="B37" s="1125" t="s">
        <v>964</v>
      </c>
      <c r="C37" s="1067"/>
      <c r="D37" s="1067"/>
      <c r="E37" s="1067"/>
      <c r="F37" s="1126"/>
      <c r="G37" s="993">
        <f t="shared" ref="G37:G43" si="7">SUM(H37:N37)</f>
        <v>0</v>
      </c>
      <c r="H37" s="1132">
        <v>0</v>
      </c>
      <c r="I37" s="1133">
        <v>0</v>
      </c>
      <c r="J37" s="1133">
        <v>0</v>
      </c>
      <c r="K37" s="1133">
        <v>0</v>
      </c>
      <c r="L37" s="1133">
        <v>0</v>
      </c>
      <c r="M37" s="1133">
        <v>0</v>
      </c>
      <c r="N37" s="1134">
        <v>0</v>
      </c>
    </row>
    <row r="38" spans="2:14">
      <c r="B38" s="1125" t="s">
        <v>963</v>
      </c>
      <c r="C38" s="1067"/>
      <c r="D38" s="1067"/>
      <c r="E38" s="1067"/>
      <c r="F38" s="1126"/>
      <c r="G38" s="993">
        <f t="shared" si="7"/>
        <v>0</v>
      </c>
      <c r="H38" s="1132">
        <v>0</v>
      </c>
      <c r="I38" s="1133">
        <v>0</v>
      </c>
      <c r="J38" s="1133">
        <v>0</v>
      </c>
      <c r="K38" s="1133">
        <v>0</v>
      </c>
      <c r="L38" s="1133">
        <v>0</v>
      </c>
      <c r="M38" s="1133">
        <v>0</v>
      </c>
      <c r="N38" s="1134">
        <v>0</v>
      </c>
    </row>
    <row r="39" spans="2:14">
      <c r="B39" s="1125"/>
      <c r="C39" s="1067"/>
      <c r="D39" s="1067"/>
      <c r="E39" s="1067"/>
      <c r="F39" s="1126"/>
      <c r="G39" s="993">
        <f t="shared" si="7"/>
        <v>0</v>
      </c>
      <c r="H39" s="1132">
        <v>0</v>
      </c>
      <c r="I39" s="1133">
        <v>0</v>
      </c>
      <c r="J39" s="1133">
        <v>0</v>
      </c>
      <c r="K39" s="1133">
        <v>0</v>
      </c>
      <c r="L39" s="1133">
        <v>0</v>
      </c>
      <c r="M39" s="1133">
        <v>0</v>
      </c>
      <c r="N39" s="1134">
        <v>0</v>
      </c>
    </row>
    <row r="40" spans="2:14">
      <c r="B40" s="1125"/>
      <c r="C40" s="1067"/>
      <c r="D40" s="1067"/>
      <c r="E40" s="1067"/>
      <c r="F40" s="1126"/>
      <c r="G40" s="993">
        <f t="shared" si="7"/>
        <v>0</v>
      </c>
      <c r="H40" s="1132">
        <v>0</v>
      </c>
      <c r="I40" s="1133">
        <v>0</v>
      </c>
      <c r="J40" s="1133">
        <v>0</v>
      </c>
      <c r="K40" s="1133">
        <v>0</v>
      </c>
      <c r="L40" s="1133">
        <v>0</v>
      </c>
      <c r="M40" s="1133">
        <v>0</v>
      </c>
      <c r="N40" s="1134">
        <v>0</v>
      </c>
    </row>
    <row r="41" spans="2:14">
      <c r="B41" s="1125"/>
      <c r="C41" s="1067"/>
      <c r="D41" s="1067"/>
      <c r="E41" s="1067"/>
      <c r="F41" s="1126"/>
      <c r="G41" s="993">
        <f t="shared" si="7"/>
        <v>0</v>
      </c>
      <c r="H41" s="1132"/>
      <c r="I41" s="1133"/>
      <c r="J41" s="1133"/>
      <c r="K41" s="1133"/>
      <c r="L41" s="1133"/>
      <c r="M41" s="1133"/>
      <c r="N41" s="1134"/>
    </row>
    <row r="42" spans="2:14">
      <c r="B42" s="1125"/>
      <c r="C42" s="1067"/>
      <c r="D42" s="1067"/>
      <c r="E42" s="1067"/>
      <c r="F42" s="1126"/>
      <c r="G42" s="993">
        <f t="shared" si="7"/>
        <v>0</v>
      </c>
      <c r="H42" s="1132"/>
      <c r="I42" s="1133"/>
      <c r="J42" s="1133"/>
      <c r="K42" s="1133"/>
      <c r="L42" s="1133"/>
      <c r="M42" s="1133"/>
      <c r="N42" s="1134"/>
    </row>
    <row r="43" spans="2:14">
      <c r="B43" s="1127"/>
      <c r="C43" s="1128"/>
      <c r="D43" s="1128"/>
      <c r="E43" s="1128"/>
      <c r="F43" s="1129"/>
      <c r="G43" s="994">
        <f t="shared" si="7"/>
        <v>0</v>
      </c>
      <c r="H43" s="1135"/>
      <c r="I43" s="1136"/>
      <c r="J43" s="1136"/>
      <c r="K43" s="1136"/>
      <c r="L43" s="1136"/>
      <c r="M43" s="1136"/>
      <c r="N43" s="1137"/>
    </row>
    <row r="44" spans="2:14">
      <c r="B44" s="723" t="s">
        <v>524</v>
      </c>
      <c r="C44" s="844"/>
      <c r="D44" s="844"/>
      <c r="E44" s="723"/>
      <c r="F44" s="723"/>
      <c r="G44" s="961">
        <f>SUM(H44:N44)</f>
        <v>38810.45930580001</v>
      </c>
      <c r="H44" s="779">
        <f t="shared" ref="H44:N44" si="8">SUM(H36:H43)</f>
        <v>0</v>
      </c>
      <c r="I44" s="779">
        <f t="shared" si="8"/>
        <v>6000</v>
      </c>
      <c r="J44" s="780">
        <f t="shared" si="8"/>
        <v>6180</v>
      </c>
      <c r="K44" s="780">
        <f t="shared" si="8"/>
        <v>6365.4000000000005</v>
      </c>
      <c r="L44" s="780">
        <f t="shared" si="8"/>
        <v>6556.362000000001</v>
      </c>
      <c r="M44" s="780">
        <f t="shared" si="8"/>
        <v>6753.0528600000016</v>
      </c>
      <c r="N44" s="780">
        <f t="shared" si="8"/>
        <v>6955.6444458000014</v>
      </c>
    </row>
    <row r="45" spans="2:14">
      <c r="G45" s="913">
        <f>G44/$G$44</f>
        <v>1</v>
      </c>
      <c r="H45" s="913">
        <f>H44/$G$44</f>
        <v>0</v>
      </c>
      <c r="I45" s="913">
        <f t="shared" ref="I45:N45" si="9">I44/$G$44</f>
        <v>0.15459750045017717</v>
      </c>
      <c r="J45" s="913">
        <f t="shared" si="9"/>
        <v>0.1592354254636825</v>
      </c>
      <c r="K45" s="913">
        <f t="shared" si="9"/>
        <v>0.16401248822759298</v>
      </c>
      <c r="L45" s="913">
        <f t="shared" si="9"/>
        <v>0.16893286287442077</v>
      </c>
      <c r="M45" s="913">
        <f t="shared" si="9"/>
        <v>0.17400084876065341</v>
      </c>
      <c r="N45" s="913">
        <f t="shared" si="9"/>
        <v>0.17922087422347302</v>
      </c>
    </row>
  </sheetData>
  <sheetProtection algorithmName="SHA-512" hashValue="HZtE4b6ML5muhXsxY/9gmztgNtl9/3a2Lbqya/mT5GwCnASC3Mt6qXSUeWfnfp0kErxMBit/XNDRW2AyJmvSOA==" saltValue="FvdmoWyjT/Uv+wMrcz3G/A==" spinCount="100000" sheet="1" selectLockedCells="1"/>
  <protectedRanges>
    <protectedRange sqref="H15:N16 H18:N30 F17:N17" name="Student Input"/>
  </protectedRanges>
  <mergeCells count="2">
    <mergeCell ref="B34:D34"/>
    <mergeCell ref="A2:B2"/>
  </mergeCells>
  <conditionalFormatting sqref="I15:N16">
    <cfRule type="cellIs" dxfId="16" priority="5" stopIfTrue="1" operator="equal">
      <formula>0</formula>
    </cfRule>
  </conditionalFormatting>
  <conditionalFormatting sqref="B18:G30">
    <cfRule type="expression" dxfId="15" priority="7" stopIfTrue="1">
      <formula>MOD(ROW(),2)=0</formula>
    </cfRule>
  </conditionalFormatting>
  <conditionalFormatting sqref="H18:N30">
    <cfRule type="cellIs" dxfId="14" priority="8" stopIfTrue="1" operator="equal">
      <formula>0</formula>
    </cfRule>
  </conditionalFormatting>
  <conditionalFormatting sqref="H15:H16">
    <cfRule type="cellIs" dxfId="13" priority="9" stopIfTrue="1" operator="equal">
      <formula>0</formula>
    </cfRule>
  </conditionalFormatting>
  <conditionalFormatting sqref="A2:B2">
    <cfRule type="cellIs" dxfId="12" priority="10" stopIfTrue="1" operator="equal">
      <formula>0</formula>
    </cfRule>
  </conditionalFormatting>
  <pageMargins left="0.25" right="0.25" top="0.5" bottom="0.45" header="0.25" footer="0.25"/>
  <pageSetup scale="55" fitToHeight="6" orientation="landscape" r:id="rId1"/>
  <headerFooter>
    <oddHeader xml:space="preserve">&amp;L &amp;C &amp;R </oddHeader>
    <oddFooter>&amp;L&amp;7&amp;D  at &amp;T Mike 702.854.0691&amp;C&amp;7&amp;F  &amp;A&amp;R&amp;7Page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00"/>
  </sheetPr>
  <dimension ref="A1:R62"/>
  <sheetViews>
    <sheetView view="pageBreakPreview" zoomScaleNormal="70" zoomScaleSheetLayoutView="100" workbookViewId="0">
      <selection activeCell="E13" sqref="E13"/>
    </sheetView>
  </sheetViews>
  <sheetFormatPr baseColWidth="10" defaultColWidth="8.83203125" defaultRowHeight="14"/>
  <cols>
    <col min="1" max="1" width="5.33203125" style="141" customWidth="1"/>
    <col min="2" max="2" width="54.1640625" style="141" customWidth="1"/>
    <col min="3" max="3" width="14.33203125" style="141" customWidth="1"/>
    <col min="4" max="4" width="12.83203125" style="141" customWidth="1"/>
    <col min="5" max="5" width="13.6640625" style="141" customWidth="1"/>
    <col min="6" max="6" width="13.1640625" style="150" customWidth="1"/>
    <col min="7" max="8" width="2.6640625" style="150" hidden="1" customWidth="1"/>
    <col min="9" max="9" width="0.33203125" style="150" hidden="1" customWidth="1"/>
    <col min="10" max="10" width="11.33203125" style="150" customWidth="1"/>
    <col min="11" max="11" width="12.83203125" style="150" customWidth="1"/>
    <col min="12" max="12" width="12.83203125" style="141" bestFit="1" customWidth="1"/>
    <col min="13" max="13" width="12.33203125" style="141" bestFit="1" customWidth="1"/>
    <col min="14" max="17" width="12.83203125" style="141" bestFit="1" customWidth="1"/>
    <col min="18" max="18" width="27.83203125" style="141" bestFit="1" customWidth="1"/>
    <col min="19" max="16384" width="8.83203125" style="141"/>
  </cols>
  <sheetData>
    <row r="1" spans="1:17" ht="16">
      <c r="A1" s="457" t="s">
        <v>670</v>
      </c>
      <c r="B1" s="458"/>
      <c r="D1" s="309" t="s">
        <v>671</v>
      </c>
      <c r="P1" s="151"/>
    </row>
    <row r="2" spans="1:17" ht="16">
      <c r="A2" s="914" t="str">
        <f>SchoolName</f>
        <v>TEACH Las Vegas</v>
      </c>
      <c r="B2" s="915"/>
    </row>
    <row r="3" spans="1:17">
      <c r="A3" s="154" t="s">
        <v>412</v>
      </c>
    </row>
    <row r="4" spans="1:17">
      <c r="A4" s="155" t="s">
        <v>444</v>
      </c>
    </row>
    <row r="5" spans="1:17">
      <c r="A5" s="129" t="str">
        <f ca="1">CELL("filename")</f>
        <v>/Users/matthewbrown/Desktop/[2021MB-New-CS-Application-Financial-Plan-TEACH REV 21.1.04MB 2021 02 01.xlsx]Enrol Staff &amp; Exp</v>
      </c>
    </row>
    <row r="7" spans="1:17">
      <c r="B7" s="680"/>
      <c r="C7" s="681" t="s">
        <v>574</v>
      </c>
      <c r="D7" s="682"/>
      <c r="E7" s="683" t="s">
        <v>550</v>
      </c>
      <c r="F7" s="684"/>
      <c r="G7" s="684"/>
      <c r="H7" s="684"/>
      <c r="I7" s="684"/>
      <c r="J7" s="683" t="s">
        <v>487</v>
      </c>
      <c r="K7" s="683">
        <v>0</v>
      </c>
      <c r="L7" s="685">
        <v>1</v>
      </c>
      <c r="M7" s="685">
        <f>+L7+1</f>
        <v>2</v>
      </c>
      <c r="N7" s="685">
        <f>+M7+1</f>
        <v>3</v>
      </c>
      <c r="O7" s="685">
        <f>+N7+1</f>
        <v>4</v>
      </c>
      <c r="P7" s="685">
        <f>+O7+1</f>
        <v>5</v>
      </c>
      <c r="Q7" s="686">
        <f>+P7+1</f>
        <v>6</v>
      </c>
    </row>
    <row r="8" spans="1:17" s="130" customFormat="1" ht="16">
      <c r="B8" s="687" t="s">
        <v>676</v>
      </c>
      <c r="C8" s="139" t="s">
        <v>573</v>
      </c>
      <c r="D8" s="554"/>
      <c r="E8" s="449" t="s">
        <v>572</v>
      </c>
      <c r="F8" s="449" t="s">
        <v>488</v>
      </c>
      <c r="G8" s="688"/>
      <c r="H8" s="688"/>
      <c r="I8" s="688"/>
      <c r="J8" s="454" t="s">
        <v>757</v>
      </c>
      <c r="K8" s="964">
        <f>'Enrol Staff &amp; Exp'!G11</f>
        <v>2021</v>
      </c>
      <c r="L8" s="452">
        <f>'Enrol Staff &amp; Exp'!H11</f>
        <v>2022</v>
      </c>
      <c r="M8" s="448">
        <f>'Enrol Staff &amp; Exp'!I11</f>
        <v>2023</v>
      </c>
      <c r="N8" s="448">
        <f>'Enrol Staff &amp; Exp'!J11</f>
        <v>2024</v>
      </c>
      <c r="O8" s="448">
        <f>'Enrol Staff &amp; Exp'!K11</f>
        <v>2025</v>
      </c>
      <c r="P8" s="448">
        <f>'Enrol Staff &amp; Exp'!L11</f>
        <v>2026</v>
      </c>
      <c r="Q8" s="453">
        <f>'Enrol Staff &amp; Exp'!M11</f>
        <v>2027</v>
      </c>
    </row>
    <row r="9" spans="1:17">
      <c r="A9" s="555">
        <f>ROW()-8</f>
        <v>1</v>
      </c>
      <c r="B9" s="1065"/>
      <c r="C9" s="1085"/>
      <c r="D9" s="1065" t="s">
        <v>476</v>
      </c>
      <c r="E9" s="1086"/>
      <c r="F9" s="1085"/>
      <c r="J9" s="450">
        <f>SUM(K9:Q9)</f>
        <v>0</v>
      </c>
      <c r="K9" s="965"/>
      <c r="L9" s="962">
        <f>+$F9</f>
        <v>0</v>
      </c>
      <c r="M9" s="199">
        <f t="shared" ref="M9:Q26" si="0">+$F9</f>
        <v>0</v>
      </c>
      <c r="N9" s="199">
        <f t="shared" si="0"/>
        <v>0</v>
      </c>
      <c r="O9" s="199">
        <f t="shared" si="0"/>
        <v>0</v>
      </c>
      <c r="P9" s="199">
        <f t="shared" si="0"/>
        <v>0</v>
      </c>
      <c r="Q9" s="199">
        <f t="shared" si="0"/>
        <v>0</v>
      </c>
    </row>
    <row r="10" spans="1:17">
      <c r="A10" s="555">
        <f t="shared" ref="A10:A58" si="1">ROW()-8</f>
        <v>2</v>
      </c>
      <c r="B10" s="1067" t="s">
        <v>674</v>
      </c>
      <c r="C10" s="1087"/>
      <c r="D10" s="1088">
        <v>0</v>
      </c>
      <c r="E10" s="1089"/>
      <c r="F10" s="1087">
        <v>1000</v>
      </c>
      <c r="G10" s="451"/>
      <c r="H10" s="451"/>
      <c r="I10" s="451"/>
      <c r="J10" s="451">
        <f t="shared" ref="J10:J58" si="2">SUM(K10:Q10)</f>
        <v>6000</v>
      </c>
      <c r="K10" s="966"/>
      <c r="L10" s="963">
        <f>+$F10</f>
        <v>1000</v>
      </c>
      <c r="M10" s="179">
        <f t="shared" si="0"/>
        <v>1000</v>
      </c>
      <c r="N10" s="179">
        <f t="shared" si="0"/>
        <v>1000</v>
      </c>
      <c r="O10" s="179">
        <f t="shared" si="0"/>
        <v>1000</v>
      </c>
      <c r="P10" s="179">
        <f t="shared" si="0"/>
        <v>1000</v>
      </c>
      <c r="Q10" s="179">
        <f t="shared" si="0"/>
        <v>1000</v>
      </c>
    </row>
    <row r="11" spans="1:17">
      <c r="A11" s="555">
        <f t="shared" si="1"/>
        <v>3</v>
      </c>
      <c r="B11" s="1067" t="s">
        <v>675</v>
      </c>
      <c r="C11" s="1087"/>
      <c r="D11" s="1087">
        <v>0</v>
      </c>
      <c r="E11" s="1090"/>
      <c r="F11" s="1087">
        <v>0</v>
      </c>
      <c r="G11" s="451"/>
      <c r="H11" s="451"/>
      <c r="I11" s="451"/>
      <c r="J11" s="451">
        <f t="shared" si="2"/>
        <v>0</v>
      </c>
      <c r="K11" s="966"/>
      <c r="L11" s="963">
        <f>+$F11</f>
        <v>0</v>
      </c>
      <c r="M11" s="179">
        <f t="shared" si="0"/>
        <v>0</v>
      </c>
      <c r="N11" s="179">
        <f t="shared" si="0"/>
        <v>0</v>
      </c>
      <c r="O11" s="179">
        <f t="shared" si="0"/>
        <v>0</v>
      </c>
      <c r="P11" s="179">
        <f t="shared" si="0"/>
        <v>0</v>
      </c>
      <c r="Q11" s="179">
        <f t="shared" si="0"/>
        <v>0</v>
      </c>
    </row>
    <row r="12" spans="1:17">
      <c r="A12" s="555">
        <f t="shared" si="1"/>
        <v>4</v>
      </c>
      <c r="B12" s="1091" t="s">
        <v>666</v>
      </c>
      <c r="C12" s="1087"/>
      <c r="D12" s="1087">
        <v>0</v>
      </c>
      <c r="E12" s="1090"/>
      <c r="F12" s="1087">
        <v>0</v>
      </c>
      <c r="G12" s="451"/>
      <c r="H12" s="451"/>
      <c r="I12" s="451"/>
      <c r="J12" s="451">
        <f t="shared" si="2"/>
        <v>0</v>
      </c>
      <c r="K12" s="966"/>
      <c r="L12" s="963">
        <f>+$F12</f>
        <v>0</v>
      </c>
      <c r="M12" s="179">
        <f t="shared" si="0"/>
        <v>0</v>
      </c>
      <c r="N12" s="179">
        <f t="shared" si="0"/>
        <v>0</v>
      </c>
      <c r="O12" s="179">
        <f t="shared" si="0"/>
        <v>0</v>
      </c>
      <c r="P12" s="179">
        <f t="shared" si="0"/>
        <v>0</v>
      </c>
      <c r="Q12" s="179">
        <f t="shared" si="0"/>
        <v>0</v>
      </c>
    </row>
    <row r="13" spans="1:17">
      <c r="A13" s="555">
        <f t="shared" si="1"/>
        <v>5</v>
      </c>
      <c r="B13" s="1091" t="s">
        <v>652</v>
      </c>
      <c r="C13" s="1087"/>
      <c r="D13" s="1087"/>
      <c r="E13" s="1090"/>
      <c r="F13" s="1087"/>
      <c r="G13" s="451"/>
      <c r="H13" s="451"/>
      <c r="I13" s="451"/>
      <c r="J13" s="451">
        <f t="shared" si="2"/>
        <v>0</v>
      </c>
      <c r="K13" s="966"/>
      <c r="L13" s="963">
        <f t="shared" ref="L13:Q57" si="3">+$F13</f>
        <v>0</v>
      </c>
      <c r="M13" s="179">
        <f t="shared" si="0"/>
        <v>0</v>
      </c>
      <c r="N13" s="179">
        <f t="shared" si="0"/>
        <v>0</v>
      </c>
      <c r="O13" s="179">
        <f t="shared" si="0"/>
        <v>0</v>
      </c>
      <c r="P13" s="179">
        <f t="shared" si="0"/>
        <v>0</v>
      </c>
      <c r="Q13" s="179">
        <f t="shared" si="0"/>
        <v>0</v>
      </c>
    </row>
    <row r="14" spans="1:17">
      <c r="A14" s="555">
        <f t="shared" si="1"/>
        <v>6</v>
      </c>
      <c r="B14" s="1091" t="s">
        <v>612</v>
      </c>
      <c r="C14" s="1087"/>
      <c r="D14" s="1087"/>
      <c r="E14" s="1090"/>
      <c r="F14" s="1087"/>
      <c r="G14" s="451"/>
      <c r="H14" s="451"/>
      <c r="I14" s="451"/>
      <c r="J14" s="451">
        <f t="shared" si="2"/>
        <v>0</v>
      </c>
      <c r="K14" s="966"/>
      <c r="L14" s="963">
        <f t="shared" si="3"/>
        <v>0</v>
      </c>
      <c r="M14" s="179">
        <f t="shared" si="0"/>
        <v>0</v>
      </c>
      <c r="N14" s="179">
        <f t="shared" si="0"/>
        <v>0</v>
      </c>
      <c r="O14" s="179">
        <f t="shared" si="0"/>
        <v>0</v>
      </c>
      <c r="P14" s="179">
        <f t="shared" si="0"/>
        <v>0</v>
      </c>
      <c r="Q14" s="179">
        <f t="shared" si="0"/>
        <v>0</v>
      </c>
    </row>
    <row r="15" spans="1:17">
      <c r="A15" s="555">
        <f t="shared" si="1"/>
        <v>7</v>
      </c>
      <c r="B15" s="1091" t="s">
        <v>611</v>
      </c>
      <c r="C15" s="1087"/>
      <c r="D15" s="1087">
        <v>0</v>
      </c>
      <c r="E15" s="1090"/>
      <c r="F15" s="1087">
        <v>0</v>
      </c>
      <c r="G15" s="451"/>
      <c r="H15" s="451"/>
      <c r="I15" s="451"/>
      <c r="J15" s="451">
        <f t="shared" si="2"/>
        <v>0</v>
      </c>
      <c r="K15" s="966"/>
      <c r="L15" s="963">
        <f t="shared" si="3"/>
        <v>0</v>
      </c>
      <c r="M15" s="179">
        <f t="shared" si="0"/>
        <v>0</v>
      </c>
      <c r="N15" s="179">
        <f t="shared" si="0"/>
        <v>0</v>
      </c>
      <c r="O15" s="179">
        <f t="shared" si="0"/>
        <v>0</v>
      </c>
      <c r="P15" s="179">
        <f t="shared" si="0"/>
        <v>0</v>
      </c>
      <c r="Q15" s="179">
        <f t="shared" si="0"/>
        <v>0</v>
      </c>
    </row>
    <row r="16" spans="1:17">
      <c r="A16" s="555">
        <f t="shared" si="1"/>
        <v>8</v>
      </c>
      <c r="B16" s="1091" t="s">
        <v>653</v>
      </c>
      <c r="C16" s="1087"/>
      <c r="D16" s="1087">
        <v>0</v>
      </c>
      <c r="E16" s="1090"/>
      <c r="F16" s="1087">
        <v>1500</v>
      </c>
      <c r="G16" s="451"/>
      <c r="H16" s="451"/>
      <c r="I16" s="451"/>
      <c r="J16" s="451">
        <f t="shared" si="2"/>
        <v>9000</v>
      </c>
      <c r="K16" s="966"/>
      <c r="L16" s="963">
        <f t="shared" si="3"/>
        <v>1500</v>
      </c>
      <c r="M16" s="179">
        <f t="shared" si="0"/>
        <v>1500</v>
      </c>
      <c r="N16" s="179">
        <f t="shared" si="0"/>
        <v>1500</v>
      </c>
      <c r="O16" s="179">
        <f t="shared" si="0"/>
        <v>1500</v>
      </c>
      <c r="P16" s="179">
        <f t="shared" si="0"/>
        <v>1500</v>
      </c>
      <c r="Q16" s="179">
        <f t="shared" si="0"/>
        <v>1500</v>
      </c>
    </row>
    <row r="17" spans="1:18">
      <c r="A17" s="555">
        <f t="shared" si="1"/>
        <v>9</v>
      </c>
      <c r="B17" s="1091" t="s">
        <v>617</v>
      </c>
      <c r="C17" s="1087"/>
      <c r="D17" s="1087">
        <v>0</v>
      </c>
      <c r="E17" s="1090"/>
      <c r="F17" s="1087">
        <v>3000</v>
      </c>
      <c r="G17" s="451"/>
      <c r="H17" s="451"/>
      <c r="I17" s="451"/>
      <c r="J17" s="451">
        <f t="shared" si="2"/>
        <v>18000</v>
      </c>
      <c r="K17" s="966"/>
      <c r="L17" s="963">
        <f t="shared" si="3"/>
        <v>3000</v>
      </c>
      <c r="M17" s="179">
        <f t="shared" si="0"/>
        <v>3000</v>
      </c>
      <c r="N17" s="179">
        <f t="shared" si="0"/>
        <v>3000</v>
      </c>
      <c r="O17" s="179">
        <f t="shared" si="0"/>
        <v>3000</v>
      </c>
      <c r="P17" s="179">
        <f t="shared" si="0"/>
        <v>3000</v>
      </c>
      <c r="Q17" s="179">
        <f t="shared" si="0"/>
        <v>3000</v>
      </c>
    </row>
    <row r="18" spans="1:18">
      <c r="A18" s="555">
        <f t="shared" si="1"/>
        <v>10</v>
      </c>
      <c r="B18" s="1091" t="s">
        <v>616</v>
      </c>
      <c r="C18" s="1087"/>
      <c r="D18" s="1087">
        <v>0</v>
      </c>
      <c r="E18" s="1090"/>
      <c r="F18" s="1087">
        <v>0</v>
      </c>
      <c r="G18" s="451"/>
      <c r="H18" s="451"/>
      <c r="I18" s="451"/>
      <c r="J18" s="451">
        <f t="shared" si="2"/>
        <v>0</v>
      </c>
      <c r="K18" s="966"/>
      <c r="L18" s="963">
        <f t="shared" si="3"/>
        <v>0</v>
      </c>
      <c r="M18" s="179">
        <f t="shared" si="0"/>
        <v>0</v>
      </c>
      <c r="N18" s="179">
        <f t="shared" si="0"/>
        <v>0</v>
      </c>
      <c r="O18" s="179">
        <f t="shared" si="0"/>
        <v>0</v>
      </c>
      <c r="P18" s="179">
        <f t="shared" si="0"/>
        <v>0</v>
      </c>
      <c r="Q18" s="179">
        <f t="shared" si="0"/>
        <v>0</v>
      </c>
    </row>
    <row r="19" spans="1:18">
      <c r="A19" s="555">
        <f t="shared" si="1"/>
        <v>11</v>
      </c>
      <c r="B19" s="1091" t="s">
        <v>667</v>
      </c>
      <c r="C19" s="1087"/>
      <c r="D19" s="1087">
        <v>0</v>
      </c>
      <c r="E19" s="1090"/>
      <c r="F19" s="1087">
        <v>0</v>
      </c>
      <c r="G19" s="451"/>
      <c r="H19" s="451"/>
      <c r="I19" s="451"/>
      <c r="J19" s="451">
        <f t="shared" si="2"/>
        <v>0</v>
      </c>
      <c r="K19" s="966"/>
      <c r="L19" s="963">
        <f t="shared" si="3"/>
        <v>0</v>
      </c>
      <c r="M19" s="179">
        <f t="shared" si="0"/>
        <v>0</v>
      </c>
      <c r="N19" s="179">
        <f t="shared" si="0"/>
        <v>0</v>
      </c>
      <c r="O19" s="179">
        <f t="shared" si="0"/>
        <v>0</v>
      </c>
      <c r="P19" s="179">
        <f t="shared" si="0"/>
        <v>0</v>
      </c>
      <c r="Q19" s="179">
        <f t="shared" si="0"/>
        <v>0</v>
      </c>
    </row>
    <row r="20" spans="1:18">
      <c r="A20" s="555">
        <f t="shared" si="1"/>
        <v>12</v>
      </c>
      <c r="B20" s="1091" t="s">
        <v>615</v>
      </c>
      <c r="C20" s="1087"/>
      <c r="D20" s="1087">
        <v>0</v>
      </c>
      <c r="E20" s="1090"/>
      <c r="F20" s="1087">
        <v>0</v>
      </c>
      <c r="G20" s="451"/>
      <c r="H20" s="451"/>
      <c r="I20" s="451"/>
      <c r="J20" s="451">
        <f t="shared" si="2"/>
        <v>0</v>
      </c>
      <c r="K20" s="966"/>
      <c r="L20" s="963">
        <f t="shared" si="3"/>
        <v>0</v>
      </c>
      <c r="M20" s="179">
        <f t="shared" si="0"/>
        <v>0</v>
      </c>
      <c r="N20" s="179">
        <f t="shared" si="0"/>
        <v>0</v>
      </c>
      <c r="O20" s="179">
        <f t="shared" si="0"/>
        <v>0</v>
      </c>
      <c r="P20" s="179">
        <f t="shared" si="0"/>
        <v>0</v>
      </c>
      <c r="Q20" s="179">
        <f t="shared" si="0"/>
        <v>0</v>
      </c>
    </row>
    <row r="21" spans="1:18">
      <c r="A21" s="555">
        <f t="shared" si="1"/>
        <v>13</v>
      </c>
      <c r="B21" s="1091" t="s">
        <v>614</v>
      </c>
      <c r="C21" s="1087"/>
      <c r="D21" s="1087">
        <v>0</v>
      </c>
      <c r="E21" s="1090"/>
      <c r="F21" s="1087">
        <v>0</v>
      </c>
      <c r="G21" s="451"/>
      <c r="H21" s="451"/>
      <c r="I21" s="451"/>
      <c r="J21" s="451">
        <f t="shared" si="2"/>
        <v>0</v>
      </c>
      <c r="K21" s="966"/>
      <c r="L21" s="963">
        <f t="shared" si="3"/>
        <v>0</v>
      </c>
      <c r="M21" s="179">
        <f t="shared" si="0"/>
        <v>0</v>
      </c>
      <c r="N21" s="179">
        <f t="shared" si="0"/>
        <v>0</v>
      </c>
      <c r="O21" s="179">
        <f t="shared" si="0"/>
        <v>0</v>
      </c>
      <c r="P21" s="179">
        <f t="shared" si="0"/>
        <v>0</v>
      </c>
      <c r="Q21" s="179">
        <f t="shared" si="0"/>
        <v>0</v>
      </c>
    </row>
    <row r="22" spans="1:18">
      <c r="A22" s="555">
        <f t="shared" si="1"/>
        <v>14</v>
      </c>
      <c r="B22" s="1091" t="s">
        <v>657</v>
      </c>
      <c r="C22" s="1087"/>
      <c r="D22" s="1087">
        <v>0</v>
      </c>
      <c r="E22" s="1090"/>
      <c r="F22" s="1087">
        <v>0</v>
      </c>
      <c r="G22" s="451"/>
      <c r="H22" s="451"/>
      <c r="I22" s="451"/>
      <c r="J22" s="451">
        <f t="shared" si="2"/>
        <v>0</v>
      </c>
      <c r="K22" s="966"/>
      <c r="L22" s="963">
        <f t="shared" si="3"/>
        <v>0</v>
      </c>
      <c r="M22" s="179">
        <f t="shared" si="0"/>
        <v>0</v>
      </c>
      <c r="N22" s="179">
        <f t="shared" si="0"/>
        <v>0</v>
      </c>
      <c r="O22" s="179">
        <f t="shared" si="0"/>
        <v>0</v>
      </c>
      <c r="P22" s="179">
        <f t="shared" si="0"/>
        <v>0</v>
      </c>
      <c r="Q22" s="179">
        <f t="shared" si="0"/>
        <v>0</v>
      </c>
    </row>
    <row r="23" spans="1:18">
      <c r="A23" s="555">
        <f t="shared" si="1"/>
        <v>15</v>
      </c>
      <c r="B23" s="1091" t="s">
        <v>610</v>
      </c>
      <c r="C23" s="1087"/>
      <c r="D23" s="1087">
        <v>0</v>
      </c>
      <c r="E23" s="1090"/>
      <c r="F23" s="1087">
        <v>0</v>
      </c>
      <c r="G23" s="451"/>
      <c r="H23" s="451"/>
      <c r="I23" s="451"/>
      <c r="J23" s="451">
        <f t="shared" si="2"/>
        <v>0</v>
      </c>
      <c r="K23" s="966"/>
      <c r="L23" s="963">
        <f t="shared" si="3"/>
        <v>0</v>
      </c>
      <c r="M23" s="179">
        <f t="shared" si="0"/>
        <v>0</v>
      </c>
      <c r="N23" s="179">
        <f t="shared" si="0"/>
        <v>0</v>
      </c>
      <c r="O23" s="179">
        <f t="shared" si="0"/>
        <v>0</v>
      </c>
      <c r="P23" s="179">
        <f t="shared" si="0"/>
        <v>0</v>
      </c>
      <c r="Q23" s="179">
        <f t="shared" si="0"/>
        <v>0</v>
      </c>
    </row>
    <row r="24" spans="1:18">
      <c r="A24" s="555">
        <f t="shared" si="1"/>
        <v>16</v>
      </c>
      <c r="B24" s="1091" t="s">
        <v>609</v>
      </c>
      <c r="C24" s="1087"/>
      <c r="D24" s="1087">
        <v>0</v>
      </c>
      <c r="E24" s="1090"/>
      <c r="F24" s="1087">
        <v>0</v>
      </c>
      <c r="G24" s="451"/>
      <c r="H24" s="451"/>
      <c r="I24" s="451"/>
      <c r="J24" s="451">
        <f t="shared" si="2"/>
        <v>0</v>
      </c>
      <c r="K24" s="966"/>
      <c r="L24" s="963">
        <f t="shared" si="3"/>
        <v>0</v>
      </c>
      <c r="M24" s="179">
        <f t="shared" si="0"/>
        <v>0</v>
      </c>
      <c r="N24" s="179">
        <f t="shared" si="0"/>
        <v>0</v>
      </c>
      <c r="O24" s="179">
        <f t="shared" si="0"/>
        <v>0</v>
      </c>
      <c r="P24" s="179">
        <f t="shared" si="0"/>
        <v>0</v>
      </c>
      <c r="Q24" s="179">
        <f t="shared" si="0"/>
        <v>0</v>
      </c>
    </row>
    <row r="25" spans="1:18">
      <c r="A25" s="555">
        <f t="shared" si="1"/>
        <v>17</v>
      </c>
      <c r="B25" s="1092" t="s">
        <v>613</v>
      </c>
      <c r="C25" s="1087"/>
      <c r="D25" s="1087">
        <v>0</v>
      </c>
      <c r="E25" s="1090"/>
      <c r="F25" s="1087">
        <v>500</v>
      </c>
      <c r="G25" s="451"/>
      <c r="H25" s="451"/>
      <c r="I25" s="451"/>
      <c r="J25" s="451">
        <f t="shared" si="2"/>
        <v>3000</v>
      </c>
      <c r="K25" s="966"/>
      <c r="L25" s="963">
        <f t="shared" si="3"/>
        <v>500</v>
      </c>
      <c r="M25" s="179">
        <f t="shared" si="0"/>
        <v>500</v>
      </c>
      <c r="N25" s="179">
        <f t="shared" si="0"/>
        <v>500</v>
      </c>
      <c r="O25" s="179">
        <f t="shared" si="0"/>
        <v>500</v>
      </c>
      <c r="P25" s="179">
        <f t="shared" si="0"/>
        <v>500</v>
      </c>
      <c r="Q25" s="179">
        <f t="shared" si="0"/>
        <v>500</v>
      </c>
    </row>
    <row r="26" spans="1:18" s="150" customFormat="1">
      <c r="A26" s="555">
        <f t="shared" si="1"/>
        <v>18</v>
      </c>
      <c r="B26" s="1067" t="s">
        <v>659</v>
      </c>
      <c r="C26" s="1087"/>
      <c r="D26" s="1067"/>
      <c r="E26" s="1093"/>
      <c r="F26" s="1087">
        <v>0</v>
      </c>
      <c r="G26" s="451"/>
      <c r="H26" s="451"/>
      <c r="I26" s="451"/>
      <c r="J26" s="451">
        <f t="shared" si="2"/>
        <v>0</v>
      </c>
      <c r="K26" s="966"/>
      <c r="L26" s="963">
        <f t="shared" si="3"/>
        <v>0</v>
      </c>
      <c r="M26" s="179">
        <f t="shared" si="0"/>
        <v>0</v>
      </c>
      <c r="N26" s="179">
        <f t="shared" si="0"/>
        <v>0</v>
      </c>
      <c r="O26" s="179">
        <f t="shared" si="0"/>
        <v>0</v>
      </c>
      <c r="P26" s="179">
        <f t="shared" si="0"/>
        <v>0</v>
      </c>
      <c r="Q26" s="179">
        <f t="shared" si="0"/>
        <v>0</v>
      </c>
      <c r="R26" s="141"/>
    </row>
    <row r="27" spans="1:18" s="150" customFormat="1">
      <c r="A27" s="555">
        <f t="shared" si="1"/>
        <v>19</v>
      </c>
      <c r="B27" s="1067" t="s">
        <v>665</v>
      </c>
      <c r="C27" s="1087"/>
      <c r="D27" s="1067"/>
      <c r="E27" s="1093"/>
      <c r="F27" s="1087">
        <v>0</v>
      </c>
      <c r="G27" s="451"/>
      <c r="H27" s="451"/>
      <c r="I27" s="451"/>
      <c r="J27" s="451">
        <f t="shared" si="2"/>
        <v>0</v>
      </c>
      <c r="K27" s="966"/>
      <c r="L27" s="963">
        <f t="shared" si="3"/>
        <v>0</v>
      </c>
      <c r="M27" s="179">
        <f t="shared" si="3"/>
        <v>0</v>
      </c>
      <c r="N27" s="179">
        <f t="shared" si="3"/>
        <v>0</v>
      </c>
      <c r="O27" s="179">
        <f t="shared" si="3"/>
        <v>0</v>
      </c>
      <c r="P27" s="179">
        <f t="shared" si="3"/>
        <v>0</v>
      </c>
      <c r="Q27" s="179">
        <f t="shared" si="3"/>
        <v>0</v>
      </c>
      <c r="R27" s="141"/>
    </row>
    <row r="28" spans="1:18" s="150" customFormat="1">
      <c r="A28" s="555">
        <f t="shared" si="1"/>
        <v>20</v>
      </c>
      <c r="B28" s="1067" t="s">
        <v>619</v>
      </c>
      <c r="C28" s="1087"/>
      <c r="D28" s="1067"/>
      <c r="E28" s="1093"/>
      <c r="F28" s="1087">
        <v>2000</v>
      </c>
      <c r="G28" s="451"/>
      <c r="H28" s="451"/>
      <c r="I28" s="451"/>
      <c r="J28" s="451">
        <f t="shared" si="2"/>
        <v>12000</v>
      </c>
      <c r="K28" s="966"/>
      <c r="L28" s="963">
        <f t="shared" si="3"/>
        <v>2000</v>
      </c>
      <c r="M28" s="179">
        <f t="shared" si="3"/>
        <v>2000</v>
      </c>
      <c r="N28" s="179">
        <f t="shared" si="3"/>
        <v>2000</v>
      </c>
      <c r="O28" s="179">
        <f t="shared" si="3"/>
        <v>2000</v>
      </c>
      <c r="P28" s="179">
        <f t="shared" si="3"/>
        <v>2000</v>
      </c>
      <c r="Q28" s="179">
        <f t="shared" si="3"/>
        <v>2000</v>
      </c>
      <c r="R28" s="141"/>
    </row>
    <row r="29" spans="1:18" s="150" customFormat="1">
      <c r="A29" s="555">
        <f t="shared" si="1"/>
        <v>21</v>
      </c>
      <c r="B29" s="1067" t="s">
        <v>658</v>
      </c>
      <c r="C29" s="1087"/>
      <c r="D29" s="1067"/>
      <c r="E29" s="1093"/>
      <c r="F29" s="1087">
        <v>0</v>
      </c>
      <c r="G29" s="451"/>
      <c r="H29" s="451"/>
      <c r="I29" s="451"/>
      <c r="J29" s="451">
        <f t="shared" si="2"/>
        <v>0</v>
      </c>
      <c r="K29" s="966"/>
      <c r="L29" s="963">
        <f t="shared" si="3"/>
        <v>0</v>
      </c>
      <c r="M29" s="179">
        <f t="shared" si="3"/>
        <v>0</v>
      </c>
      <c r="N29" s="179">
        <f t="shared" si="3"/>
        <v>0</v>
      </c>
      <c r="O29" s="179">
        <f t="shared" si="3"/>
        <v>0</v>
      </c>
      <c r="P29" s="179">
        <f t="shared" si="3"/>
        <v>0</v>
      </c>
      <c r="Q29" s="179">
        <f t="shared" si="3"/>
        <v>0</v>
      </c>
      <c r="R29" s="141"/>
    </row>
    <row r="30" spans="1:18" s="150" customFormat="1">
      <c r="A30" s="555">
        <f t="shared" si="1"/>
        <v>22</v>
      </c>
      <c r="B30" s="1067" t="s">
        <v>618</v>
      </c>
      <c r="C30" s="1087"/>
      <c r="D30" s="1067"/>
      <c r="E30" s="1093"/>
      <c r="F30" s="1087">
        <v>0</v>
      </c>
      <c r="G30" s="451"/>
      <c r="H30" s="451"/>
      <c r="I30" s="451"/>
      <c r="J30" s="451">
        <f t="shared" si="2"/>
        <v>0</v>
      </c>
      <c r="K30" s="966"/>
      <c r="L30" s="963">
        <f t="shared" si="3"/>
        <v>0</v>
      </c>
      <c r="M30" s="179">
        <f t="shared" si="3"/>
        <v>0</v>
      </c>
      <c r="N30" s="179">
        <f t="shared" si="3"/>
        <v>0</v>
      </c>
      <c r="O30" s="179">
        <f t="shared" si="3"/>
        <v>0</v>
      </c>
      <c r="P30" s="179">
        <f t="shared" si="3"/>
        <v>0</v>
      </c>
      <c r="Q30" s="179">
        <f t="shared" si="3"/>
        <v>0</v>
      </c>
      <c r="R30" s="141"/>
    </row>
    <row r="31" spans="1:18" s="150" customFormat="1">
      <c r="A31" s="555">
        <f t="shared" si="1"/>
        <v>23</v>
      </c>
      <c r="B31" s="1067" t="s">
        <v>668</v>
      </c>
      <c r="C31" s="1087"/>
      <c r="D31" s="1067"/>
      <c r="E31" s="1093"/>
      <c r="F31" s="1087">
        <v>0</v>
      </c>
      <c r="G31" s="451"/>
      <c r="H31" s="451"/>
      <c r="I31" s="451"/>
      <c r="J31" s="451">
        <f t="shared" si="2"/>
        <v>0</v>
      </c>
      <c r="K31" s="966"/>
      <c r="L31" s="963">
        <f t="shared" si="3"/>
        <v>0</v>
      </c>
      <c r="M31" s="179">
        <f t="shared" si="3"/>
        <v>0</v>
      </c>
      <c r="N31" s="179">
        <f t="shared" si="3"/>
        <v>0</v>
      </c>
      <c r="O31" s="179">
        <f t="shared" si="3"/>
        <v>0</v>
      </c>
      <c r="P31" s="179">
        <f t="shared" si="3"/>
        <v>0</v>
      </c>
      <c r="Q31" s="179">
        <f t="shared" si="3"/>
        <v>0</v>
      </c>
      <c r="R31" s="141"/>
    </row>
    <row r="32" spans="1:18" s="150" customFormat="1">
      <c r="A32" s="555">
        <f t="shared" si="1"/>
        <v>24</v>
      </c>
      <c r="B32" s="1067" t="s">
        <v>621</v>
      </c>
      <c r="C32" s="1087"/>
      <c r="D32" s="1067"/>
      <c r="E32" s="1093"/>
      <c r="F32" s="1087">
        <v>5000</v>
      </c>
      <c r="G32" s="451"/>
      <c r="H32" s="451"/>
      <c r="I32" s="451"/>
      <c r="J32" s="451">
        <f t="shared" si="2"/>
        <v>30000</v>
      </c>
      <c r="K32" s="966"/>
      <c r="L32" s="963">
        <f t="shared" si="3"/>
        <v>5000</v>
      </c>
      <c r="M32" s="179">
        <f t="shared" si="3"/>
        <v>5000</v>
      </c>
      <c r="N32" s="179">
        <f t="shared" si="3"/>
        <v>5000</v>
      </c>
      <c r="O32" s="179">
        <f t="shared" si="3"/>
        <v>5000</v>
      </c>
      <c r="P32" s="179">
        <f t="shared" si="3"/>
        <v>5000</v>
      </c>
      <c r="Q32" s="179">
        <f t="shared" si="3"/>
        <v>5000</v>
      </c>
      <c r="R32" s="141"/>
    </row>
    <row r="33" spans="1:18" s="150" customFormat="1">
      <c r="A33" s="555">
        <f t="shared" si="1"/>
        <v>25</v>
      </c>
      <c r="B33" s="1067" t="s">
        <v>604</v>
      </c>
      <c r="C33" s="1087"/>
      <c r="D33" s="1067"/>
      <c r="E33" s="1093"/>
      <c r="F33" s="1087">
        <v>4250</v>
      </c>
      <c r="G33" s="451"/>
      <c r="H33" s="451"/>
      <c r="I33" s="451"/>
      <c r="J33" s="451">
        <f t="shared" si="2"/>
        <v>25500</v>
      </c>
      <c r="K33" s="966"/>
      <c r="L33" s="963">
        <f t="shared" si="3"/>
        <v>4250</v>
      </c>
      <c r="M33" s="179">
        <f t="shared" si="3"/>
        <v>4250</v>
      </c>
      <c r="N33" s="179">
        <f t="shared" si="3"/>
        <v>4250</v>
      </c>
      <c r="O33" s="179">
        <f t="shared" si="3"/>
        <v>4250</v>
      </c>
      <c r="P33" s="179">
        <f t="shared" si="3"/>
        <v>4250</v>
      </c>
      <c r="Q33" s="179">
        <f t="shared" si="3"/>
        <v>4250</v>
      </c>
      <c r="R33" s="141"/>
    </row>
    <row r="34" spans="1:18" s="150" customFormat="1">
      <c r="A34" s="555">
        <f t="shared" si="1"/>
        <v>26</v>
      </c>
      <c r="B34" s="1067" t="s">
        <v>605</v>
      </c>
      <c r="C34" s="1087"/>
      <c r="D34" s="1067"/>
      <c r="E34" s="1093"/>
      <c r="F34" s="1087">
        <v>0</v>
      </c>
      <c r="G34" s="451"/>
      <c r="H34" s="451"/>
      <c r="I34" s="451"/>
      <c r="J34" s="451">
        <f t="shared" si="2"/>
        <v>0</v>
      </c>
      <c r="K34" s="966"/>
      <c r="L34" s="963">
        <f t="shared" si="3"/>
        <v>0</v>
      </c>
      <c r="M34" s="179">
        <f t="shared" si="3"/>
        <v>0</v>
      </c>
      <c r="N34" s="179">
        <f t="shared" si="3"/>
        <v>0</v>
      </c>
      <c r="O34" s="179">
        <f t="shared" si="3"/>
        <v>0</v>
      </c>
      <c r="P34" s="179">
        <f t="shared" si="3"/>
        <v>0</v>
      </c>
      <c r="Q34" s="179">
        <f t="shared" si="3"/>
        <v>0</v>
      </c>
      <c r="R34" s="141"/>
    </row>
    <row r="35" spans="1:18" s="150" customFormat="1">
      <c r="A35" s="555">
        <f t="shared" si="1"/>
        <v>27</v>
      </c>
      <c r="B35" s="1067" t="s">
        <v>655</v>
      </c>
      <c r="C35" s="1087"/>
      <c r="D35" s="1067"/>
      <c r="E35" s="1093"/>
      <c r="F35" s="1087"/>
      <c r="G35" s="451"/>
      <c r="H35" s="451"/>
      <c r="I35" s="451"/>
      <c r="J35" s="451">
        <f t="shared" si="2"/>
        <v>0</v>
      </c>
      <c r="K35" s="966">
        <v>0</v>
      </c>
      <c r="L35" s="963">
        <f t="shared" si="3"/>
        <v>0</v>
      </c>
      <c r="M35" s="179">
        <f t="shared" si="3"/>
        <v>0</v>
      </c>
      <c r="N35" s="179">
        <f t="shared" si="3"/>
        <v>0</v>
      </c>
      <c r="O35" s="179">
        <f t="shared" si="3"/>
        <v>0</v>
      </c>
      <c r="P35" s="179">
        <f t="shared" si="3"/>
        <v>0</v>
      </c>
      <c r="Q35" s="179">
        <f t="shared" si="3"/>
        <v>0</v>
      </c>
      <c r="R35" s="141"/>
    </row>
    <row r="36" spans="1:18" s="150" customFormat="1">
      <c r="A36" s="555">
        <f t="shared" si="1"/>
        <v>28</v>
      </c>
      <c r="B36" s="1067" t="s">
        <v>662</v>
      </c>
      <c r="C36" s="1087"/>
      <c r="D36" s="1067"/>
      <c r="E36" s="1093"/>
      <c r="F36" s="1087">
        <v>0</v>
      </c>
      <c r="G36" s="451"/>
      <c r="H36" s="451"/>
      <c r="I36" s="451"/>
      <c r="J36" s="451">
        <f t="shared" si="2"/>
        <v>0</v>
      </c>
      <c r="K36" s="966"/>
      <c r="L36" s="963">
        <f t="shared" si="3"/>
        <v>0</v>
      </c>
      <c r="M36" s="179">
        <f t="shared" si="3"/>
        <v>0</v>
      </c>
      <c r="N36" s="179">
        <f t="shared" si="3"/>
        <v>0</v>
      </c>
      <c r="O36" s="179">
        <f t="shared" si="3"/>
        <v>0</v>
      </c>
      <c r="P36" s="179">
        <f t="shared" si="3"/>
        <v>0</v>
      </c>
      <c r="Q36" s="179">
        <f t="shared" si="3"/>
        <v>0</v>
      </c>
      <c r="R36" s="141"/>
    </row>
    <row r="37" spans="1:18" s="150" customFormat="1">
      <c r="A37" s="555">
        <f t="shared" si="1"/>
        <v>29</v>
      </c>
      <c r="B37" s="1067" t="s">
        <v>663</v>
      </c>
      <c r="C37" s="1087"/>
      <c r="D37" s="1067"/>
      <c r="E37" s="1093"/>
      <c r="F37" s="1087">
        <v>0</v>
      </c>
      <c r="G37" s="451"/>
      <c r="H37" s="451"/>
      <c r="I37" s="451"/>
      <c r="J37" s="451">
        <f t="shared" si="2"/>
        <v>0</v>
      </c>
      <c r="K37" s="966"/>
      <c r="L37" s="963">
        <f t="shared" si="3"/>
        <v>0</v>
      </c>
      <c r="M37" s="179">
        <f t="shared" si="3"/>
        <v>0</v>
      </c>
      <c r="N37" s="179">
        <f t="shared" si="3"/>
        <v>0</v>
      </c>
      <c r="O37" s="179">
        <f t="shared" si="3"/>
        <v>0</v>
      </c>
      <c r="P37" s="179">
        <f t="shared" si="3"/>
        <v>0</v>
      </c>
      <c r="Q37" s="179">
        <f t="shared" si="3"/>
        <v>0</v>
      </c>
      <c r="R37" s="141"/>
    </row>
    <row r="38" spans="1:18" s="150" customFormat="1">
      <c r="A38" s="555">
        <f t="shared" si="1"/>
        <v>30</v>
      </c>
      <c r="B38" s="1067" t="s">
        <v>475</v>
      </c>
      <c r="C38" s="1087"/>
      <c r="D38" s="1067"/>
      <c r="E38" s="1093"/>
      <c r="F38" s="1094"/>
      <c r="G38" s="451"/>
      <c r="H38" s="451"/>
      <c r="I38" s="451"/>
      <c r="J38" s="451">
        <f t="shared" si="2"/>
        <v>0</v>
      </c>
      <c r="K38" s="966"/>
      <c r="L38" s="963">
        <f t="shared" si="3"/>
        <v>0</v>
      </c>
      <c r="M38" s="179">
        <f t="shared" si="3"/>
        <v>0</v>
      </c>
      <c r="N38" s="179">
        <f t="shared" si="3"/>
        <v>0</v>
      </c>
      <c r="O38" s="179">
        <f t="shared" si="3"/>
        <v>0</v>
      </c>
      <c r="P38" s="179">
        <f t="shared" si="3"/>
        <v>0</v>
      </c>
      <c r="Q38" s="179">
        <f t="shared" si="3"/>
        <v>0</v>
      </c>
      <c r="R38" s="141"/>
    </row>
    <row r="39" spans="1:18" s="150" customFormat="1">
      <c r="A39" s="555">
        <f t="shared" si="1"/>
        <v>31</v>
      </c>
      <c r="B39" s="1067" t="s">
        <v>664</v>
      </c>
      <c r="C39" s="1087"/>
      <c r="D39" s="1067"/>
      <c r="E39" s="1093"/>
      <c r="F39" s="1094"/>
      <c r="G39" s="451"/>
      <c r="H39" s="451"/>
      <c r="I39" s="451"/>
      <c r="J39" s="451">
        <f t="shared" si="2"/>
        <v>0</v>
      </c>
      <c r="K39" s="966"/>
      <c r="L39" s="963">
        <f t="shared" si="3"/>
        <v>0</v>
      </c>
      <c r="M39" s="179">
        <f t="shared" si="3"/>
        <v>0</v>
      </c>
      <c r="N39" s="179">
        <f t="shared" si="3"/>
        <v>0</v>
      </c>
      <c r="O39" s="179">
        <f t="shared" si="3"/>
        <v>0</v>
      </c>
      <c r="P39" s="179">
        <f t="shared" si="3"/>
        <v>0</v>
      </c>
      <c r="Q39" s="179">
        <f t="shared" si="3"/>
        <v>0</v>
      </c>
      <c r="R39" s="141"/>
    </row>
    <row r="40" spans="1:18" s="150" customFormat="1">
      <c r="A40" s="555">
        <f t="shared" si="1"/>
        <v>32</v>
      </c>
      <c r="B40" s="1067" t="s">
        <v>474</v>
      </c>
      <c r="C40" s="1087"/>
      <c r="D40" s="1067"/>
      <c r="E40" s="1093"/>
      <c r="F40" s="1094"/>
      <c r="G40" s="451"/>
      <c r="H40" s="451"/>
      <c r="I40" s="451"/>
      <c r="J40" s="451">
        <f t="shared" si="2"/>
        <v>0</v>
      </c>
      <c r="K40" s="966"/>
      <c r="L40" s="963">
        <f t="shared" si="3"/>
        <v>0</v>
      </c>
      <c r="M40" s="179">
        <f t="shared" si="3"/>
        <v>0</v>
      </c>
      <c r="N40" s="179">
        <f t="shared" si="3"/>
        <v>0</v>
      </c>
      <c r="O40" s="179">
        <f t="shared" si="3"/>
        <v>0</v>
      </c>
      <c r="P40" s="179">
        <f t="shared" si="3"/>
        <v>0</v>
      </c>
      <c r="Q40" s="179">
        <f t="shared" si="3"/>
        <v>0</v>
      </c>
      <c r="R40" s="141"/>
    </row>
    <row r="41" spans="1:18" s="150" customFormat="1">
      <c r="A41" s="555">
        <f t="shared" si="1"/>
        <v>33</v>
      </c>
      <c r="B41" s="1067" t="s">
        <v>669</v>
      </c>
      <c r="C41" s="1087"/>
      <c r="D41" s="1067"/>
      <c r="E41" s="1093"/>
      <c r="F41" s="1094"/>
      <c r="G41" s="451"/>
      <c r="H41" s="451"/>
      <c r="I41" s="451"/>
      <c r="J41" s="451">
        <f t="shared" si="2"/>
        <v>0</v>
      </c>
      <c r="K41" s="966"/>
      <c r="L41" s="963">
        <f t="shared" si="3"/>
        <v>0</v>
      </c>
      <c r="M41" s="179">
        <f t="shared" si="3"/>
        <v>0</v>
      </c>
      <c r="N41" s="179">
        <f t="shared" si="3"/>
        <v>0</v>
      </c>
      <c r="O41" s="179">
        <f t="shared" si="3"/>
        <v>0</v>
      </c>
      <c r="P41" s="179">
        <f t="shared" si="3"/>
        <v>0</v>
      </c>
      <c r="Q41" s="179">
        <f t="shared" si="3"/>
        <v>0</v>
      </c>
      <c r="R41" s="141"/>
    </row>
    <row r="42" spans="1:18" s="150" customFormat="1">
      <c r="A42" s="555">
        <f t="shared" si="1"/>
        <v>34</v>
      </c>
      <c r="B42" s="1067" t="s">
        <v>477</v>
      </c>
      <c r="C42" s="1087"/>
      <c r="D42" s="1067"/>
      <c r="E42" s="1093"/>
      <c r="F42" s="1094"/>
      <c r="G42" s="451"/>
      <c r="H42" s="451"/>
      <c r="I42" s="451"/>
      <c r="J42" s="451">
        <f t="shared" si="2"/>
        <v>0</v>
      </c>
      <c r="K42" s="966"/>
      <c r="L42" s="963">
        <f t="shared" si="3"/>
        <v>0</v>
      </c>
      <c r="M42" s="179">
        <f t="shared" si="3"/>
        <v>0</v>
      </c>
      <c r="N42" s="179">
        <f t="shared" si="3"/>
        <v>0</v>
      </c>
      <c r="O42" s="179">
        <f t="shared" si="3"/>
        <v>0</v>
      </c>
      <c r="P42" s="179">
        <f t="shared" si="3"/>
        <v>0</v>
      </c>
      <c r="Q42" s="179">
        <f t="shared" si="3"/>
        <v>0</v>
      </c>
      <c r="R42" s="141"/>
    </row>
    <row r="43" spans="1:18" s="150" customFormat="1">
      <c r="A43" s="555">
        <f t="shared" si="1"/>
        <v>35</v>
      </c>
      <c r="B43" s="1067" t="s">
        <v>661</v>
      </c>
      <c r="C43" s="1087"/>
      <c r="D43" s="1067"/>
      <c r="E43" s="1093"/>
      <c r="F43" s="1094"/>
      <c r="G43" s="451"/>
      <c r="H43" s="451"/>
      <c r="I43" s="451"/>
      <c r="J43" s="451">
        <f t="shared" si="2"/>
        <v>0</v>
      </c>
      <c r="K43" s="966"/>
      <c r="L43" s="963">
        <f t="shared" si="3"/>
        <v>0</v>
      </c>
      <c r="M43" s="179">
        <f t="shared" si="3"/>
        <v>0</v>
      </c>
      <c r="N43" s="179">
        <f t="shared" si="3"/>
        <v>0</v>
      </c>
      <c r="O43" s="179">
        <f t="shared" si="3"/>
        <v>0</v>
      </c>
      <c r="P43" s="179">
        <f t="shared" si="3"/>
        <v>0</v>
      </c>
      <c r="Q43" s="179">
        <f t="shared" si="3"/>
        <v>0</v>
      </c>
      <c r="R43" s="141"/>
    </row>
    <row r="44" spans="1:18" s="150" customFormat="1">
      <c r="A44" s="555">
        <f t="shared" si="1"/>
        <v>36</v>
      </c>
      <c r="B44" s="1067" t="s">
        <v>660</v>
      </c>
      <c r="C44" s="1087"/>
      <c r="D44" s="1067"/>
      <c r="E44" s="1093"/>
      <c r="F44" s="1094"/>
      <c r="G44" s="451"/>
      <c r="H44" s="451"/>
      <c r="I44" s="451"/>
      <c r="J44" s="451">
        <f t="shared" si="2"/>
        <v>0</v>
      </c>
      <c r="K44" s="966"/>
      <c r="L44" s="963">
        <f t="shared" si="3"/>
        <v>0</v>
      </c>
      <c r="M44" s="179">
        <f t="shared" si="3"/>
        <v>0</v>
      </c>
      <c r="N44" s="179">
        <f t="shared" si="3"/>
        <v>0</v>
      </c>
      <c r="O44" s="179">
        <f t="shared" si="3"/>
        <v>0</v>
      </c>
      <c r="P44" s="179">
        <f t="shared" si="3"/>
        <v>0</v>
      </c>
      <c r="Q44" s="179">
        <f t="shared" si="3"/>
        <v>0</v>
      </c>
      <c r="R44" s="141"/>
    </row>
    <row r="45" spans="1:18" s="150" customFormat="1">
      <c r="A45" s="555">
        <f t="shared" si="1"/>
        <v>37</v>
      </c>
      <c r="B45" s="1067" t="s">
        <v>607</v>
      </c>
      <c r="C45" s="1087"/>
      <c r="D45" s="1067"/>
      <c r="E45" s="1093"/>
      <c r="F45" s="1094"/>
      <c r="G45" s="451"/>
      <c r="H45" s="451"/>
      <c r="I45" s="451"/>
      <c r="J45" s="451">
        <f t="shared" si="2"/>
        <v>0</v>
      </c>
      <c r="K45" s="966"/>
      <c r="L45" s="963">
        <f t="shared" si="3"/>
        <v>0</v>
      </c>
      <c r="M45" s="179">
        <f t="shared" si="3"/>
        <v>0</v>
      </c>
      <c r="N45" s="179">
        <f t="shared" si="3"/>
        <v>0</v>
      </c>
      <c r="O45" s="179">
        <f t="shared" si="3"/>
        <v>0</v>
      </c>
      <c r="P45" s="179">
        <f t="shared" si="3"/>
        <v>0</v>
      </c>
      <c r="Q45" s="179">
        <f t="shared" si="3"/>
        <v>0</v>
      </c>
      <c r="R45" s="141"/>
    </row>
    <row r="46" spans="1:18" s="150" customFormat="1">
      <c r="A46" s="555">
        <f t="shared" si="1"/>
        <v>38</v>
      </c>
      <c r="B46" s="1067" t="s">
        <v>606</v>
      </c>
      <c r="C46" s="1087"/>
      <c r="D46" s="1067"/>
      <c r="E46" s="1093"/>
      <c r="F46" s="1094"/>
      <c r="G46" s="451"/>
      <c r="H46" s="451"/>
      <c r="I46" s="451"/>
      <c r="J46" s="451">
        <f t="shared" si="2"/>
        <v>0</v>
      </c>
      <c r="K46" s="966"/>
      <c r="L46" s="963">
        <f t="shared" si="3"/>
        <v>0</v>
      </c>
      <c r="M46" s="179">
        <f t="shared" si="3"/>
        <v>0</v>
      </c>
      <c r="N46" s="179">
        <f t="shared" si="3"/>
        <v>0</v>
      </c>
      <c r="O46" s="179">
        <f t="shared" si="3"/>
        <v>0</v>
      </c>
      <c r="P46" s="179">
        <f t="shared" si="3"/>
        <v>0</v>
      </c>
      <c r="Q46" s="179">
        <f t="shared" si="3"/>
        <v>0</v>
      </c>
      <c r="R46" s="141"/>
    </row>
    <row r="47" spans="1:18" s="150" customFormat="1">
      <c r="A47" s="555">
        <f t="shared" si="1"/>
        <v>39</v>
      </c>
      <c r="B47" s="1067" t="s">
        <v>650</v>
      </c>
      <c r="C47" s="1087"/>
      <c r="D47" s="1067"/>
      <c r="E47" s="1093"/>
      <c r="F47" s="1094"/>
      <c r="G47" s="451"/>
      <c r="H47" s="451"/>
      <c r="I47" s="451"/>
      <c r="J47" s="451">
        <f t="shared" si="2"/>
        <v>0</v>
      </c>
      <c r="K47" s="966"/>
      <c r="L47" s="963">
        <f t="shared" si="3"/>
        <v>0</v>
      </c>
      <c r="M47" s="179">
        <f t="shared" si="3"/>
        <v>0</v>
      </c>
      <c r="N47" s="179">
        <f t="shared" si="3"/>
        <v>0</v>
      </c>
      <c r="O47" s="179">
        <f t="shared" si="3"/>
        <v>0</v>
      </c>
      <c r="P47" s="179">
        <f t="shared" si="3"/>
        <v>0</v>
      </c>
      <c r="Q47" s="179">
        <f t="shared" si="3"/>
        <v>0</v>
      </c>
      <c r="R47" s="141"/>
    </row>
    <row r="48" spans="1:18" s="150" customFormat="1">
      <c r="A48" s="555">
        <f t="shared" si="1"/>
        <v>40</v>
      </c>
      <c r="B48" s="1067" t="s">
        <v>649</v>
      </c>
      <c r="C48" s="1087"/>
      <c r="D48" s="1067"/>
      <c r="E48" s="1093"/>
      <c r="F48" s="1094">
        <v>1000</v>
      </c>
      <c r="G48" s="451"/>
      <c r="H48" s="451"/>
      <c r="I48" s="451"/>
      <c r="J48" s="451">
        <f t="shared" si="2"/>
        <v>6000</v>
      </c>
      <c r="K48" s="966"/>
      <c r="L48" s="963">
        <f t="shared" si="3"/>
        <v>1000</v>
      </c>
      <c r="M48" s="179">
        <f t="shared" si="3"/>
        <v>1000</v>
      </c>
      <c r="N48" s="179">
        <f t="shared" si="3"/>
        <v>1000</v>
      </c>
      <c r="O48" s="179">
        <f t="shared" si="3"/>
        <v>1000</v>
      </c>
      <c r="P48" s="179">
        <f t="shared" si="3"/>
        <v>1000</v>
      </c>
      <c r="Q48" s="179">
        <f t="shared" si="3"/>
        <v>1000</v>
      </c>
      <c r="R48" s="141"/>
    </row>
    <row r="49" spans="1:18" s="150" customFormat="1">
      <c r="A49" s="555">
        <f t="shared" si="1"/>
        <v>41</v>
      </c>
      <c r="B49" s="1067" t="s">
        <v>608</v>
      </c>
      <c r="C49" s="1095"/>
      <c r="D49" s="1067"/>
      <c r="E49" s="1093"/>
      <c r="F49" s="1094"/>
      <c r="G49" s="451"/>
      <c r="H49" s="451"/>
      <c r="I49" s="451"/>
      <c r="J49" s="451">
        <f t="shared" si="2"/>
        <v>0</v>
      </c>
      <c r="K49" s="966"/>
      <c r="L49" s="963">
        <f t="shared" si="3"/>
        <v>0</v>
      </c>
      <c r="M49" s="179">
        <f t="shared" si="3"/>
        <v>0</v>
      </c>
      <c r="N49" s="179">
        <f t="shared" si="3"/>
        <v>0</v>
      </c>
      <c r="O49" s="179">
        <f t="shared" si="3"/>
        <v>0</v>
      </c>
      <c r="P49" s="179">
        <f t="shared" si="3"/>
        <v>0</v>
      </c>
      <c r="Q49" s="179">
        <f t="shared" si="3"/>
        <v>0</v>
      </c>
      <c r="R49" s="141"/>
    </row>
    <row r="50" spans="1:18" s="150" customFormat="1">
      <c r="A50" s="555">
        <f t="shared" si="1"/>
        <v>42</v>
      </c>
      <c r="B50" s="1067" t="s">
        <v>654</v>
      </c>
      <c r="C50" s="1087"/>
      <c r="D50" s="1067"/>
      <c r="E50" s="1093"/>
      <c r="F50" s="1094"/>
      <c r="G50" s="451"/>
      <c r="H50" s="451"/>
      <c r="I50" s="451"/>
      <c r="J50" s="451">
        <f t="shared" si="2"/>
        <v>0</v>
      </c>
      <c r="K50" s="966"/>
      <c r="L50" s="963">
        <f t="shared" si="3"/>
        <v>0</v>
      </c>
      <c r="M50" s="179">
        <f t="shared" si="3"/>
        <v>0</v>
      </c>
      <c r="N50" s="179">
        <f t="shared" si="3"/>
        <v>0</v>
      </c>
      <c r="O50" s="179">
        <f t="shared" si="3"/>
        <v>0</v>
      </c>
      <c r="P50" s="179">
        <f t="shared" si="3"/>
        <v>0</v>
      </c>
      <c r="Q50" s="179">
        <f t="shared" si="3"/>
        <v>0</v>
      </c>
      <c r="R50" s="141"/>
    </row>
    <row r="51" spans="1:18" s="150" customFormat="1">
      <c r="A51" s="555">
        <f t="shared" si="1"/>
        <v>43</v>
      </c>
      <c r="B51" s="1067" t="s">
        <v>656</v>
      </c>
      <c r="C51" s="1087"/>
      <c r="D51" s="1067"/>
      <c r="E51" s="1093"/>
      <c r="F51" s="1094"/>
      <c r="G51" s="451"/>
      <c r="H51" s="451"/>
      <c r="I51" s="451"/>
      <c r="J51" s="451">
        <f t="shared" si="2"/>
        <v>0</v>
      </c>
      <c r="K51" s="966"/>
      <c r="L51" s="963">
        <f t="shared" si="3"/>
        <v>0</v>
      </c>
      <c r="M51" s="179">
        <f t="shared" si="3"/>
        <v>0</v>
      </c>
      <c r="N51" s="179">
        <f t="shared" si="3"/>
        <v>0</v>
      </c>
      <c r="O51" s="179">
        <f t="shared" si="3"/>
        <v>0</v>
      </c>
      <c r="P51" s="179">
        <f t="shared" si="3"/>
        <v>0</v>
      </c>
      <c r="Q51" s="179">
        <f t="shared" si="3"/>
        <v>0</v>
      </c>
      <c r="R51" s="141"/>
    </row>
    <row r="52" spans="1:18" s="150" customFormat="1">
      <c r="A52" s="555">
        <f t="shared" si="1"/>
        <v>44</v>
      </c>
      <c r="B52" s="1067" t="s">
        <v>620</v>
      </c>
      <c r="C52" s="1087"/>
      <c r="D52" s="1067"/>
      <c r="E52" s="1093"/>
      <c r="F52" s="1094">
        <v>10000</v>
      </c>
      <c r="G52" s="451"/>
      <c r="H52" s="451"/>
      <c r="I52" s="451"/>
      <c r="J52" s="451">
        <f t="shared" si="2"/>
        <v>60000</v>
      </c>
      <c r="K52" s="966"/>
      <c r="L52" s="963">
        <f t="shared" si="3"/>
        <v>10000</v>
      </c>
      <c r="M52" s="179">
        <f t="shared" si="3"/>
        <v>10000</v>
      </c>
      <c r="N52" s="179">
        <f t="shared" si="3"/>
        <v>10000</v>
      </c>
      <c r="O52" s="179">
        <f t="shared" si="3"/>
        <v>10000</v>
      </c>
      <c r="P52" s="179">
        <f t="shared" si="3"/>
        <v>10000</v>
      </c>
      <c r="Q52" s="179">
        <f t="shared" si="3"/>
        <v>10000</v>
      </c>
      <c r="R52" s="141"/>
    </row>
    <row r="53" spans="1:18" s="150" customFormat="1">
      <c r="A53" s="555">
        <f t="shared" si="1"/>
        <v>45</v>
      </c>
      <c r="B53" s="1067" t="s">
        <v>651</v>
      </c>
      <c r="C53" s="1087"/>
      <c r="D53" s="1067"/>
      <c r="E53" s="1093"/>
      <c r="F53" s="1094"/>
      <c r="G53" s="451"/>
      <c r="H53" s="451"/>
      <c r="I53" s="451"/>
      <c r="J53" s="451">
        <f t="shared" si="2"/>
        <v>0</v>
      </c>
      <c r="K53" s="966"/>
      <c r="L53" s="963">
        <f t="shared" si="3"/>
        <v>0</v>
      </c>
      <c r="M53" s="179">
        <f t="shared" si="3"/>
        <v>0</v>
      </c>
      <c r="N53" s="179">
        <f t="shared" si="3"/>
        <v>0</v>
      </c>
      <c r="O53" s="179">
        <f t="shared" si="3"/>
        <v>0</v>
      </c>
      <c r="P53" s="179">
        <f t="shared" si="3"/>
        <v>0</v>
      </c>
      <c r="Q53" s="179">
        <f t="shared" si="3"/>
        <v>0</v>
      </c>
      <c r="R53" s="141"/>
    </row>
    <row r="54" spans="1:18" s="150" customFormat="1">
      <c r="A54" s="555">
        <f t="shared" si="1"/>
        <v>46</v>
      </c>
      <c r="B54" s="1067" t="s">
        <v>677</v>
      </c>
      <c r="C54" s="1087"/>
      <c r="D54" s="1067"/>
      <c r="E54" s="1093"/>
      <c r="F54" s="1094"/>
      <c r="G54" s="451"/>
      <c r="H54" s="451"/>
      <c r="I54" s="451"/>
      <c r="J54" s="451">
        <f t="shared" si="2"/>
        <v>0</v>
      </c>
      <c r="K54" s="966"/>
      <c r="L54" s="963">
        <f t="shared" si="3"/>
        <v>0</v>
      </c>
      <c r="M54" s="179">
        <f t="shared" si="3"/>
        <v>0</v>
      </c>
      <c r="N54" s="179">
        <f t="shared" si="3"/>
        <v>0</v>
      </c>
      <c r="O54" s="179">
        <f t="shared" si="3"/>
        <v>0</v>
      </c>
      <c r="P54" s="179">
        <f t="shared" si="3"/>
        <v>0</v>
      </c>
      <c r="Q54" s="179">
        <f t="shared" si="3"/>
        <v>0</v>
      </c>
      <c r="R54" s="141"/>
    </row>
    <row r="55" spans="1:18" s="150" customFormat="1">
      <c r="A55" s="555">
        <f t="shared" si="1"/>
        <v>47</v>
      </c>
      <c r="B55" s="1067" t="s">
        <v>677</v>
      </c>
      <c r="C55" s="1087"/>
      <c r="D55" s="1067"/>
      <c r="E55" s="1093"/>
      <c r="F55" s="1094"/>
      <c r="G55" s="451"/>
      <c r="H55" s="451"/>
      <c r="I55" s="451"/>
      <c r="J55" s="451">
        <f t="shared" si="2"/>
        <v>0</v>
      </c>
      <c r="K55" s="966"/>
      <c r="L55" s="963">
        <f t="shared" si="3"/>
        <v>0</v>
      </c>
      <c r="M55" s="179">
        <f t="shared" si="3"/>
        <v>0</v>
      </c>
      <c r="N55" s="179">
        <f t="shared" si="3"/>
        <v>0</v>
      </c>
      <c r="O55" s="179">
        <f t="shared" si="3"/>
        <v>0</v>
      </c>
      <c r="P55" s="179">
        <f t="shared" si="3"/>
        <v>0</v>
      </c>
      <c r="Q55" s="179">
        <f t="shared" si="3"/>
        <v>0</v>
      </c>
      <c r="R55" s="141"/>
    </row>
    <row r="56" spans="1:18" s="150" customFormat="1">
      <c r="A56" s="555">
        <f t="shared" si="1"/>
        <v>48</v>
      </c>
      <c r="B56" s="1067" t="s">
        <v>677</v>
      </c>
      <c r="C56" s="1087"/>
      <c r="D56" s="1067"/>
      <c r="E56" s="1093"/>
      <c r="F56" s="1094"/>
      <c r="G56" s="451"/>
      <c r="H56" s="451"/>
      <c r="I56" s="451"/>
      <c r="J56" s="451">
        <f t="shared" si="2"/>
        <v>0</v>
      </c>
      <c r="K56" s="966"/>
      <c r="L56" s="963">
        <f t="shared" si="3"/>
        <v>0</v>
      </c>
      <c r="M56" s="179">
        <f t="shared" si="3"/>
        <v>0</v>
      </c>
      <c r="N56" s="179">
        <f t="shared" si="3"/>
        <v>0</v>
      </c>
      <c r="O56" s="179">
        <f t="shared" si="3"/>
        <v>0</v>
      </c>
      <c r="P56" s="179">
        <f t="shared" si="3"/>
        <v>0</v>
      </c>
      <c r="Q56" s="179">
        <f t="shared" si="3"/>
        <v>0</v>
      </c>
      <c r="R56" s="141"/>
    </row>
    <row r="57" spans="1:18" s="150" customFormat="1">
      <c r="A57" s="555">
        <f t="shared" si="1"/>
        <v>49</v>
      </c>
      <c r="B57" s="1067" t="s">
        <v>677</v>
      </c>
      <c r="C57" s="1087"/>
      <c r="D57" s="1067"/>
      <c r="E57" s="1093"/>
      <c r="F57" s="1094"/>
      <c r="G57" s="451"/>
      <c r="H57" s="451"/>
      <c r="I57" s="451"/>
      <c r="J57" s="451">
        <f t="shared" si="2"/>
        <v>0</v>
      </c>
      <c r="K57" s="966"/>
      <c r="L57" s="963">
        <f t="shared" si="3"/>
        <v>0</v>
      </c>
      <c r="M57" s="179">
        <f t="shared" si="3"/>
        <v>0</v>
      </c>
      <c r="N57" s="179">
        <f t="shared" si="3"/>
        <v>0</v>
      </c>
      <c r="O57" s="179">
        <f t="shared" si="3"/>
        <v>0</v>
      </c>
      <c r="P57" s="179">
        <f t="shared" si="3"/>
        <v>0</v>
      </c>
      <c r="Q57" s="179">
        <f t="shared" si="3"/>
        <v>0</v>
      </c>
      <c r="R57" s="141"/>
    </row>
    <row r="58" spans="1:18" s="150" customFormat="1">
      <c r="A58" s="555">
        <f t="shared" si="1"/>
        <v>50</v>
      </c>
      <c r="B58" s="1067" t="s">
        <v>677</v>
      </c>
      <c r="C58" s="1067"/>
      <c r="D58" s="1067"/>
      <c r="E58" s="1093"/>
      <c r="F58" s="1094">
        <v>0</v>
      </c>
      <c r="G58" s="451"/>
      <c r="H58" s="451"/>
      <c r="I58" s="451"/>
      <c r="J58" s="451">
        <f t="shared" si="2"/>
        <v>0</v>
      </c>
      <c r="K58" s="967"/>
      <c r="L58" s="963">
        <f t="shared" ref="L58:Q58" si="4">+$F58</f>
        <v>0</v>
      </c>
      <c r="M58" s="179">
        <f t="shared" si="4"/>
        <v>0</v>
      </c>
      <c r="N58" s="179">
        <f t="shared" si="4"/>
        <v>0</v>
      </c>
      <c r="O58" s="179">
        <f t="shared" si="4"/>
        <v>0</v>
      </c>
      <c r="P58" s="179">
        <f t="shared" si="4"/>
        <v>0</v>
      </c>
      <c r="Q58" s="179">
        <f t="shared" si="4"/>
        <v>0</v>
      </c>
      <c r="R58" s="141"/>
    </row>
    <row r="59" spans="1:18" ht="16">
      <c r="F59" s="455">
        <f>SUM(F9:F58)</f>
        <v>28250</v>
      </c>
      <c r="G59" s="456"/>
      <c r="H59" s="456"/>
      <c r="I59" s="456"/>
      <c r="J59" s="968">
        <f t="shared" ref="J59:Q59" si="5">SUM(J9:J58)</f>
        <v>169500</v>
      </c>
      <c r="K59" s="969">
        <f t="shared" si="5"/>
        <v>0</v>
      </c>
      <c r="L59" s="970">
        <f t="shared" si="5"/>
        <v>28250</v>
      </c>
      <c r="M59" s="968">
        <f t="shared" si="5"/>
        <v>28250</v>
      </c>
      <c r="N59" s="968">
        <f t="shared" si="5"/>
        <v>28250</v>
      </c>
      <c r="O59" s="968">
        <f t="shared" si="5"/>
        <v>28250</v>
      </c>
      <c r="P59" s="968">
        <f t="shared" si="5"/>
        <v>28250</v>
      </c>
      <c r="Q59" s="968">
        <f t="shared" si="5"/>
        <v>28250</v>
      </c>
    </row>
    <row r="60" spans="1:18">
      <c r="B60" s="810" t="s">
        <v>745</v>
      </c>
    </row>
    <row r="61" spans="1:18">
      <c r="B61" s="810" t="s">
        <v>771</v>
      </c>
    </row>
    <row r="62" spans="1:18">
      <c r="B62" s="810" t="s">
        <v>746</v>
      </c>
    </row>
  </sheetData>
  <sheetProtection algorithmName="SHA-512" hashValue="E1aJZDj/o8qASCnsOtyUKF6Dfz2b1L0cBA6YBYBLi8rvpKI1GwrTgaL+6Qpp+rx7WiBoiSTYvznp8Ho2YktCyA==" saltValue="ii4A1wc4tk36sYPUeHpisw==" spinCount="100000" sheet="1" selectLockedCells="1"/>
  <pageMargins left="0.25" right="0.25" top="0.5" bottom="0.45" header="0.25" footer="0.25"/>
  <pageSetup scale="61" fitToHeight="2" orientation="landscape" r:id="rId1"/>
  <headerFooter>
    <oddHeader xml:space="preserve">&amp;L &amp;C &amp;R </oddHeader>
    <oddFooter>&amp;L&amp;7&amp;D  at &amp;T Mike 702.486.8879&amp;C&amp;7&amp;F  &amp;A&amp;R&amp;7Page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L94"/>
  <sheetViews>
    <sheetView view="pageBreakPreview" topLeftCell="A39" zoomScale="150" zoomScaleNormal="100" zoomScaleSheetLayoutView="100" workbookViewId="0">
      <selection activeCell="C14" sqref="C14"/>
    </sheetView>
  </sheetViews>
  <sheetFormatPr baseColWidth="10" defaultColWidth="8.83203125" defaultRowHeight="13"/>
  <cols>
    <col min="1" max="1" width="3.1640625" style="11" customWidth="1"/>
    <col min="2" max="2" width="30.1640625" style="11" customWidth="1"/>
    <col min="3" max="3" width="16.6640625" style="11" customWidth="1"/>
    <col min="4" max="4" width="15.33203125" style="11" bestFit="1" customWidth="1"/>
    <col min="5" max="5" width="13.6640625" style="11" customWidth="1"/>
    <col min="6" max="6" width="3.6640625" style="11" customWidth="1"/>
    <col min="7" max="16384" width="8.83203125" style="11"/>
  </cols>
  <sheetData>
    <row r="1" spans="1:12" ht="18">
      <c r="A1" s="66" t="s">
        <v>753</v>
      </c>
      <c r="B1" s="65"/>
      <c r="C1" s="65"/>
    </row>
    <row r="2" spans="1:12" ht="16">
      <c r="A2" s="71" t="s">
        <v>398</v>
      </c>
      <c r="B2" s="70"/>
      <c r="C2" s="70"/>
    </row>
    <row r="3" spans="1:12">
      <c r="A3" s="15" t="s">
        <v>413</v>
      </c>
    </row>
    <row r="4" spans="1:12">
      <c r="A4" s="14" t="s">
        <v>412</v>
      </c>
    </row>
    <row r="5" spans="1:12">
      <c r="A5" s="13" t="str">
        <f ca="1">CELL("filename")</f>
        <v>/Users/matthewbrown/Desktop/[2021MB-New-CS-Application-Financial-Plan-TEACH REV 21.1.04MB 2021 02 01.xlsx]Enrol Staff &amp; Exp</v>
      </c>
    </row>
    <row r="6" spans="1:12">
      <c r="A6" s="12"/>
      <c r="B6" s="12"/>
      <c r="C6" s="12"/>
      <c r="D6" s="12"/>
      <c r="E6" s="12"/>
      <c r="F6" s="12"/>
      <c r="G6" s="12"/>
      <c r="H6" s="12"/>
      <c r="I6" s="12"/>
      <c r="J6" s="12"/>
      <c r="K6" s="12"/>
      <c r="L6" s="12"/>
    </row>
    <row r="7" spans="1:12">
      <c r="A7" s="12"/>
      <c r="B7" s="12"/>
      <c r="C7" s="12"/>
      <c r="D7" s="12"/>
      <c r="E7" s="826">
        <f>+'Enrol Staff &amp; Exp'!H6-2</f>
        <v>2019</v>
      </c>
      <c r="F7" s="12"/>
      <c r="G7" s="12"/>
      <c r="H7" s="12"/>
      <c r="I7" s="12"/>
      <c r="J7" s="12"/>
      <c r="K7" s="12"/>
      <c r="L7" s="12"/>
    </row>
    <row r="8" spans="1:12">
      <c r="A8" s="12"/>
      <c r="B8" s="12"/>
      <c r="C8" s="12"/>
      <c r="D8" s="12"/>
      <c r="E8" s="827">
        <f>+E7+1</f>
        <v>2020</v>
      </c>
      <c r="F8" s="12"/>
      <c r="G8" s="12"/>
      <c r="H8" s="12"/>
      <c r="I8" s="12"/>
      <c r="J8" s="12"/>
      <c r="K8" s="12"/>
      <c r="L8" s="12"/>
    </row>
    <row r="9" spans="1:12" ht="14.25" customHeight="1">
      <c r="A9" s="12"/>
      <c r="B9" s="1438" t="s">
        <v>754</v>
      </c>
      <c r="C9" s="1439"/>
      <c r="D9" s="1439"/>
      <c r="E9" s="1440"/>
      <c r="F9" s="12"/>
      <c r="G9" s="12"/>
      <c r="H9" s="12"/>
      <c r="I9" s="12"/>
      <c r="J9" s="12"/>
      <c r="K9" s="12"/>
      <c r="L9" s="12"/>
    </row>
    <row r="10" spans="1:12" ht="45">
      <c r="A10" s="12"/>
      <c r="B10" s="34" t="s">
        <v>414</v>
      </c>
      <c r="C10" s="35" t="s">
        <v>415</v>
      </c>
      <c r="D10" s="35" t="s">
        <v>434</v>
      </c>
      <c r="E10" s="36" t="s">
        <v>755</v>
      </c>
      <c r="F10" s="12"/>
      <c r="G10" s="12"/>
      <c r="H10" s="12"/>
      <c r="I10" s="12"/>
      <c r="J10" s="12"/>
      <c r="K10" s="12"/>
      <c r="L10" s="12"/>
    </row>
    <row r="11" spans="1:12" ht="14">
      <c r="A11" s="12"/>
      <c r="B11" s="792" t="s">
        <v>947</v>
      </c>
      <c r="C11" s="997">
        <v>1</v>
      </c>
      <c r="D11" s="1002">
        <v>37500</v>
      </c>
      <c r="E11" s="28">
        <f t="shared" ref="E11:E18" si="0">C11*D11</f>
        <v>37500</v>
      </c>
      <c r="F11" s="12"/>
      <c r="G11" s="12"/>
      <c r="H11" s="12"/>
      <c r="I11" s="12"/>
      <c r="J11" s="12"/>
      <c r="K11" s="12"/>
      <c r="L11" s="12"/>
    </row>
    <row r="12" spans="1:12" ht="14">
      <c r="A12" s="12"/>
      <c r="B12" s="793" t="s">
        <v>416</v>
      </c>
      <c r="C12" s="998">
        <v>1</v>
      </c>
      <c r="D12" s="1000">
        <v>16667</v>
      </c>
      <c r="E12" s="29">
        <f t="shared" si="0"/>
        <v>16667</v>
      </c>
      <c r="F12" s="12"/>
      <c r="G12" s="12"/>
      <c r="H12" s="12"/>
      <c r="I12" s="12"/>
      <c r="J12" s="12"/>
      <c r="K12" s="12"/>
      <c r="L12" s="12"/>
    </row>
    <row r="13" spans="1:12" ht="14">
      <c r="A13" s="12"/>
      <c r="B13" s="793"/>
      <c r="C13" s="998">
        <v>0</v>
      </c>
      <c r="D13" s="1000">
        <v>0</v>
      </c>
      <c r="E13" s="29">
        <f t="shared" si="0"/>
        <v>0</v>
      </c>
      <c r="F13" s="12"/>
      <c r="G13" s="12"/>
      <c r="H13" s="12"/>
      <c r="I13" s="12"/>
      <c r="J13" s="12"/>
      <c r="K13" s="12"/>
      <c r="L13" s="12"/>
    </row>
    <row r="14" spans="1:12" ht="14">
      <c r="A14" s="12"/>
      <c r="B14" s="793"/>
      <c r="C14" s="999"/>
      <c r="D14" s="1001"/>
      <c r="E14" s="29">
        <f t="shared" si="0"/>
        <v>0</v>
      </c>
      <c r="F14" s="12"/>
      <c r="G14" s="12"/>
      <c r="H14" s="12"/>
      <c r="I14" s="12"/>
      <c r="J14" s="12"/>
      <c r="K14" s="12"/>
      <c r="L14" s="12"/>
    </row>
    <row r="15" spans="1:12" ht="14">
      <c r="A15" s="12"/>
      <c r="B15" s="794"/>
      <c r="C15" s="999">
        <v>0</v>
      </c>
      <c r="D15" s="1001">
        <v>0</v>
      </c>
      <c r="E15" s="29">
        <f t="shared" si="0"/>
        <v>0</v>
      </c>
      <c r="F15" s="12"/>
      <c r="G15" s="12"/>
      <c r="H15" s="12"/>
      <c r="I15" s="12"/>
      <c r="J15" s="12"/>
      <c r="K15" s="12"/>
      <c r="L15" s="12"/>
    </row>
    <row r="16" spans="1:12" ht="14">
      <c r="A16" s="12"/>
      <c r="B16" s="794"/>
      <c r="C16" s="999">
        <v>0</v>
      </c>
      <c r="D16" s="1001">
        <v>0</v>
      </c>
      <c r="E16" s="29">
        <f t="shared" si="0"/>
        <v>0</v>
      </c>
      <c r="F16" s="12"/>
      <c r="G16" s="12"/>
      <c r="H16" s="12"/>
      <c r="I16" s="12"/>
      <c r="J16" s="12"/>
      <c r="K16" s="12"/>
      <c r="L16" s="12"/>
    </row>
    <row r="17" spans="1:12" ht="14">
      <c r="A17" s="12"/>
      <c r="B17" s="794"/>
      <c r="C17" s="999">
        <v>0</v>
      </c>
      <c r="D17" s="1001">
        <v>0</v>
      </c>
      <c r="E17" s="29">
        <f t="shared" si="0"/>
        <v>0</v>
      </c>
      <c r="F17" s="12"/>
      <c r="G17" s="12"/>
      <c r="H17" s="12"/>
      <c r="I17" s="12"/>
      <c r="J17" s="12"/>
      <c r="K17" s="12"/>
      <c r="L17" s="12"/>
    </row>
    <row r="18" spans="1:12" ht="14">
      <c r="A18" s="12"/>
      <c r="B18" s="795"/>
      <c r="C18" s="796"/>
      <c r="D18" s="797"/>
      <c r="E18" s="30">
        <f t="shared" si="0"/>
        <v>0</v>
      </c>
      <c r="F18" s="12"/>
      <c r="G18" s="12"/>
      <c r="H18" s="12"/>
      <c r="I18" s="12"/>
      <c r="J18" s="12"/>
      <c r="K18" s="12"/>
      <c r="L18" s="12"/>
    </row>
    <row r="19" spans="1:12" ht="14">
      <c r="A19" s="12"/>
      <c r="B19" s="1079" t="s">
        <v>306</v>
      </c>
      <c r="C19" s="1080"/>
      <c r="D19" s="1081"/>
      <c r="E19" s="829">
        <f>SUM(E11:E18)</f>
        <v>54167</v>
      </c>
      <c r="F19" s="42"/>
      <c r="G19" s="12"/>
      <c r="H19" s="12"/>
      <c r="I19" s="12"/>
      <c r="J19" s="12"/>
      <c r="K19" s="12"/>
      <c r="L19" s="12"/>
    </row>
    <row r="20" spans="1:12" ht="14">
      <c r="A20" s="12"/>
      <c r="B20" s="1082"/>
      <c r="C20" s="1083"/>
      <c r="D20" s="1084"/>
      <c r="E20" s="830"/>
      <c r="F20" s="42"/>
      <c r="G20" s="12"/>
      <c r="H20" s="12"/>
      <c r="I20" s="12"/>
      <c r="J20" s="12"/>
      <c r="K20" s="12"/>
      <c r="L20" s="12"/>
    </row>
    <row r="21" spans="1:12" ht="14">
      <c r="A21" s="12"/>
      <c r="B21" s="831" t="s">
        <v>417</v>
      </c>
      <c r="C21" s="832">
        <v>0</v>
      </c>
      <c r="D21" s="833"/>
      <c r="E21" s="834">
        <f>+$E$19*C21</f>
        <v>0</v>
      </c>
      <c r="F21" s="12"/>
      <c r="G21" s="12"/>
      <c r="H21" s="12"/>
      <c r="I21" s="12"/>
      <c r="J21" s="12"/>
      <c r="K21" s="12"/>
      <c r="L21" s="12"/>
    </row>
    <row r="22" spans="1:12" ht="14">
      <c r="A22" s="12"/>
      <c r="B22" s="785" t="s">
        <v>418</v>
      </c>
      <c r="C22" s="798">
        <v>0</v>
      </c>
      <c r="D22" s="644"/>
      <c r="E22" s="29">
        <f>+$E$19*C22</f>
        <v>0</v>
      </c>
      <c r="F22" s="12"/>
      <c r="G22" s="12"/>
      <c r="H22" s="12"/>
      <c r="I22" s="12"/>
      <c r="J22" s="12"/>
      <c r="K22" s="12"/>
      <c r="L22" s="12"/>
    </row>
    <row r="23" spans="1:12" ht="14">
      <c r="A23" s="12"/>
      <c r="B23" s="799" t="s">
        <v>433</v>
      </c>
      <c r="C23" s="800"/>
      <c r="D23" s="801">
        <v>0</v>
      </c>
      <c r="E23" s="30">
        <f>+D23</f>
        <v>0</v>
      </c>
      <c r="F23" s="12"/>
      <c r="G23" s="12"/>
      <c r="H23" s="12"/>
      <c r="I23" s="12"/>
      <c r="J23" s="12"/>
      <c r="K23" s="12"/>
      <c r="L23" s="12"/>
    </row>
    <row r="24" spans="1:12" ht="14">
      <c r="A24" s="12"/>
      <c r="B24" s="799" t="s">
        <v>433</v>
      </c>
      <c r="C24" s="800"/>
      <c r="D24" s="801">
        <v>0</v>
      </c>
      <c r="E24" s="30">
        <f>+D24</f>
        <v>0</v>
      </c>
      <c r="F24" s="12"/>
      <c r="G24" s="12"/>
      <c r="H24" s="12"/>
      <c r="I24" s="12"/>
      <c r="J24" s="12"/>
      <c r="K24" s="12"/>
      <c r="L24" s="12"/>
    </row>
    <row r="25" spans="1:12" ht="14">
      <c r="A25" s="12"/>
      <c r="B25" s="828" t="s">
        <v>306</v>
      </c>
      <c r="C25" s="23"/>
      <c r="D25" s="24"/>
      <c r="E25" s="31">
        <f>SUM(E19:E24)</f>
        <v>54167</v>
      </c>
      <c r="F25" s="12"/>
      <c r="G25" s="12"/>
      <c r="H25" s="12"/>
      <c r="I25" s="12"/>
      <c r="J25" s="12"/>
      <c r="K25" s="12"/>
      <c r="L25" s="12"/>
    </row>
    <row r="26" spans="1:12">
      <c r="A26" s="12"/>
      <c r="B26" s="25"/>
      <c r="C26" s="25"/>
      <c r="D26" s="25"/>
      <c r="E26" s="32"/>
      <c r="F26" s="12"/>
      <c r="G26" s="12"/>
      <c r="H26" s="12"/>
      <c r="I26" s="12"/>
      <c r="J26" s="12"/>
      <c r="K26" s="12"/>
      <c r="L26" s="12"/>
    </row>
    <row r="27" spans="1:12" ht="14">
      <c r="A27" s="12"/>
      <c r="B27" s="784"/>
      <c r="C27" s="641"/>
      <c r="D27" s="642"/>
      <c r="E27" s="996">
        <v>0</v>
      </c>
      <c r="F27" s="37"/>
      <c r="G27" s="12"/>
      <c r="H27" s="12"/>
      <c r="I27" s="12"/>
      <c r="J27" s="12"/>
      <c r="K27" s="12"/>
      <c r="L27" s="12"/>
    </row>
    <row r="28" spans="1:12" ht="14">
      <c r="A28" s="12"/>
      <c r="B28" s="784" t="s">
        <v>969</v>
      </c>
      <c r="C28" s="643"/>
      <c r="D28" s="644"/>
      <c r="E28" s="802">
        <v>7500</v>
      </c>
      <c r="F28" s="37"/>
      <c r="G28" s="12"/>
      <c r="H28" s="12"/>
      <c r="I28" s="12"/>
      <c r="J28" s="12"/>
      <c r="K28" s="12"/>
      <c r="L28" s="12"/>
    </row>
    <row r="29" spans="1:12" ht="14">
      <c r="A29" s="12"/>
      <c r="B29" s="785" t="s">
        <v>970</v>
      </c>
      <c r="C29" s="643"/>
      <c r="D29" s="644"/>
      <c r="E29" s="802">
        <v>5000</v>
      </c>
      <c r="F29" s="37"/>
      <c r="G29" s="12"/>
      <c r="H29" s="12"/>
      <c r="I29" s="12"/>
      <c r="J29" s="12"/>
      <c r="K29" s="12"/>
      <c r="L29" s="12"/>
    </row>
    <row r="30" spans="1:12" ht="14">
      <c r="A30" s="12"/>
      <c r="B30" s="785" t="s">
        <v>419</v>
      </c>
      <c r="C30" s="643"/>
      <c r="D30" s="644"/>
      <c r="E30" s="802">
        <v>2500</v>
      </c>
      <c r="F30" s="37"/>
      <c r="G30" s="12"/>
      <c r="H30" s="12"/>
      <c r="I30" s="12"/>
      <c r="J30" s="12"/>
      <c r="K30" s="12"/>
      <c r="L30" s="12"/>
    </row>
    <row r="31" spans="1:12" ht="14">
      <c r="A31" s="12"/>
      <c r="B31" s="785" t="s">
        <v>971</v>
      </c>
      <c r="C31" s="643"/>
      <c r="D31" s="644"/>
      <c r="E31" s="802">
        <v>3000</v>
      </c>
      <c r="F31" s="37"/>
      <c r="G31" s="12"/>
      <c r="H31" s="12"/>
      <c r="I31" s="12"/>
      <c r="J31" s="12"/>
      <c r="K31" s="12"/>
      <c r="L31" s="12"/>
    </row>
    <row r="32" spans="1:12" ht="14">
      <c r="A32" s="12"/>
      <c r="B32" s="785" t="s">
        <v>432</v>
      </c>
      <c r="C32" s="643"/>
      <c r="D32" s="644"/>
      <c r="E32" s="802">
        <v>10000</v>
      </c>
      <c r="F32" s="37"/>
      <c r="G32" s="12"/>
      <c r="H32" s="12"/>
      <c r="I32" s="12"/>
      <c r="J32" s="12"/>
      <c r="K32" s="12"/>
      <c r="L32" s="12"/>
    </row>
    <row r="33" spans="1:12" ht="14">
      <c r="A33" s="12"/>
      <c r="B33" s="785" t="s">
        <v>420</v>
      </c>
      <c r="C33" s="643"/>
      <c r="D33" s="644"/>
      <c r="E33" s="802">
        <v>2500</v>
      </c>
      <c r="F33" s="37"/>
      <c r="G33" s="12"/>
      <c r="H33" s="12"/>
      <c r="I33" s="12"/>
      <c r="J33" s="12"/>
      <c r="K33" s="12"/>
      <c r="L33" s="12"/>
    </row>
    <row r="34" spans="1:12" ht="14">
      <c r="A34" s="12"/>
      <c r="B34" s="785" t="s">
        <v>421</v>
      </c>
      <c r="C34" s="643"/>
      <c r="D34" s="644"/>
      <c r="E34" s="802">
        <v>2500</v>
      </c>
      <c r="F34" s="37"/>
      <c r="G34" s="12"/>
      <c r="H34" s="12"/>
      <c r="I34" s="12"/>
      <c r="J34" s="12"/>
      <c r="K34" s="12"/>
      <c r="L34" s="12"/>
    </row>
    <row r="35" spans="1:12" ht="14">
      <c r="A35" s="12"/>
      <c r="B35" s="785" t="s">
        <v>422</v>
      </c>
      <c r="C35" s="643"/>
      <c r="D35" s="644"/>
      <c r="E35" s="802">
        <v>2500</v>
      </c>
      <c r="F35" s="37"/>
      <c r="G35" s="12"/>
      <c r="H35" s="12"/>
      <c r="I35" s="12"/>
      <c r="J35" s="12"/>
      <c r="K35" s="12"/>
      <c r="L35" s="12"/>
    </row>
    <row r="36" spans="1:12" ht="14">
      <c r="A36" s="12"/>
      <c r="B36" s="785" t="s">
        <v>423</v>
      </c>
      <c r="C36" s="643"/>
      <c r="D36" s="644"/>
      <c r="E36" s="802">
        <v>7500</v>
      </c>
      <c r="F36" s="37"/>
      <c r="G36" s="12"/>
      <c r="H36" s="12"/>
      <c r="I36" s="12"/>
      <c r="J36" s="12"/>
      <c r="K36" s="12"/>
      <c r="L36" s="12"/>
    </row>
    <row r="37" spans="1:12" ht="14">
      <c r="A37" s="12"/>
      <c r="B37" s="785"/>
      <c r="C37" s="643"/>
      <c r="D37" s="644"/>
      <c r="E37" s="802">
        <v>0</v>
      </c>
      <c r="F37" s="37"/>
      <c r="G37" s="12"/>
      <c r="H37" s="12"/>
      <c r="I37" s="12"/>
      <c r="J37" s="12"/>
      <c r="K37" s="12"/>
      <c r="L37" s="12"/>
    </row>
    <row r="38" spans="1:12" ht="14">
      <c r="A38" s="12"/>
      <c r="B38" s="785"/>
      <c r="C38" s="643"/>
      <c r="D38" s="644"/>
      <c r="E38" s="802">
        <v>0</v>
      </c>
      <c r="F38" s="37"/>
      <c r="G38" s="12"/>
      <c r="H38" s="12"/>
      <c r="I38" s="12"/>
      <c r="J38" s="12"/>
      <c r="K38" s="12"/>
      <c r="L38" s="12"/>
    </row>
    <row r="39" spans="1:12" ht="14">
      <c r="A39" s="12"/>
      <c r="B39" s="785"/>
      <c r="C39" s="643"/>
      <c r="D39" s="644"/>
      <c r="E39" s="802">
        <v>0</v>
      </c>
      <c r="F39" s="37"/>
      <c r="G39" s="12"/>
      <c r="H39" s="12"/>
      <c r="I39" s="12"/>
      <c r="J39" s="12"/>
      <c r="K39" s="12"/>
      <c r="L39" s="12"/>
    </row>
    <row r="40" spans="1:12" ht="14">
      <c r="A40" s="12"/>
      <c r="B40" s="785"/>
      <c r="C40" s="643"/>
      <c r="D40" s="644"/>
      <c r="E40" s="802">
        <v>0</v>
      </c>
      <c r="F40" s="37"/>
      <c r="G40" s="12"/>
      <c r="H40" s="12"/>
      <c r="I40" s="12"/>
      <c r="J40" s="12"/>
      <c r="K40" s="12"/>
      <c r="L40" s="12"/>
    </row>
    <row r="41" spans="1:12" ht="14">
      <c r="A41" s="12"/>
      <c r="B41" s="785"/>
      <c r="C41" s="643"/>
      <c r="D41" s="644"/>
      <c r="E41" s="802">
        <v>0</v>
      </c>
      <c r="F41" s="37"/>
      <c r="G41" s="12"/>
      <c r="H41" s="12"/>
      <c r="I41" s="12"/>
      <c r="J41" s="12"/>
      <c r="K41" s="12"/>
      <c r="L41" s="12"/>
    </row>
    <row r="42" spans="1:12" ht="14">
      <c r="A42" s="12"/>
      <c r="B42" s="22" t="s">
        <v>972</v>
      </c>
      <c r="C42" s="38"/>
      <c r="D42" s="33">
        <v>40000</v>
      </c>
      <c r="E42" s="39"/>
      <c r="F42" s="37"/>
      <c r="G42" s="12"/>
      <c r="H42" s="12"/>
      <c r="I42" s="12"/>
      <c r="J42" s="12"/>
      <c r="K42" s="12"/>
      <c r="L42" s="12"/>
    </row>
    <row r="43" spans="1:12" ht="14">
      <c r="A43" s="12"/>
      <c r="B43" s="26" t="s">
        <v>435</v>
      </c>
      <c r="C43" s="26"/>
      <c r="D43" s="27"/>
      <c r="E43" s="41">
        <f>SUM(E25:E42)</f>
        <v>97167</v>
      </c>
      <c r="F43" s="42"/>
      <c r="G43" s="12"/>
      <c r="H43" s="12"/>
      <c r="I43" s="12"/>
      <c r="J43" s="12"/>
      <c r="K43" s="12"/>
      <c r="L43" s="12"/>
    </row>
    <row r="44" spans="1:12" ht="15">
      <c r="A44" s="12"/>
      <c r="B44" s="6"/>
      <c r="C44" s="6"/>
      <c r="D44" s="6"/>
      <c r="E44" s="6"/>
      <c r="F44" s="12"/>
      <c r="G44" s="12"/>
      <c r="H44" s="12"/>
      <c r="I44" s="12"/>
      <c r="J44" s="12"/>
      <c r="K44" s="12"/>
      <c r="L44" s="12"/>
    </row>
    <row r="45" spans="1:12" ht="14">
      <c r="A45" s="12"/>
      <c r="B45" s="43" t="s">
        <v>756</v>
      </c>
      <c r="C45" s="44"/>
      <c r="D45" s="44"/>
      <c r="E45" s="44"/>
      <c r="F45" s="12"/>
      <c r="G45" s="12"/>
      <c r="H45" s="12"/>
      <c r="I45" s="12"/>
      <c r="J45" s="12"/>
      <c r="K45" s="12"/>
      <c r="L45" s="12"/>
    </row>
    <row r="46" spans="1:12" ht="14">
      <c r="A46" s="12"/>
      <c r="B46" s="786" t="s">
        <v>973</v>
      </c>
      <c r="C46" s="787"/>
      <c r="D46" s="787"/>
      <c r="E46" s="803">
        <v>20000</v>
      </c>
      <c r="F46" s="46"/>
      <c r="G46" s="12"/>
      <c r="H46" s="12"/>
      <c r="I46" s="12"/>
      <c r="J46" s="12"/>
      <c r="K46" s="12"/>
      <c r="L46" s="12"/>
    </row>
    <row r="47" spans="1:12" ht="14">
      <c r="A47" s="12"/>
      <c r="B47" s="553" t="s">
        <v>974</v>
      </c>
      <c r="C47" s="788"/>
      <c r="D47" s="788"/>
      <c r="E47" s="788">
        <v>150000</v>
      </c>
      <c r="F47" s="46"/>
      <c r="G47" s="12"/>
      <c r="H47" s="12"/>
      <c r="I47" s="12"/>
      <c r="J47" s="12"/>
      <c r="K47" s="12"/>
      <c r="L47" s="12"/>
    </row>
    <row r="48" spans="1:12" ht="14">
      <c r="A48" s="12"/>
      <c r="B48" s="553"/>
      <c r="C48" s="788"/>
      <c r="D48" s="788"/>
      <c r="E48" s="788">
        <v>0</v>
      </c>
      <c r="F48" s="46"/>
      <c r="G48" s="12"/>
      <c r="H48" s="12"/>
      <c r="I48" s="12"/>
      <c r="J48" s="12"/>
      <c r="K48" s="12"/>
      <c r="L48" s="12"/>
    </row>
    <row r="49" spans="1:12" ht="14">
      <c r="A49" s="12"/>
      <c r="B49" s="789"/>
      <c r="C49" s="790"/>
      <c r="D49" s="790"/>
      <c r="E49" s="790">
        <v>0</v>
      </c>
      <c r="F49" s="46"/>
      <c r="G49" s="12"/>
      <c r="H49" s="12"/>
      <c r="I49" s="12"/>
      <c r="J49" s="12"/>
      <c r="K49" s="12"/>
      <c r="L49" s="12"/>
    </row>
    <row r="50" spans="1:12" ht="14">
      <c r="A50" s="12"/>
      <c r="B50" s="48" t="s">
        <v>436</v>
      </c>
      <c r="C50" s="49"/>
      <c r="D50" s="49"/>
      <c r="E50" s="47">
        <f>SUM(E46:E49)</f>
        <v>170000</v>
      </c>
      <c r="F50" s="40"/>
      <c r="G50" s="12"/>
      <c r="H50" s="12"/>
      <c r="I50" s="12"/>
      <c r="J50" s="12"/>
      <c r="K50" s="12"/>
      <c r="L50" s="12"/>
    </row>
    <row r="51" spans="1:12" ht="14">
      <c r="A51" s="12"/>
      <c r="B51" s="16"/>
      <c r="C51" s="45"/>
      <c r="D51" s="45"/>
      <c r="E51" s="45"/>
      <c r="F51" s="45"/>
      <c r="G51" s="12"/>
      <c r="H51" s="12"/>
      <c r="I51" s="12"/>
      <c r="J51" s="12"/>
      <c r="K51" s="12"/>
      <c r="L51" s="12"/>
    </row>
    <row r="52" spans="1:12" ht="15" thickBot="1">
      <c r="A52" s="12"/>
      <c r="B52" s="72" t="s">
        <v>448</v>
      </c>
      <c r="C52" s="50"/>
      <c r="D52" s="50"/>
      <c r="E52" s="51">
        <f>+E50-E43</f>
        <v>72833</v>
      </c>
      <c r="F52" s="50"/>
      <c r="G52" s="12"/>
      <c r="H52" s="12"/>
      <c r="I52" s="12"/>
      <c r="J52" s="12"/>
      <c r="K52" s="12"/>
      <c r="L52" s="12"/>
    </row>
    <row r="53" spans="1:12" ht="15" thickTop="1">
      <c r="A53" s="12"/>
      <c r="B53" s="16"/>
      <c r="C53" s="45"/>
      <c r="D53" s="45"/>
      <c r="E53" s="45"/>
      <c r="F53" s="45"/>
      <c r="G53" s="12"/>
      <c r="H53" s="12"/>
      <c r="I53" s="12"/>
      <c r="J53" s="12"/>
      <c r="K53" s="12"/>
      <c r="L53" s="12"/>
    </row>
    <row r="54" spans="1:12" ht="14">
      <c r="A54" s="12"/>
      <c r="B54" s="791" t="s">
        <v>747</v>
      </c>
      <c r="C54" s="12"/>
      <c r="D54" s="12"/>
      <c r="E54" s="12"/>
      <c r="F54" s="12"/>
      <c r="G54" s="12"/>
      <c r="H54" s="12"/>
      <c r="I54" s="12"/>
      <c r="J54" s="12"/>
      <c r="K54" s="12"/>
      <c r="L54" s="12"/>
    </row>
    <row r="55" spans="1:12" ht="14">
      <c r="A55" s="12"/>
      <c r="B55" s="16"/>
      <c r="C55" s="12"/>
      <c r="D55" s="12"/>
      <c r="E55" s="12"/>
      <c r="F55" s="12"/>
      <c r="G55" s="12"/>
      <c r="H55" s="12"/>
      <c r="I55" s="12"/>
      <c r="J55" s="12"/>
      <c r="K55" s="12"/>
      <c r="L55" s="12"/>
    </row>
    <row r="56" spans="1:12" ht="14">
      <c r="A56" s="12"/>
      <c r="B56" s="16"/>
      <c r="C56" s="12"/>
      <c r="D56" s="12"/>
      <c r="E56" s="12"/>
      <c r="F56" s="12"/>
      <c r="G56" s="12"/>
      <c r="H56" s="12"/>
      <c r="I56" s="12"/>
      <c r="J56" s="12"/>
      <c r="K56" s="12"/>
      <c r="L56" s="12"/>
    </row>
    <row r="57" spans="1:12" ht="14">
      <c r="A57" s="12"/>
      <c r="B57" s="16"/>
      <c r="C57" s="12"/>
      <c r="D57" s="12"/>
      <c r="E57" s="12"/>
      <c r="F57" s="12"/>
      <c r="G57" s="12"/>
      <c r="H57" s="12"/>
      <c r="I57" s="12"/>
      <c r="J57" s="12"/>
      <c r="K57" s="12"/>
      <c r="L57" s="12"/>
    </row>
    <row r="58" spans="1:12" ht="14">
      <c r="A58" s="12"/>
      <c r="B58" s="16"/>
      <c r="C58" s="12"/>
      <c r="D58" s="12"/>
      <c r="E58" s="12"/>
      <c r="F58" s="12"/>
      <c r="G58" s="12"/>
      <c r="H58" s="12"/>
      <c r="I58" s="12"/>
      <c r="J58" s="12"/>
      <c r="K58" s="12"/>
      <c r="L58" s="12"/>
    </row>
    <row r="59" spans="1:12">
      <c r="A59" s="12"/>
      <c r="B59" s="12"/>
      <c r="C59" s="12"/>
      <c r="D59" s="12"/>
      <c r="E59" s="12"/>
      <c r="F59" s="12"/>
      <c r="G59" s="12"/>
      <c r="H59" s="12"/>
      <c r="I59" s="12"/>
      <c r="J59" s="12"/>
      <c r="K59" s="12"/>
      <c r="L59" s="12"/>
    </row>
    <row r="60" spans="1:12">
      <c r="A60" s="12"/>
      <c r="B60" s="12"/>
      <c r="C60" s="12"/>
      <c r="D60" s="12"/>
      <c r="E60" s="12"/>
      <c r="F60" s="12"/>
      <c r="G60" s="12"/>
      <c r="H60" s="12"/>
      <c r="I60" s="12"/>
      <c r="J60" s="12"/>
      <c r="K60" s="12"/>
      <c r="L60" s="12"/>
    </row>
    <row r="61" spans="1:12">
      <c r="A61" s="12"/>
      <c r="B61" s="12"/>
      <c r="C61" s="12"/>
      <c r="D61" s="12"/>
      <c r="E61" s="12"/>
      <c r="F61" s="12"/>
      <c r="G61" s="12"/>
      <c r="H61" s="12"/>
      <c r="I61" s="12"/>
      <c r="J61" s="12"/>
      <c r="K61" s="12"/>
      <c r="L61" s="12"/>
    </row>
    <row r="62" spans="1:12">
      <c r="A62" s="12"/>
      <c r="B62" s="12"/>
      <c r="C62" s="12"/>
      <c r="D62" s="12"/>
      <c r="E62" s="12"/>
      <c r="F62" s="12"/>
      <c r="G62" s="12"/>
      <c r="H62" s="12"/>
      <c r="I62" s="12"/>
      <c r="J62" s="12"/>
      <c r="K62" s="12"/>
      <c r="L62" s="12"/>
    </row>
    <row r="63" spans="1:12">
      <c r="A63" s="12"/>
      <c r="B63" s="12"/>
      <c r="C63" s="12"/>
      <c r="D63" s="12"/>
      <c r="E63" s="12"/>
      <c r="F63" s="12"/>
      <c r="G63" s="12"/>
      <c r="H63" s="12"/>
      <c r="I63" s="12"/>
      <c r="J63" s="12"/>
      <c r="K63" s="12"/>
      <c r="L63" s="12"/>
    </row>
    <row r="64" spans="1:12">
      <c r="A64" s="12"/>
      <c r="B64" s="12"/>
      <c r="C64" s="12"/>
      <c r="D64" s="12"/>
      <c r="E64" s="12"/>
      <c r="F64" s="12"/>
      <c r="G64" s="12"/>
      <c r="H64" s="12"/>
      <c r="I64" s="12"/>
      <c r="J64" s="12"/>
      <c r="K64" s="12"/>
      <c r="L64" s="12"/>
    </row>
    <row r="65" spans="1:12">
      <c r="A65" s="12"/>
      <c r="B65" s="12"/>
      <c r="C65" s="12"/>
      <c r="D65" s="12"/>
      <c r="E65" s="12"/>
      <c r="F65" s="12"/>
      <c r="G65" s="12"/>
      <c r="H65" s="12"/>
      <c r="I65" s="12"/>
      <c r="J65" s="12"/>
      <c r="K65" s="12"/>
      <c r="L65" s="12"/>
    </row>
    <row r="66" spans="1:12">
      <c r="A66" s="12"/>
      <c r="B66" s="12"/>
      <c r="C66" s="12"/>
      <c r="D66" s="12"/>
      <c r="E66" s="12"/>
      <c r="F66" s="12"/>
      <c r="G66" s="12"/>
      <c r="H66" s="12"/>
      <c r="I66" s="12"/>
      <c r="J66" s="12"/>
      <c r="K66" s="12"/>
      <c r="L66" s="12"/>
    </row>
    <row r="67" spans="1:12">
      <c r="A67" s="12"/>
      <c r="B67" s="12"/>
      <c r="C67" s="12"/>
      <c r="D67" s="12"/>
      <c r="E67" s="12"/>
      <c r="F67" s="12"/>
      <c r="G67" s="12"/>
      <c r="H67" s="12"/>
      <c r="I67" s="12"/>
      <c r="J67" s="12"/>
      <c r="K67" s="12"/>
      <c r="L67" s="12"/>
    </row>
    <row r="68" spans="1:12">
      <c r="A68" s="12"/>
      <c r="B68" s="12"/>
      <c r="C68" s="12"/>
      <c r="D68" s="12"/>
      <c r="E68" s="12"/>
      <c r="F68" s="12"/>
      <c r="G68" s="12"/>
      <c r="H68" s="12"/>
      <c r="I68" s="12"/>
      <c r="J68" s="12"/>
      <c r="K68" s="12"/>
      <c r="L68" s="12"/>
    </row>
    <row r="69" spans="1:12">
      <c r="A69" s="12"/>
      <c r="B69" s="12"/>
      <c r="C69" s="12"/>
      <c r="D69" s="12"/>
      <c r="E69" s="12"/>
      <c r="F69" s="12"/>
      <c r="G69" s="12"/>
      <c r="H69" s="12"/>
      <c r="I69" s="12"/>
      <c r="J69" s="12"/>
      <c r="K69" s="12"/>
      <c r="L69" s="12"/>
    </row>
    <row r="70" spans="1:12">
      <c r="A70" s="12"/>
      <c r="B70" s="12"/>
      <c r="C70" s="12"/>
      <c r="D70" s="12"/>
      <c r="E70" s="12"/>
      <c r="F70" s="12"/>
      <c r="G70" s="12"/>
      <c r="H70" s="12"/>
      <c r="I70" s="12"/>
      <c r="J70" s="12"/>
      <c r="K70" s="12"/>
      <c r="L70" s="12"/>
    </row>
    <row r="71" spans="1:12">
      <c r="A71" s="12"/>
      <c r="B71" s="12"/>
      <c r="C71" s="12"/>
      <c r="D71" s="12"/>
      <c r="E71" s="12"/>
      <c r="F71" s="12"/>
      <c r="G71" s="12"/>
      <c r="H71" s="12"/>
      <c r="I71" s="12"/>
      <c r="J71" s="12"/>
      <c r="K71" s="12"/>
      <c r="L71" s="12"/>
    </row>
    <row r="72" spans="1:12">
      <c r="A72" s="12"/>
      <c r="B72" s="12"/>
      <c r="C72" s="12"/>
      <c r="D72" s="12"/>
      <c r="E72" s="12"/>
      <c r="F72" s="12"/>
      <c r="G72" s="12"/>
      <c r="H72" s="12"/>
      <c r="I72" s="12"/>
      <c r="J72" s="12"/>
      <c r="K72" s="12"/>
      <c r="L72" s="12"/>
    </row>
    <row r="73" spans="1:12">
      <c r="A73" s="12"/>
      <c r="B73" s="12"/>
      <c r="C73" s="12"/>
      <c r="D73" s="12"/>
      <c r="E73" s="12"/>
      <c r="F73" s="12"/>
      <c r="G73" s="12"/>
      <c r="H73" s="12"/>
      <c r="I73" s="12"/>
      <c r="J73" s="12"/>
      <c r="K73" s="12"/>
      <c r="L73" s="12"/>
    </row>
    <row r="74" spans="1:12">
      <c r="A74" s="12"/>
      <c r="B74" s="12"/>
      <c r="C74" s="12"/>
      <c r="D74" s="12"/>
      <c r="E74" s="12"/>
      <c r="F74" s="12"/>
      <c r="G74" s="12"/>
      <c r="H74" s="12"/>
      <c r="I74" s="12"/>
      <c r="J74" s="12"/>
      <c r="K74" s="12"/>
      <c r="L74" s="12"/>
    </row>
    <row r="75" spans="1:12">
      <c r="A75" s="12"/>
      <c r="B75" s="12"/>
      <c r="C75" s="12"/>
      <c r="D75" s="12"/>
      <c r="E75" s="12"/>
      <c r="F75" s="12"/>
      <c r="G75" s="12"/>
      <c r="H75" s="12"/>
      <c r="I75" s="12"/>
      <c r="J75" s="12"/>
      <c r="K75" s="12"/>
      <c r="L75" s="12"/>
    </row>
    <row r="76" spans="1:12">
      <c r="A76" s="12"/>
      <c r="B76" s="12"/>
      <c r="C76" s="12"/>
      <c r="D76" s="12"/>
      <c r="E76" s="12"/>
      <c r="F76" s="12"/>
      <c r="G76" s="12"/>
      <c r="H76" s="12"/>
      <c r="I76" s="12"/>
      <c r="J76" s="12"/>
      <c r="K76" s="12"/>
      <c r="L76" s="12"/>
    </row>
    <row r="77" spans="1:12">
      <c r="A77" s="12"/>
      <c r="B77" s="12"/>
      <c r="C77" s="12"/>
      <c r="D77" s="12"/>
      <c r="E77" s="12"/>
      <c r="F77" s="12"/>
      <c r="G77" s="12"/>
      <c r="H77" s="12"/>
      <c r="I77" s="12"/>
      <c r="J77" s="12"/>
      <c r="K77" s="12"/>
      <c r="L77" s="12"/>
    </row>
    <row r="78" spans="1:12">
      <c r="A78" s="12"/>
      <c r="B78" s="12"/>
      <c r="C78" s="12"/>
      <c r="D78" s="12"/>
      <c r="E78" s="12"/>
      <c r="F78" s="12"/>
      <c r="G78" s="12"/>
      <c r="H78" s="12"/>
      <c r="I78" s="12"/>
      <c r="J78" s="12"/>
      <c r="K78" s="12"/>
      <c r="L78" s="12"/>
    </row>
    <row r="79" spans="1:12">
      <c r="A79" s="12"/>
      <c r="B79" s="12"/>
      <c r="C79" s="12"/>
      <c r="D79" s="12"/>
      <c r="E79" s="12"/>
      <c r="F79" s="12"/>
      <c r="G79" s="12"/>
      <c r="H79" s="12"/>
      <c r="I79" s="12"/>
      <c r="J79" s="12"/>
      <c r="K79" s="12"/>
      <c r="L79" s="12"/>
    </row>
    <row r="80" spans="1:12">
      <c r="A80" s="12"/>
      <c r="B80" s="12"/>
      <c r="C80" s="12"/>
      <c r="D80" s="12"/>
      <c r="E80" s="12"/>
      <c r="F80" s="12"/>
      <c r="G80" s="12"/>
      <c r="H80" s="12"/>
      <c r="I80" s="12"/>
      <c r="J80" s="12"/>
      <c r="K80" s="12"/>
      <c r="L80" s="12"/>
    </row>
    <row r="81" spans="1:12">
      <c r="A81" s="12"/>
      <c r="B81" s="12"/>
      <c r="C81" s="12"/>
      <c r="D81" s="12"/>
      <c r="E81" s="12"/>
      <c r="F81" s="12"/>
      <c r="G81" s="12"/>
      <c r="H81" s="12"/>
      <c r="I81" s="12"/>
      <c r="J81" s="12"/>
      <c r="K81" s="12"/>
      <c r="L81" s="12"/>
    </row>
    <row r="82" spans="1:12">
      <c r="A82" s="12"/>
      <c r="B82" s="12"/>
      <c r="C82" s="12"/>
      <c r="D82" s="12"/>
      <c r="E82" s="12"/>
      <c r="F82" s="12"/>
      <c r="G82" s="12"/>
      <c r="H82" s="12"/>
      <c r="I82" s="12"/>
      <c r="J82" s="12"/>
      <c r="K82" s="12"/>
      <c r="L82" s="12"/>
    </row>
    <row r="83" spans="1:12">
      <c r="A83" s="12"/>
      <c r="B83" s="12"/>
      <c r="C83" s="12"/>
      <c r="D83" s="12"/>
      <c r="E83" s="12"/>
      <c r="F83" s="12"/>
      <c r="G83" s="12"/>
      <c r="H83" s="12"/>
      <c r="I83" s="12"/>
      <c r="J83" s="12"/>
      <c r="K83" s="12"/>
      <c r="L83" s="12"/>
    </row>
    <row r="84" spans="1:12">
      <c r="A84" s="12"/>
      <c r="B84" s="12"/>
      <c r="C84" s="12"/>
      <c r="D84" s="12"/>
      <c r="E84" s="12"/>
      <c r="F84" s="12"/>
      <c r="G84" s="12"/>
      <c r="H84" s="12"/>
      <c r="I84" s="12"/>
      <c r="J84" s="12"/>
      <c r="K84" s="12"/>
      <c r="L84" s="12"/>
    </row>
    <row r="85" spans="1:12">
      <c r="A85" s="12"/>
      <c r="B85" s="12"/>
      <c r="C85" s="12"/>
      <c r="D85" s="12"/>
      <c r="E85" s="12"/>
      <c r="F85" s="12"/>
      <c r="G85" s="12"/>
      <c r="H85" s="12"/>
      <c r="I85" s="12"/>
      <c r="J85" s="12"/>
      <c r="K85" s="12"/>
      <c r="L85" s="12"/>
    </row>
    <row r="86" spans="1:12">
      <c r="A86" s="12"/>
      <c r="B86" s="12"/>
      <c r="C86" s="12"/>
      <c r="D86" s="12"/>
      <c r="E86" s="12"/>
      <c r="F86" s="12"/>
      <c r="G86" s="12"/>
      <c r="H86" s="12"/>
      <c r="I86" s="12"/>
      <c r="J86" s="12"/>
      <c r="K86" s="12"/>
      <c r="L86" s="12"/>
    </row>
    <row r="87" spans="1:12">
      <c r="A87" s="12"/>
      <c r="B87" s="12"/>
      <c r="C87" s="12"/>
      <c r="D87" s="12"/>
      <c r="E87" s="12"/>
      <c r="F87" s="12"/>
      <c r="G87" s="12"/>
      <c r="H87" s="12"/>
      <c r="I87" s="12"/>
      <c r="J87" s="12"/>
      <c r="K87" s="12"/>
      <c r="L87" s="12"/>
    </row>
    <row r="88" spans="1:12">
      <c r="A88" s="12"/>
      <c r="B88" s="12"/>
      <c r="C88" s="12"/>
      <c r="D88" s="12"/>
      <c r="E88" s="12"/>
      <c r="F88" s="12"/>
      <c r="G88" s="12"/>
      <c r="H88" s="12"/>
      <c r="I88" s="12"/>
      <c r="J88" s="12"/>
      <c r="K88" s="12"/>
      <c r="L88" s="12"/>
    </row>
    <row r="89" spans="1:12">
      <c r="A89" s="12"/>
      <c r="B89" s="12"/>
      <c r="C89" s="12"/>
      <c r="D89" s="12"/>
      <c r="E89" s="12"/>
      <c r="F89" s="12"/>
      <c r="G89" s="12"/>
      <c r="H89" s="12"/>
      <c r="I89" s="12"/>
      <c r="J89" s="12"/>
      <c r="K89" s="12"/>
      <c r="L89" s="12"/>
    </row>
    <row r="90" spans="1:12">
      <c r="A90" s="12"/>
      <c r="B90" s="12"/>
      <c r="C90" s="12"/>
      <c r="D90" s="12"/>
      <c r="E90" s="12"/>
      <c r="F90" s="12"/>
      <c r="G90" s="12"/>
      <c r="H90" s="12"/>
      <c r="I90" s="12"/>
      <c r="J90" s="12"/>
      <c r="K90" s="12"/>
      <c r="L90" s="12"/>
    </row>
    <row r="91" spans="1:12">
      <c r="A91" s="12"/>
      <c r="B91" s="12"/>
      <c r="C91" s="12"/>
      <c r="D91" s="12"/>
      <c r="E91" s="12"/>
      <c r="F91" s="12"/>
      <c r="G91" s="12"/>
      <c r="H91" s="12"/>
      <c r="I91" s="12"/>
      <c r="J91" s="12"/>
      <c r="K91" s="12"/>
      <c r="L91" s="12"/>
    </row>
    <row r="92" spans="1:12">
      <c r="A92" s="12"/>
      <c r="B92" s="12"/>
      <c r="C92" s="12"/>
      <c r="D92" s="12"/>
      <c r="E92" s="12"/>
      <c r="F92" s="12"/>
      <c r="G92" s="12"/>
      <c r="H92" s="12"/>
      <c r="I92" s="12"/>
      <c r="J92" s="12"/>
      <c r="K92" s="12"/>
      <c r="L92" s="12"/>
    </row>
    <row r="93" spans="1:12">
      <c r="A93" s="12"/>
      <c r="B93" s="12"/>
      <c r="C93" s="12"/>
      <c r="D93" s="12"/>
      <c r="E93" s="12"/>
      <c r="F93" s="12"/>
      <c r="G93" s="12"/>
      <c r="H93" s="12"/>
      <c r="I93" s="12"/>
      <c r="J93" s="12"/>
      <c r="K93" s="12"/>
      <c r="L93" s="12"/>
    </row>
    <row r="94" spans="1:12">
      <c r="A94" s="12"/>
      <c r="B94" s="12"/>
      <c r="C94" s="12"/>
      <c r="D94" s="12"/>
      <c r="E94" s="12"/>
      <c r="F94" s="12"/>
      <c r="G94" s="12"/>
      <c r="H94" s="12"/>
      <c r="I94" s="12"/>
      <c r="J94" s="12"/>
      <c r="K94" s="12"/>
      <c r="L94" s="12"/>
    </row>
  </sheetData>
  <mergeCells count="1">
    <mergeCell ref="B9:E9"/>
  </mergeCells>
  <dataValidations count="1">
    <dataValidation allowBlank="1" showInputMessage="1" showErrorMessage="1" prompt="You may change any of the job titles." sqref="B19:B25 B11:B14 B27:B41" xr:uid="{CA297FA6-D014-4B8C-86C0-9D870A4C04CF}"/>
  </dataValidations>
  <pageMargins left="0.25" right="0.25" top="0.5" bottom="0.45" header="0.25" footer="0.25"/>
  <pageSetup scale="74" orientation="landscape" r:id="rId1"/>
  <headerFooter alignWithMargins="0">
    <oddHeader xml:space="preserve">&amp;L &amp;C &amp;R </oddHeader>
    <oddFooter>&amp;L&amp;7&amp;D  at &amp;T Mike 702.486.8879&amp;C&amp;7&amp;F  &amp;A&amp;R&amp;7Page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00"/>
  </sheetPr>
  <dimension ref="A1:Q61"/>
  <sheetViews>
    <sheetView showGridLines="0" view="pageBreakPreview" topLeftCell="A17" zoomScaleNormal="100" zoomScaleSheetLayoutView="100" workbookViewId="0">
      <selection activeCell="C24" sqref="C24"/>
    </sheetView>
  </sheetViews>
  <sheetFormatPr baseColWidth="10" defaultColWidth="8.83203125" defaultRowHeight="14"/>
  <cols>
    <col min="1" max="1" width="6.6640625" style="217" bestFit="1" customWidth="1"/>
    <col min="2" max="2" width="47.83203125" style="217" customWidth="1"/>
    <col min="3" max="3" width="10.33203125" style="217" customWidth="1"/>
    <col min="4" max="4" width="14.6640625" style="221" customWidth="1"/>
    <col min="5" max="5" width="12.6640625" style="221" customWidth="1"/>
    <col min="6" max="6" width="13.33203125" style="221" customWidth="1"/>
    <col min="7" max="7" width="14.83203125" style="217" customWidth="1"/>
    <col min="8" max="8" width="12.6640625" style="217" customWidth="1"/>
    <col min="9" max="9" width="14" style="217" customWidth="1"/>
    <col min="10" max="10" width="15.33203125" style="217" customWidth="1"/>
    <col min="11" max="11" width="16.33203125" style="217" customWidth="1"/>
    <col min="12" max="12" width="3.1640625" style="217" customWidth="1"/>
    <col min="13" max="13" width="8" style="217" customWidth="1"/>
    <col min="14" max="16384" width="8.83203125" style="217"/>
  </cols>
  <sheetData>
    <row r="1" spans="1:13" ht="18">
      <c r="A1" s="1011" t="s">
        <v>748</v>
      </c>
      <c r="B1" s="149"/>
      <c r="C1" s="141"/>
      <c r="D1" s="774" t="s">
        <v>845</v>
      </c>
      <c r="E1" s="150"/>
      <c r="F1" s="150"/>
      <c r="G1" s="168"/>
      <c r="H1" s="168"/>
      <c r="I1" s="170"/>
      <c r="J1" s="170"/>
      <c r="K1" s="170"/>
      <c r="L1" s="282"/>
      <c r="M1" s="282"/>
    </row>
    <row r="2" spans="1:13" ht="16">
      <c r="A2" s="459" t="str">
        <f>SchoolName</f>
        <v>TEACH Las Vegas</v>
      </c>
      <c r="B2" s="153"/>
      <c r="C2" s="141"/>
      <c r="D2" s="774" t="s">
        <v>846</v>
      </c>
      <c r="E2" s="150"/>
      <c r="F2" s="150"/>
      <c r="G2" s="168"/>
      <c r="H2" s="168"/>
      <c r="I2" s="1012"/>
      <c r="J2" s="1012"/>
      <c r="K2" s="594"/>
      <c r="L2" s="595"/>
      <c r="M2" s="595"/>
    </row>
    <row r="3" spans="1:13">
      <c r="A3" s="154" t="s">
        <v>412</v>
      </c>
      <c r="B3" s="141"/>
      <c r="C3" s="141"/>
      <c r="D3" s="1013" t="s">
        <v>847</v>
      </c>
      <c r="E3" s="150"/>
      <c r="F3" s="150"/>
      <c r="G3" s="168"/>
      <c r="H3" s="168"/>
      <c r="I3" s="1014"/>
      <c r="J3" s="1014"/>
      <c r="K3" s="594"/>
      <c r="L3" s="595"/>
      <c r="M3" s="595"/>
    </row>
    <row r="4" spans="1:13">
      <c r="A4" s="155" t="s">
        <v>444</v>
      </c>
      <c r="B4" s="141"/>
      <c r="C4" s="141"/>
      <c r="D4" s="774" t="s">
        <v>848</v>
      </c>
      <c r="E4" s="150"/>
      <c r="F4" s="150"/>
      <c r="G4" s="168"/>
      <c r="H4" s="168"/>
      <c r="I4" s="170"/>
      <c r="J4" s="170"/>
      <c r="K4" s="170"/>
      <c r="L4" s="282"/>
      <c r="M4" s="282"/>
    </row>
    <row r="5" spans="1:13">
      <c r="A5" s="129" t="str">
        <f ca="1">CELL("filename")</f>
        <v>/Users/matthewbrown/Desktop/[2021MB-New-CS-Application-Financial-Plan-TEACH REV 21.1.04MB 2021 02 01.xlsx]Enrol Staff &amp; Exp</v>
      </c>
      <c r="B5" s="141"/>
      <c r="C5" s="141"/>
      <c r="D5" s="150"/>
      <c r="E5" s="150"/>
      <c r="F5" s="150"/>
      <c r="G5" s="168"/>
      <c r="H5" s="168"/>
      <c r="I5" s="1012"/>
      <c r="J5" s="1012"/>
      <c r="K5" s="594"/>
      <c r="L5" s="595"/>
      <c r="M5" s="595"/>
    </row>
    <row r="6" spans="1:13">
      <c r="A6" s="1015"/>
      <c r="B6" s="130" t="s">
        <v>680</v>
      </c>
      <c r="C6" s="130"/>
      <c r="D6" s="150"/>
      <c r="E6" s="150"/>
      <c r="F6" s="150"/>
      <c r="G6" s="168"/>
      <c r="H6" s="168"/>
      <c r="I6" s="168"/>
      <c r="J6" s="168"/>
      <c r="K6" s="168"/>
      <c r="L6" s="282"/>
      <c r="M6" s="282"/>
    </row>
    <row r="7" spans="1:13">
      <c r="A7" s="1015"/>
      <c r="B7" s="130" t="s">
        <v>681</v>
      </c>
      <c r="C7" s="1016"/>
      <c r="D7" s="141"/>
      <c r="E7" s="1016" t="s">
        <v>400</v>
      </c>
      <c r="F7" s="1017">
        <f>'Enrol Staff &amp; Exp'!H6</f>
        <v>2021</v>
      </c>
      <c r="G7" s="141"/>
      <c r="H7" s="141"/>
      <c r="I7" s="141"/>
      <c r="J7" s="141"/>
      <c r="K7" s="141"/>
    </row>
    <row r="8" spans="1:13">
      <c r="A8" s="1015"/>
      <c r="B8" s="130"/>
      <c r="C8" s="1018"/>
      <c r="D8" s="141"/>
      <c r="E8" s="1018" t="s">
        <v>399</v>
      </c>
      <c r="F8" s="135">
        <f>+F7+1</f>
        <v>2022</v>
      </c>
      <c r="G8" s="141"/>
      <c r="H8" s="141"/>
      <c r="I8" s="141"/>
      <c r="J8" s="141"/>
      <c r="K8" s="141"/>
    </row>
    <row r="9" spans="1:13">
      <c r="A9" s="1019"/>
      <c r="B9" s="130"/>
      <c r="C9" s="150"/>
      <c r="D9" s="1020"/>
      <c r="E9" s="1021"/>
      <c r="F9" s="181" t="s">
        <v>424</v>
      </c>
      <c r="G9" s="1022"/>
      <c r="H9" s="1022"/>
      <c r="I9" s="1022"/>
      <c r="J9" s="1022"/>
      <c r="K9" s="1023"/>
    </row>
    <row r="10" spans="1:13">
      <c r="A10" s="1019">
        <f>ROW()</f>
        <v>10</v>
      </c>
      <c r="B10" s="130"/>
      <c r="C10" s="150"/>
      <c r="D10" s="1024"/>
      <c r="E10" s="917" t="s">
        <v>425</v>
      </c>
      <c r="F10" s="917" t="s">
        <v>401</v>
      </c>
      <c r="G10" s="917" t="s">
        <v>402</v>
      </c>
      <c r="H10" s="917" t="s">
        <v>403</v>
      </c>
      <c r="I10" s="917" t="s">
        <v>404</v>
      </c>
      <c r="J10" s="917" t="s">
        <v>405</v>
      </c>
      <c r="K10" s="1025" t="s">
        <v>406</v>
      </c>
    </row>
    <row r="11" spans="1:13" ht="16">
      <c r="A11" s="1019">
        <f>ROW()</f>
        <v>11</v>
      </c>
      <c r="B11" s="130"/>
      <c r="C11" s="141"/>
      <c r="D11" s="1026"/>
      <c r="E11" s="1027">
        <f>+F11-1</f>
        <v>2020</v>
      </c>
      <c r="F11" s="1027">
        <f>+F7</f>
        <v>2021</v>
      </c>
      <c r="G11" s="1027">
        <f>+F12</f>
        <v>2022</v>
      </c>
      <c r="H11" s="1027">
        <f>+G12</f>
        <v>2023</v>
      </c>
      <c r="I11" s="1027">
        <f>+H12</f>
        <v>2024</v>
      </c>
      <c r="J11" s="1027">
        <f>+I12</f>
        <v>2025</v>
      </c>
      <c r="K11" s="1028">
        <f>+J12</f>
        <v>2026</v>
      </c>
    </row>
    <row r="12" spans="1:13" s="221" customFormat="1" ht="16">
      <c r="A12" s="1019">
        <f>ROW()</f>
        <v>12</v>
      </c>
      <c r="B12" s="130"/>
      <c r="C12" s="150"/>
      <c r="D12" s="1029" t="s">
        <v>431</v>
      </c>
      <c r="E12" s="1030">
        <f>+F12-1</f>
        <v>2021</v>
      </c>
      <c r="F12" s="1031">
        <f t="shared" ref="F12:K12" si="0">+F11+1</f>
        <v>2022</v>
      </c>
      <c r="G12" s="1031">
        <f t="shared" si="0"/>
        <v>2023</v>
      </c>
      <c r="H12" s="1031">
        <f t="shared" si="0"/>
        <v>2024</v>
      </c>
      <c r="I12" s="1031">
        <f t="shared" si="0"/>
        <v>2025</v>
      </c>
      <c r="J12" s="1031">
        <f t="shared" si="0"/>
        <v>2026</v>
      </c>
      <c r="K12" s="1032">
        <f t="shared" si="0"/>
        <v>2027</v>
      </c>
    </row>
    <row r="13" spans="1:13" s="221" customFormat="1" ht="16">
      <c r="A13" s="1019">
        <f>ROW()</f>
        <v>13</v>
      </c>
      <c r="B13" s="130" t="s">
        <v>304</v>
      </c>
      <c r="C13" s="283"/>
      <c r="D13" s="1026"/>
      <c r="E13" s="1027"/>
      <c r="F13" s="1033">
        <f>Market!E28</f>
        <v>325</v>
      </c>
      <c r="G13" s="1033">
        <f>Market!F28</f>
        <v>425</v>
      </c>
      <c r="H13" s="1033">
        <f>Market!G28</f>
        <v>550</v>
      </c>
      <c r="I13" s="1033">
        <f>Market!H28</f>
        <v>675</v>
      </c>
      <c r="J13" s="1033">
        <f>Market!I28</f>
        <v>800</v>
      </c>
      <c r="K13" s="1034">
        <f>Market!J28</f>
        <v>975</v>
      </c>
    </row>
    <row r="14" spans="1:13" s="221" customFormat="1" ht="16">
      <c r="A14" s="1019">
        <f>ROW()</f>
        <v>14</v>
      </c>
      <c r="B14" s="130" t="s">
        <v>588</v>
      </c>
      <c r="C14" s="283"/>
      <c r="D14" s="1035">
        <f>SUM(E14:K14)</f>
        <v>34278728.949903458</v>
      </c>
      <c r="E14" s="1027"/>
      <c r="F14" s="1036">
        <f>+'Enrol Staff &amp; Exp'!H75</f>
        <v>2744856.7533998839</v>
      </c>
      <c r="G14" s="1036">
        <f>+'Enrol Staff &amp; Exp'!I75</f>
        <v>3680621.3290024591</v>
      </c>
      <c r="H14" s="1036">
        <f>+'Enrol Staff &amp; Exp'!J75</f>
        <v>4884712.274423277</v>
      </c>
      <c r="I14" s="1036">
        <f>+'Enrol Staff &amp; Exp'!K75</f>
        <v>6148531.0546232434</v>
      </c>
      <c r="J14" s="1036">
        <f>+'Enrol Staff &amp; Exp'!L75</f>
        <v>7474723.1540882252</v>
      </c>
      <c r="K14" s="1037">
        <f>+'Enrol Staff &amp; Exp'!M75</f>
        <v>9345284.3843663745</v>
      </c>
    </row>
    <row r="15" spans="1:13" s="221" customFormat="1" ht="16">
      <c r="A15" s="1019">
        <f>ROW()</f>
        <v>15</v>
      </c>
      <c r="B15" s="130" t="s">
        <v>679</v>
      </c>
      <c r="C15" s="283"/>
      <c r="D15" s="1035">
        <f>SUM(E15:K15)</f>
        <v>21534512.472918231</v>
      </c>
      <c r="E15" s="1038">
        <f>SUM(Summary!E67:E74,Summary!E62)</f>
        <v>97167</v>
      </c>
      <c r="F15" s="1036">
        <f>SUM(Summary!F67:F74,Summary!F62)</f>
        <v>1509934</v>
      </c>
      <c r="G15" s="1036">
        <f>SUM(Summary!G67:G74,Summary!G62)</f>
        <v>2240930.7675000001</v>
      </c>
      <c r="H15" s="1036">
        <f>SUM(Summary!H67:H74,Summary!H62)</f>
        <v>3143561.0500499997</v>
      </c>
      <c r="I15" s="1036">
        <f>SUM(Summary!I67:I74,Summary!I62)</f>
        <v>3941203.9987240001</v>
      </c>
      <c r="J15" s="1036">
        <f>SUM(Summary!J67:J74,Summary!J62)</f>
        <v>4767969.7862267299</v>
      </c>
      <c r="K15" s="1037">
        <f>SUM(Summary!K67:K74,Summary!K62)</f>
        <v>5833745.8704175027</v>
      </c>
    </row>
    <row r="16" spans="1:13" s="221" customFormat="1" ht="16">
      <c r="A16" s="1019">
        <f>ROW()</f>
        <v>16</v>
      </c>
      <c r="B16" s="170"/>
      <c r="C16" s="283"/>
      <c r="D16" s="1039"/>
      <c r="E16" s="1027"/>
      <c r="F16" s="1031"/>
      <c r="G16" s="1031"/>
      <c r="H16" s="1031"/>
      <c r="I16" s="1031"/>
      <c r="J16" s="1031"/>
      <c r="K16" s="1032"/>
    </row>
    <row r="17" spans="1:17" ht="16">
      <c r="A17" s="1019">
        <f>ROW()</f>
        <v>17</v>
      </c>
      <c r="B17" s="1041" t="s">
        <v>749</v>
      </c>
      <c r="C17" s="168" t="s">
        <v>304</v>
      </c>
      <c r="D17" s="1040"/>
      <c r="E17" s="1388"/>
      <c r="F17" s="1387">
        <f>'Enrol Staff &amp; Exp'!H15</f>
        <v>8</v>
      </c>
      <c r="G17" s="1385">
        <f>'Enrol Staff &amp; Exp'!I15</f>
        <v>9</v>
      </c>
      <c r="H17" s="1385">
        <f>'Enrol Staff &amp; Exp'!J15</f>
        <v>10</v>
      </c>
      <c r="I17" s="1385">
        <f>'Enrol Staff &amp; Exp'!K15</f>
        <v>11</v>
      </c>
      <c r="J17" s="1385">
        <f>'Enrol Staff &amp; Exp'!L15</f>
        <v>12</v>
      </c>
      <c r="K17" s="1386">
        <f>'Enrol Staff &amp; Exp'!M15</f>
        <v>13</v>
      </c>
      <c r="N17" s="10"/>
      <c r="O17" s="10"/>
      <c r="P17" s="10"/>
      <c r="Q17" s="10"/>
    </row>
    <row r="18" spans="1:17" ht="15">
      <c r="A18" s="1019">
        <f>ROW()</f>
        <v>18</v>
      </c>
      <c r="B18" s="1043" t="s">
        <v>871</v>
      </c>
      <c r="C18" s="1044"/>
      <c r="D18" s="1042"/>
      <c r="E18" s="1390"/>
      <c r="F18" s="1045"/>
      <c r="G18" s="1045"/>
      <c r="H18" s="1045"/>
      <c r="I18" s="1045"/>
      <c r="J18" s="1045"/>
      <c r="K18" s="1389"/>
      <c r="N18" s="10"/>
      <c r="O18" s="10"/>
      <c r="P18" s="10"/>
      <c r="Q18" s="10"/>
    </row>
    <row r="19" spans="1:17" ht="15">
      <c r="A19" s="1019">
        <f>ROW()</f>
        <v>19</v>
      </c>
      <c r="B19" s="1065" t="s">
        <v>579</v>
      </c>
      <c r="C19" s="1066">
        <v>0</v>
      </c>
      <c r="D19" s="1046">
        <f>SUM(E19:K19)</f>
        <v>0</v>
      </c>
      <c r="E19" s="645">
        <v>0</v>
      </c>
      <c r="F19" s="645">
        <v>0</v>
      </c>
      <c r="G19" s="645">
        <v>0</v>
      </c>
      <c r="H19" s="645">
        <v>0</v>
      </c>
      <c r="I19" s="645">
        <v>0</v>
      </c>
      <c r="J19" s="645">
        <v>0</v>
      </c>
      <c r="K19" s="645">
        <v>0</v>
      </c>
      <c r="N19" s="10"/>
      <c r="O19" s="10"/>
      <c r="P19" s="10"/>
      <c r="Q19" s="10"/>
    </row>
    <row r="20" spans="1:17" ht="15">
      <c r="A20" s="1019">
        <f>ROW()</f>
        <v>20</v>
      </c>
      <c r="B20" s="1067" t="s">
        <v>578</v>
      </c>
      <c r="C20" s="1068">
        <v>0</v>
      </c>
      <c r="D20" s="1046">
        <f>SUM(E20:K20)</f>
        <v>0</v>
      </c>
      <c r="E20" s="645">
        <v>0</v>
      </c>
      <c r="F20" s="645">
        <v>0</v>
      </c>
      <c r="G20" s="645">
        <v>0</v>
      </c>
      <c r="H20" s="645">
        <v>0</v>
      </c>
      <c r="I20" s="645">
        <v>0</v>
      </c>
      <c r="J20" s="645">
        <v>0</v>
      </c>
      <c r="K20" s="645">
        <v>0</v>
      </c>
      <c r="N20" s="10"/>
      <c r="O20" s="10"/>
      <c r="P20" s="10"/>
      <c r="Q20" s="10"/>
    </row>
    <row r="21" spans="1:17" ht="15">
      <c r="A21" s="1019">
        <f>ROW()</f>
        <v>21</v>
      </c>
      <c r="B21" s="1270" t="s">
        <v>918</v>
      </c>
      <c r="C21" s="1068"/>
      <c r="D21" s="1046"/>
      <c r="E21" s="645">
        <v>0</v>
      </c>
      <c r="F21" s="645">
        <v>0</v>
      </c>
      <c r="G21" s="645">
        <v>0</v>
      </c>
      <c r="H21" s="645">
        <v>0</v>
      </c>
      <c r="I21" s="645">
        <v>0</v>
      </c>
      <c r="J21" s="645">
        <v>0</v>
      </c>
      <c r="K21" s="645">
        <v>0</v>
      </c>
      <c r="N21" s="10"/>
      <c r="O21" s="10"/>
      <c r="P21" s="10"/>
      <c r="Q21" s="10"/>
    </row>
    <row r="22" spans="1:17" ht="15">
      <c r="A22" s="1019">
        <f>ROW()</f>
        <v>22</v>
      </c>
      <c r="B22" s="1067" t="s">
        <v>580</v>
      </c>
      <c r="C22" s="1069">
        <v>0.05</v>
      </c>
      <c r="D22" s="1046">
        <f>SUM(E22:K22)</f>
        <v>565509.51784128102</v>
      </c>
      <c r="E22" s="645">
        <v>0</v>
      </c>
      <c r="F22" s="645">
        <f>F14*$C$22</f>
        <v>137242.83766999419</v>
      </c>
      <c r="G22" s="645">
        <f t="shared" ref="G22:H22" si="1">G14*$C$22</f>
        <v>184031.06645012298</v>
      </c>
      <c r="H22" s="645">
        <f t="shared" si="1"/>
        <v>244235.61372116386</v>
      </c>
      <c r="I22" s="645">
        <v>0</v>
      </c>
      <c r="J22" s="645">
        <v>0</v>
      </c>
      <c r="K22" s="645">
        <v>0</v>
      </c>
      <c r="N22" s="10"/>
      <c r="O22" s="10"/>
      <c r="P22" s="10"/>
      <c r="Q22" s="10"/>
    </row>
    <row r="23" spans="1:17" ht="15">
      <c r="A23" s="1019">
        <f>ROW()</f>
        <v>23</v>
      </c>
      <c r="B23" s="1067" t="s">
        <v>581</v>
      </c>
      <c r="C23" s="1069">
        <v>0.1</v>
      </c>
      <c r="D23" s="1046">
        <f>SUM(E23:K23)</f>
        <v>2296853.8593077846</v>
      </c>
      <c r="E23" s="645">
        <v>0</v>
      </c>
      <c r="F23" s="645">
        <v>0</v>
      </c>
      <c r="G23" s="645">
        <v>0</v>
      </c>
      <c r="H23" s="645">
        <v>0</v>
      </c>
      <c r="I23" s="645">
        <f>I14*$C$23</f>
        <v>614853.10546232434</v>
      </c>
      <c r="J23" s="645">
        <f t="shared" ref="J23:K23" si="2">J14*$C$23</f>
        <v>747472.31540882261</v>
      </c>
      <c r="K23" s="645">
        <f t="shared" si="2"/>
        <v>934528.43843663752</v>
      </c>
      <c r="N23" s="10"/>
      <c r="O23" s="10"/>
      <c r="P23" s="10"/>
      <c r="Q23" s="10"/>
    </row>
    <row r="24" spans="1:17" ht="15">
      <c r="A24" s="1019">
        <f>ROW()</f>
        <v>24</v>
      </c>
      <c r="B24" s="1270" t="s">
        <v>918</v>
      </c>
      <c r="C24" s="1069"/>
      <c r="D24" s="1046"/>
      <c r="E24" s="645">
        <v>0</v>
      </c>
      <c r="F24" s="645">
        <v>0</v>
      </c>
      <c r="G24" s="645">
        <v>0</v>
      </c>
      <c r="H24" s="645">
        <v>0</v>
      </c>
      <c r="I24" s="645">
        <v>0</v>
      </c>
      <c r="J24" s="645">
        <v>0</v>
      </c>
      <c r="K24" s="645">
        <v>0</v>
      </c>
      <c r="N24" s="10"/>
      <c r="O24" s="10"/>
      <c r="P24" s="10"/>
      <c r="Q24" s="10"/>
    </row>
    <row r="25" spans="1:17" ht="15">
      <c r="A25" s="1019">
        <f>ROW()</f>
        <v>25</v>
      </c>
      <c r="B25" s="1067" t="s">
        <v>853</v>
      </c>
      <c r="C25" s="1069">
        <v>0</v>
      </c>
      <c r="D25" s="1046">
        <f>SUM(E25:K25)</f>
        <v>0</v>
      </c>
      <c r="E25" s="645">
        <v>0</v>
      </c>
      <c r="F25" s="645">
        <v>0</v>
      </c>
      <c r="G25" s="645">
        <v>0</v>
      </c>
      <c r="H25" s="645">
        <v>0</v>
      </c>
      <c r="I25" s="645">
        <v>0</v>
      </c>
      <c r="J25" s="645">
        <v>0</v>
      </c>
      <c r="K25" s="645">
        <v>0</v>
      </c>
      <c r="N25" s="10"/>
      <c r="O25" s="10"/>
      <c r="P25" s="10"/>
      <c r="Q25" s="10"/>
    </row>
    <row r="26" spans="1:17" ht="15">
      <c r="A26" s="1019">
        <f>ROW()</f>
        <v>26</v>
      </c>
      <c r="B26" s="1067" t="s">
        <v>587</v>
      </c>
      <c r="C26" s="1069">
        <v>0</v>
      </c>
      <c r="D26" s="1046">
        <f>SUM(E26:K26)</f>
        <v>0</v>
      </c>
      <c r="E26" s="645">
        <v>0</v>
      </c>
      <c r="F26" s="645">
        <v>0</v>
      </c>
      <c r="G26" s="645">
        <v>0</v>
      </c>
      <c r="H26" s="645">
        <v>0</v>
      </c>
      <c r="I26" s="645">
        <v>0</v>
      </c>
      <c r="J26" s="645">
        <v>0</v>
      </c>
      <c r="K26" s="645">
        <v>0</v>
      </c>
      <c r="N26" s="10"/>
      <c r="O26" s="10"/>
      <c r="P26" s="10"/>
      <c r="Q26" s="10"/>
    </row>
    <row r="27" spans="1:17" ht="15">
      <c r="A27" s="1019">
        <f>ROW()</f>
        <v>27</v>
      </c>
      <c r="B27" s="1270" t="s">
        <v>918</v>
      </c>
      <c r="C27" s="1069"/>
      <c r="D27" s="1046"/>
      <c r="E27" s="645">
        <v>0</v>
      </c>
      <c r="F27" s="645">
        <v>0</v>
      </c>
      <c r="G27" s="645">
        <v>0</v>
      </c>
      <c r="H27" s="645">
        <v>0</v>
      </c>
      <c r="I27" s="645">
        <v>0</v>
      </c>
      <c r="J27" s="645">
        <v>0</v>
      </c>
      <c r="K27" s="645">
        <v>0</v>
      </c>
      <c r="N27" s="10"/>
      <c r="O27" s="10"/>
      <c r="P27" s="10"/>
      <c r="Q27" s="10"/>
    </row>
    <row r="28" spans="1:17" ht="15">
      <c r="A28" s="1019">
        <f>ROW()</f>
        <v>28</v>
      </c>
      <c r="B28" s="1067" t="s">
        <v>601</v>
      </c>
      <c r="C28" s="1069"/>
      <c r="D28" s="1046"/>
      <c r="E28" s="645">
        <v>0</v>
      </c>
      <c r="F28" s="645">
        <v>0</v>
      </c>
      <c r="G28" s="645">
        <v>0</v>
      </c>
      <c r="H28" s="645">
        <v>0</v>
      </c>
      <c r="I28" s="645">
        <v>0</v>
      </c>
      <c r="J28" s="645">
        <v>0</v>
      </c>
      <c r="K28" s="645">
        <v>0</v>
      </c>
      <c r="N28" s="10"/>
      <c r="O28" s="10"/>
      <c r="P28" s="10"/>
      <c r="Q28" s="10"/>
    </row>
    <row r="29" spans="1:17" ht="15">
      <c r="A29" s="1019">
        <f>ROW()</f>
        <v>29</v>
      </c>
      <c r="B29" s="1067" t="s">
        <v>582</v>
      </c>
      <c r="C29" s="1070"/>
      <c r="D29" s="1046">
        <f>SUM(E29:K29)</f>
        <v>0</v>
      </c>
      <c r="E29" s="645">
        <v>0</v>
      </c>
      <c r="F29" s="645">
        <v>0</v>
      </c>
      <c r="G29" s="645">
        <v>0</v>
      </c>
      <c r="H29" s="645">
        <v>0</v>
      </c>
      <c r="I29" s="645">
        <v>0</v>
      </c>
      <c r="J29" s="645">
        <v>0</v>
      </c>
      <c r="K29" s="645">
        <v>0</v>
      </c>
      <c r="N29" s="10"/>
      <c r="O29" s="10"/>
      <c r="P29" s="10"/>
      <c r="Q29" s="10"/>
    </row>
    <row r="30" spans="1:17" ht="15">
      <c r="A30" s="1019">
        <f>ROW()</f>
        <v>30</v>
      </c>
      <c r="B30" s="1047"/>
      <c r="C30" s="1048"/>
      <c r="D30" s="1049">
        <f>SUM(E30:K30)</f>
        <v>2862363.3771490655</v>
      </c>
      <c r="E30" s="1049">
        <f t="shared" ref="E30:K30" si="3">SUM(E19:E29)</f>
        <v>0</v>
      </c>
      <c r="F30" s="1049">
        <f t="shared" si="3"/>
        <v>137242.83766999419</v>
      </c>
      <c r="G30" s="1049">
        <f t="shared" si="3"/>
        <v>184031.06645012298</v>
      </c>
      <c r="H30" s="1049">
        <f t="shared" si="3"/>
        <v>244235.61372116386</v>
      </c>
      <c r="I30" s="1049">
        <f t="shared" si="3"/>
        <v>614853.10546232434</v>
      </c>
      <c r="J30" s="1049">
        <f t="shared" si="3"/>
        <v>747472.31540882261</v>
      </c>
      <c r="K30" s="1049">
        <f t="shared" si="3"/>
        <v>934528.43843663752</v>
      </c>
      <c r="N30" s="10"/>
      <c r="O30" s="10"/>
      <c r="P30" s="10"/>
      <c r="Q30" s="10"/>
    </row>
    <row r="31" spans="1:17" ht="15">
      <c r="A31" s="1019">
        <f>ROW()</f>
        <v>31</v>
      </c>
      <c r="B31" s="1047"/>
      <c r="C31" s="168"/>
      <c r="D31" s="168"/>
      <c r="E31" s="168"/>
      <c r="F31" s="1048"/>
      <c r="G31" s="1046"/>
      <c r="H31" s="1050"/>
      <c r="I31" s="1051"/>
      <c r="J31" s="1051"/>
      <c r="K31" s="1051"/>
      <c r="L31" s="593"/>
      <c r="M31" s="593"/>
      <c r="N31" s="10"/>
      <c r="O31" s="10"/>
      <c r="P31" s="10"/>
      <c r="Q31" s="10"/>
    </row>
    <row r="32" spans="1:17" ht="15">
      <c r="A32" s="1019">
        <f>ROW()</f>
        <v>32</v>
      </c>
      <c r="B32" s="1047"/>
      <c r="C32" s="168"/>
      <c r="D32" s="175" t="s">
        <v>683</v>
      </c>
      <c r="E32" s="1052" t="s">
        <v>872</v>
      </c>
      <c r="F32" s="175" t="s">
        <v>583</v>
      </c>
      <c r="G32" s="1046"/>
      <c r="H32" s="1050"/>
      <c r="I32" s="1051"/>
      <c r="J32" s="1051"/>
      <c r="K32" s="1051"/>
      <c r="L32" s="593"/>
      <c r="M32" s="593"/>
      <c r="N32" s="10"/>
      <c r="O32" s="10"/>
      <c r="P32" s="10"/>
      <c r="Q32" s="10"/>
    </row>
    <row r="33" spans="1:17" ht="15">
      <c r="A33" s="1019">
        <f>ROW()</f>
        <v>33</v>
      </c>
      <c r="B33" s="1047"/>
      <c r="C33" s="168"/>
      <c r="D33" s="175" t="s">
        <v>684</v>
      </c>
      <c r="E33" s="175" t="s">
        <v>685</v>
      </c>
      <c r="F33" s="175" t="s">
        <v>584</v>
      </c>
      <c r="G33" s="1046"/>
      <c r="H33" s="1050"/>
      <c r="I33" s="1051"/>
      <c r="J33" s="1051"/>
      <c r="K33" s="1051"/>
      <c r="L33" s="593"/>
      <c r="M33" s="593"/>
      <c r="N33" s="10"/>
      <c r="O33" s="10"/>
      <c r="P33" s="10"/>
      <c r="Q33" s="10"/>
    </row>
    <row r="34" spans="1:17" ht="16">
      <c r="A34" s="1019">
        <f>ROW()</f>
        <v>34</v>
      </c>
      <c r="B34" s="1053" t="s">
        <v>849</v>
      </c>
      <c r="C34" s="461"/>
      <c r="D34" s="1054" t="s">
        <v>576</v>
      </c>
      <c r="E34" s="1054" t="s">
        <v>576</v>
      </c>
      <c r="F34" s="1054" t="s">
        <v>576</v>
      </c>
      <c r="G34" s="1046"/>
      <c r="H34" s="1050"/>
      <c r="I34" s="1051"/>
      <c r="J34" s="1051"/>
      <c r="K34" s="1051"/>
      <c r="L34" s="593"/>
      <c r="M34" s="593"/>
      <c r="N34" s="10"/>
      <c r="O34" s="10"/>
      <c r="P34" s="10"/>
      <c r="Q34" s="10"/>
    </row>
    <row r="35" spans="1:17" ht="31">
      <c r="A35" s="1019">
        <f>ROW()</f>
        <v>35</v>
      </c>
      <c r="B35" s="1055" t="s">
        <v>697</v>
      </c>
      <c r="C35" s="159"/>
      <c r="D35" s="1071" t="s">
        <v>586</v>
      </c>
      <c r="E35" s="1071" t="s">
        <v>586</v>
      </c>
      <c r="F35" s="1072" t="s">
        <v>586</v>
      </c>
      <c r="G35" s="1046"/>
      <c r="H35" s="1050"/>
      <c r="I35" s="1051"/>
      <c r="J35" s="1051"/>
      <c r="K35" s="1051"/>
      <c r="L35" s="593"/>
      <c r="M35" s="593"/>
      <c r="N35" s="10"/>
      <c r="O35" s="10"/>
      <c r="P35" s="10"/>
      <c r="Q35" s="10"/>
    </row>
    <row r="36" spans="1:17" ht="15">
      <c r="A36" s="1019">
        <f>ROW()</f>
        <v>36</v>
      </c>
      <c r="B36" s="1056" t="s">
        <v>689</v>
      </c>
      <c r="C36" s="1056"/>
      <c r="D36" s="1073" t="s">
        <v>586</v>
      </c>
      <c r="E36" s="1073" t="s">
        <v>586</v>
      </c>
      <c r="F36" s="1074" t="s">
        <v>586</v>
      </c>
      <c r="G36" s="1046"/>
      <c r="H36" s="1050"/>
      <c r="I36" s="1051"/>
      <c r="J36" s="1051"/>
      <c r="K36" s="1051"/>
      <c r="L36" s="593"/>
      <c r="M36" s="593"/>
      <c r="N36" s="10"/>
      <c r="O36" s="10"/>
      <c r="P36" s="10"/>
      <c r="Q36" s="10"/>
    </row>
    <row r="37" spans="1:17" ht="15">
      <c r="A37" s="1019">
        <f>ROW()</f>
        <v>37</v>
      </c>
      <c r="B37" s="1056" t="s">
        <v>687</v>
      </c>
      <c r="C37" s="1056"/>
      <c r="D37" s="1073" t="s">
        <v>586</v>
      </c>
      <c r="E37" s="1073" t="s">
        <v>586</v>
      </c>
      <c r="F37" s="1074" t="s">
        <v>586</v>
      </c>
      <c r="G37" s="1046"/>
      <c r="H37" s="1050"/>
      <c r="I37" s="1051"/>
      <c r="J37" s="1051"/>
      <c r="K37" s="1051"/>
      <c r="L37" s="593"/>
      <c r="M37" s="593"/>
      <c r="N37" s="10"/>
      <c r="O37" s="10"/>
      <c r="P37" s="10"/>
      <c r="Q37" s="10"/>
    </row>
    <row r="38" spans="1:17" ht="15">
      <c r="A38" s="1019">
        <f>ROW()</f>
        <v>38</v>
      </c>
      <c r="B38" s="1056" t="s">
        <v>686</v>
      </c>
      <c r="C38" s="1056"/>
      <c r="D38" s="1073" t="s">
        <v>586</v>
      </c>
      <c r="E38" s="1073" t="s">
        <v>586</v>
      </c>
      <c r="F38" s="1074" t="s">
        <v>586</v>
      </c>
      <c r="G38" s="1046"/>
      <c r="H38" s="1050"/>
      <c r="I38" s="1051"/>
      <c r="J38" s="1051"/>
      <c r="K38" s="1051"/>
      <c r="L38" s="593"/>
      <c r="M38" s="593"/>
      <c r="N38" s="10"/>
      <c r="O38" s="10"/>
      <c r="P38" s="10"/>
      <c r="Q38" s="10"/>
    </row>
    <row r="39" spans="1:17" ht="15">
      <c r="A39" s="1019">
        <f>ROW()</f>
        <v>39</v>
      </c>
      <c r="B39" s="1056" t="s">
        <v>693</v>
      </c>
      <c r="C39" s="1056"/>
      <c r="D39" s="1073" t="s">
        <v>586</v>
      </c>
      <c r="E39" s="1073" t="s">
        <v>586</v>
      </c>
      <c r="F39" s="1074" t="s">
        <v>586</v>
      </c>
      <c r="G39" s="1046"/>
      <c r="H39" s="1050"/>
      <c r="I39" s="1051"/>
      <c r="J39" s="1051"/>
      <c r="K39" s="1051"/>
      <c r="L39" s="593"/>
      <c r="M39" s="593"/>
      <c r="N39" s="10"/>
      <c r="O39" s="10"/>
      <c r="P39" s="10"/>
      <c r="Q39" s="10"/>
    </row>
    <row r="40" spans="1:17" ht="15">
      <c r="A40" s="1019">
        <f>ROW()</f>
        <v>40</v>
      </c>
      <c r="B40" s="1056" t="s">
        <v>695</v>
      </c>
      <c r="C40" s="1056"/>
      <c r="D40" s="1073" t="s">
        <v>586</v>
      </c>
      <c r="E40" s="1073" t="s">
        <v>586</v>
      </c>
      <c r="F40" s="1074" t="s">
        <v>586</v>
      </c>
      <c r="G40" s="1046"/>
      <c r="H40" s="1050"/>
      <c r="I40" s="1051"/>
      <c r="J40" s="1051"/>
      <c r="K40" s="1051"/>
      <c r="L40" s="593"/>
      <c r="M40" s="593"/>
      <c r="N40" s="10"/>
      <c r="O40" s="10"/>
      <c r="P40" s="10"/>
      <c r="Q40" s="10"/>
    </row>
    <row r="41" spans="1:17" ht="15">
      <c r="A41" s="1057">
        <f>ROW()</f>
        <v>41</v>
      </c>
      <c r="B41" s="1056" t="s">
        <v>471</v>
      </c>
      <c r="C41" s="1058"/>
      <c r="D41" s="1075" t="s">
        <v>586</v>
      </c>
      <c r="E41" s="1075" t="s">
        <v>586</v>
      </c>
      <c r="F41" s="1076" t="s">
        <v>586</v>
      </c>
      <c r="G41" s="1046"/>
      <c r="H41" s="1050"/>
      <c r="I41" s="1051"/>
      <c r="J41" s="1051"/>
      <c r="K41" s="1051"/>
      <c r="L41" s="593"/>
      <c r="M41" s="593"/>
      <c r="N41" s="10"/>
      <c r="O41" s="10"/>
      <c r="P41" s="10"/>
      <c r="Q41" s="10"/>
    </row>
    <row r="42" spans="1:17" ht="15">
      <c r="A42" s="1019">
        <f>ROW()</f>
        <v>42</v>
      </c>
      <c r="B42" s="1056" t="s">
        <v>473</v>
      </c>
      <c r="C42" s="1056"/>
      <c r="D42" s="1073" t="s">
        <v>586</v>
      </c>
      <c r="E42" s="1073" t="s">
        <v>586</v>
      </c>
      <c r="F42" s="1074" t="s">
        <v>586</v>
      </c>
      <c r="G42" s="1046"/>
      <c r="H42" s="1050"/>
      <c r="I42" s="1051"/>
      <c r="J42" s="1051"/>
      <c r="K42" s="1051"/>
      <c r="L42" s="593"/>
      <c r="M42" s="593"/>
      <c r="N42" s="10"/>
      <c r="O42" s="10"/>
      <c r="P42" s="10"/>
      <c r="Q42" s="10"/>
    </row>
    <row r="43" spans="1:17" ht="15">
      <c r="A43" s="1019">
        <f>ROW()</f>
        <v>43</v>
      </c>
      <c r="B43" s="1056" t="s">
        <v>688</v>
      </c>
      <c r="C43" s="1056"/>
      <c r="D43" s="1073" t="s">
        <v>586</v>
      </c>
      <c r="E43" s="1073" t="s">
        <v>586</v>
      </c>
      <c r="F43" s="1074" t="s">
        <v>586</v>
      </c>
      <c r="G43" s="1046"/>
      <c r="H43" s="1050"/>
      <c r="I43" s="1051"/>
      <c r="J43" s="1051"/>
      <c r="K43" s="1051"/>
      <c r="L43" s="593"/>
      <c r="M43" s="593"/>
      <c r="N43" s="10"/>
      <c r="O43" s="10"/>
      <c r="P43" s="10"/>
      <c r="Q43" s="10"/>
    </row>
    <row r="44" spans="1:17" ht="15">
      <c r="A44" s="1019">
        <f>ROW()</f>
        <v>44</v>
      </c>
      <c r="B44" s="1056" t="s">
        <v>694</v>
      </c>
      <c r="C44" s="1056"/>
      <c r="D44" s="1073" t="s">
        <v>586</v>
      </c>
      <c r="E44" s="1073" t="s">
        <v>586</v>
      </c>
      <c r="F44" s="1074" t="s">
        <v>586</v>
      </c>
      <c r="G44" s="1046"/>
      <c r="H44" s="1050"/>
      <c r="I44" s="1051"/>
      <c r="J44" s="1051"/>
      <c r="K44" s="1051"/>
      <c r="L44" s="593"/>
      <c r="M44" s="593"/>
      <c r="N44" s="10"/>
      <c r="O44" s="10"/>
      <c r="P44" s="10"/>
      <c r="Q44" s="10"/>
    </row>
    <row r="45" spans="1:17" ht="15">
      <c r="A45" s="1019">
        <f>ROW()</f>
        <v>45</v>
      </c>
      <c r="B45" s="1056" t="s">
        <v>691</v>
      </c>
      <c r="C45" s="1056"/>
      <c r="D45" s="1073" t="s">
        <v>586</v>
      </c>
      <c r="E45" s="1073" t="s">
        <v>586</v>
      </c>
      <c r="F45" s="1074" t="s">
        <v>586</v>
      </c>
      <c r="G45" s="1046"/>
      <c r="H45" s="1050"/>
      <c r="I45" s="1051"/>
      <c r="J45" s="1051"/>
      <c r="K45" s="1051"/>
      <c r="L45" s="593"/>
      <c r="M45" s="593"/>
      <c r="N45" s="10"/>
      <c r="O45" s="10"/>
      <c r="P45" s="10"/>
      <c r="Q45" s="10"/>
    </row>
    <row r="46" spans="1:17" ht="15">
      <c r="A46" s="1019">
        <f>ROW()</f>
        <v>46</v>
      </c>
      <c r="B46" s="1056" t="s">
        <v>678</v>
      </c>
      <c r="C46" s="1056"/>
      <c r="D46" s="1073" t="s">
        <v>586</v>
      </c>
      <c r="E46" s="1073" t="s">
        <v>586</v>
      </c>
      <c r="F46" s="1074" t="s">
        <v>586</v>
      </c>
      <c r="G46" s="1046"/>
      <c r="H46" s="1050"/>
      <c r="I46" s="1051"/>
      <c r="J46" s="1051"/>
      <c r="K46" s="1051"/>
      <c r="L46" s="593"/>
      <c r="M46" s="593"/>
      <c r="N46" s="10"/>
      <c r="O46" s="10"/>
      <c r="P46" s="10"/>
      <c r="Q46" s="10"/>
    </row>
    <row r="47" spans="1:17" ht="15">
      <c r="A47" s="1019">
        <f>ROW()</f>
        <v>47</v>
      </c>
      <c r="B47" s="1056" t="s">
        <v>696</v>
      </c>
      <c r="C47" s="1056"/>
      <c r="D47" s="1073" t="s">
        <v>586</v>
      </c>
      <c r="E47" s="1073" t="s">
        <v>586</v>
      </c>
      <c r="F47" s="1074" t="s">
        <v>586</v>
      </c>
      <c r="G47" s="1046"/>
      <c r="H47" s="1050"/>
      <c r="I47" s="1051"/>
      <c r="J47" s="1051"/>
      <c r="K47" s="1051"/>
      <c r="L47" s="593"/>
      <c r="M47" s="593"/>
      <c r="N47" s="10"/>
      <c r="O47" s="10"/>
      <c r="P47" s="10"/>
      <c r="Q47" s="10"/>
    </row>
    <row r="48" spans="1:17" ht="15">
      <c r="A48" s="1019">
        <f>ROW()</f>
        <v>48</v>
      </c>
      <c r="B48" s="1056" t="s">
        <v>682</v>
      </c>
      <c r="C48" s="1056"/>
      <c r="D48" s="1073" t="s">
        <v>586</v>
      </c>
      <c r="E48" s="1073" t="s">
        <v>586</v>
      </c>
      <c r="F48" s="1074" t="s">
        <v>586</v>
      </c>
      <c r="G48" s="1046"/>
      <c r="H48" s="1050"/>
      <c r="I48" s="1051"/>
      <c r="J48" s="1051"/>
      <c r="K48" s="1051"/>
      <c r="L48" s="593"/>
      <c r="M48" s="593"/>
      <c r="N48" s="10"/>
      <c r="O48" s="10"/>
      <c r="P48" s="10"/>
      <c r="Q48" s="10"/>
    </row>
    <row r="49" spans="1:13">
      <c r="A49" s="1019">
        <f>ROW()</f>
        <v>49</v>
      </c>
      <c r="B49" s="1056" t="s">
        <v>472</v>
      </c>
      <c r="C49" s="1056"/>
      <c r="D49" s="1073" t="s">
        <v>586</v>
      </c>
      <c r="E49" s="1073" t="s">
        <v>586</v>
      </c>
      <c r="F49" s="1074" t="s">
        <v>586</v>
      </c>
      <c r="G49" s="1046"/>
      <c r="H49" s="1050"/>
      <c r="I49" s="1051"/>
      <c r="J49" s="1051"/>
      <c r="K49" s="1051"/>
      <c r="L49" s="593"/>
      <c r="M49" s="593"/>
    </row>
    <row r="50" spans="1:13">
      <c r="A50" s="1019">
        <f>ROW()</f>
        <v>50</v>
      </c>
      <c r="B50" s="1056" t="s">
        <v>479</v>
      </c>
      <c r="C50" s="1056"/>
      <c r="D50" s="1073" t="s">
        <v>586</v>
      </c>
      <c r="E50" s="1073" t="s">
        <v>586</v>
      </c>
      <c r="F50" s="1074" t="s">
        <v>586</v>
      </c>
      <c r="G50" s="1046"/>
      <c r="H50" s="1050"/>
      <c r="I50" s="1051"/>
      <c r="J50" s="1051"/>
      <c r="K50" s="1051"/>
      <c r="L50" s="593"/>
      <c r="M50" s="593"/>
    </row>
    <row r="51" spans="1:13">
      <c r="A51" s="1019">
        <f>ROW()</f>
        <v>51</v>
      </c>
      <c r="B51" s="1056" t="s">
        <v>470</v>
      </c>
      <c r="C51" s="1056"/>
      <c r="D51" s="1073" t="s">
        <v>586</v>
      </c>
      <c r="E51" s="1073" t="s">
        <v>586</v>
      </c>
      <c r="F51" s="1074" t="s">
        <v>586</v>
      </c>
      <c r="G51" s="1046"/>
      <c r="H51" s="1050"/>
      <c r="I51" s="1051"/>
      <c r="J51" s="1051"/>
      <c r="K51" s="1051"/>
      <c r="L51" s="593"/>
      <c r="M51" s="593"/>
    </row>
    <row r="52" spans="1:13">
      <c r="A52" s="1019">
        <f>ROW()</f>
        <v>52</v>
      </c>
      <c r="B52" s="1056" t="s">
        <v>690</v>
      </c>
      <c r="C52" s="1056"/>
      <c r="D52" s="1073" t="s">
        <v>586</v>
      </c>
      <c r="E52" s="1073" t="s">
        <v>586</v>
      </c>
      <c r="F52" s="1074" t="s">
        <v>586</v>
      </c>
      <c r="G52" s="1046"/>
      <c r="H52" s="1050"/>
      <c r="I52" s="1051"/>
      <c r="J52" s="1051"/>
      <c r="K52" s="1051"/>
      <c r="L52" s="593"/>
      <c r="M52" s="593"/>
    </row>
    <row r="53" spans="1:13">
      <c r="A53" s="1019">
        <f>ROW()</f>
        <v>53</v>
      </c>
      <c r="B53" s="1056" t="s">
        <v>692</v>
      </c>
      <c r="C53" s="1056"/>
      <c r="D53" s="1073" t="s">
        <v>586</v>
      </c>
      <c r="E53" s="1073" t="s">
        <v>586</v>
      </c>
      <c r="F53" s="1074" t="s">
        <v>586</v>
      </c>
      <c r="G53" s="1046"/>
      <c r="H53" s="1050"/>
      <c r="I53" s="1051"/>
      <c r="J53" s="1051"/>
      <c r="K53" s="1051"/>
      <c r="L53" s="593"/>
      <c r="M53" s="593"/>
    </row>
    <row r="54" spans="1:13">
      <c r="A54" s="1019">
        <f>ROW()</f>
        <v>54</v>
      </c>
      <c r="B54" s="1056" t="s">
        <v>128</v>
      </c>
      <c r="C54" s="1056"/>
      <c r="D54" s="1073" t="s">
        <v>586</v>
      </c>
      <c r="E54" s="1073" t="s">
        <v>586</v>
      </c>
      <c r="F54" s="1077" t="s">
        <v>586</v>
      </c>
      <c r="G54" s="1046"/>
      <c r="H54" s="1050"/>
      <c r="I54" s="1051"/>
      <c r="J54" s="1051"/>
      <c r="K54" s="1051"/>
      <c r="L54" s="593"/>
      <c r="M54" s="593"/>
    </row>
    <row r="55" spans="1:13">
      <c r="A55" s="1019">
        <f>ROW()</f>
        <v>55</v>
      </c>
      <c r="B55" s="552" t="s">
        <v>585</v>
      </c>
      <c r="C55" s="552"/>
      <c r="D55" s="1073" t="s">
        <v>586</v>
      </c>
      <c r="E55" s="1073" t="s">
        <v>586</v>
      </c>
      <c r="F55" s="1077" t="s">
        <v>586</v>
      </c>
      <c r="G55" s="1046"/>
      <c r="H55" s="1050"/>
      <c r="I55" s="1051"/>
      <c r="J55" s="1051"/>
      <c r="K55" s="1051"/>
      <c r="L55" s="593"/>
      <c r="M55" s="593"/>
    </row>
    <row r="56" spans="1:13">
      <c r="A56" s="1019">
        <f>ROW()</f>
        <v>56</v>
      </c>
      <c r="B56" s="552" t="s">
        <v>585</v>
      </c>
      <c r="C56" s="552"/>
      <c r="D56" s="1073" t="s">
        <v>586</v>
      </c>
      <c r="E56" s="1073" t="s">
        <v>586</v>
      </c>
      <c r="F56" s="1077" t="s">
        <v>586</v>
      </c>
      <c r="G56" s="1046"/>
      <c r="H56" s="1050"/>
      <c r="I56" s="1051"/>
      <c r="J56" s="1051"/>
      <c r="K56" s="1051"/>
      <c r="L56" s="593"/>
      <c r="M56" s="593"/>
    </row>
    <row r="57" spans="1:13">
      <c r="A57" s="1019">
        <f>ROW()</f>
        <v>57</v>
      </c>
      <c r="B57" s="552" t="s">
        <v>585</v>
      </c>
      <c r="C57" s="552"/>
      <c r="D57" s="1073" t="s">
        <v>586</v>
      </c>
      <c r="E57" s="1073" t="s">
        <v>586</v>
      </c>
      <c r="F57" s="1078" t="s">
        <v>586</v>
      </c>
      <c r="G57" s="1046"/>
      <c r="H57" s="1050"/>
      <c r="I57" s="1051"/>
      <c r="J57" s="1051"/>
      <c r="K57" s="1051"/>
      <c r="L57" s="593"/>
      <c r="M57" s="593"/>
    </row>
    <row r="58" spans="1:13">
      <c r="A58" s="1019">
        <f>ROW()</f>
        <v>58</v>
      </c>
      <c r="B58" s="1059" t="s">
        <v>466</v>
      </c>
      <c r="C58" s="1060"/>
      <c r="D58" s="1061"/>
      <c r="E58" s="1061"/>
      <c r="F58" s="1061"/>
      <c r="G58" s="141"/>
      <c r="H58" s="141"/>
      <c r="I58" s="141"/>
      <c r="J58" s="141"/>
      <c r="K58" s="141"/>
    </row>
    <row r="59" spans="1:13">
      <c r="A59" s="1019"/>
      <c r="B59" s="1062" t="s">
        <v>873</v>
      </c>
      <c r="C59" s="159"/>
      <c r="D59" s="1063"/>
      <c r="E59" s="175"/>
      <c r="F59" s="175"/>
      <c r="G59" s="175"/>
      <c r="H59" s="1063"/>
      <c r="I59" s="1063"/>
      <c r="J59" s="1063"/>
      <c r="K59" s="1063"/>
      <c r="L59" s="301"/>
      <c r="M59" s="301"/>
    </row>
    <row r="60" spans="1:13">
      <c r="A60" s="1019"/>
      <c r="B60" s="1062" t="s">
        <v>874</v>
      </c>
      <c r="C60" s="159"/>
      <c r="D60" s="159"/>
      <c r="E60" s="1064"/>
      <c r="F60" s="1064"/>
      <c r="G60" s="1064"/>
      <c r="H60" s="1064"/>
      <c r="I60" s="1064"/>
      <c r="J60" s="1064"/>
      <c r="K60" s="1064"/>
      <c r="L60" s="303"/>
      <c r="M60" s="303"/>
    </row>
    <row r="61" spans="1:13">
      <c r="A61" s="141"/>
      <c r="B61" s="141"/>
      <c r="C61" s="141"/>
      <c r="D61" s="150"/>
      <c r="E61" s="150"/>
      <c r="F61" s="150"/>
      <c r="G61" s="141"/>
      <c r="H61" s="141"/>
      <c r="I61" s="141"/>
      <c r="J61" s="141"/>
      <c r="K61" s="141"/>
    </row>
  </sheetData>
  <sheetProtection algorithmName="SHA-512" hashValue="zcKzo1HDkY04FJ9sMYPaAfrtZQfRWXjbU6dVGHWnZaStakBPpMfDcIGFDjBbOGGN5h3Z7PsuO+X5tGuEGBAnRQ==" saltValue="5pVPCzmf3vCgQUIU01HWhg==" spinCount="100000" sheet="1" selectLockedCells="1"/>
  <protectedRanges>
    <protectedRange sqref="G31:M57 D17:K29" name="Student Input"/>
  </protectedRanges>
  <sortState ref="B35:B54">
    <sortCondition ref="B35:B54"/>
  </sortState>
  <conditionalFormatting sqref="F17:K17">
    <cfRule type="cellIs" dxfId="11" priority="70" stopIfTrue="1" operator="equal">
      <formula>0</formula>
    </cfRule>
  </conditionalFormatting>
  <conditionalFormatting sqref="B41 B35:C40 B42:C54">
    <cfRule type="expression" dxfId="10" priority="72" stopIfTrue="1">
      <formula>MOD(ROW(),2)=0</formula>
    </cfRule>
  </conditionalFormatting>
  <pageMargins left="0.25" right="0.25" top="0.5" bottom="0.45" header="0.25" footer="0.25"/>
  <pageSetup scale="55" fitToHeight="6" orientation="landscape" r:id="rId1"/>
  <headerFooter>
    <oddHeader xml:space="preserve">&amp;L &amp;C &amp;R </oddHeader>
    <oddFooter>&amp;L&amp;7&amp;D  at &amp;T Mike 702.854.0691&amp;C&amp;7&amp;F  &amp;A&amp;R&amp;7Page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pageSetUpPr fitToPage="1"/>
  </sheetPr>
  <dimension ref="A1:Q141"/>
  <sheetViews>
    <sheetView view="pageBreakPreview" topLeftCell="A126" zoomScale="76" zoomScaleNormal="100" zoomScaleSheetLayoutView="76" workbookViewId="0">
      <selection activeCell="E52" sqref="E52"/>
    </sheetView>
  </sheetViews>
  <sheetFormatPr baseColWidth="10" defaultColWidth="9.1640625" defaultRowHeight="14"/>
  <cols>
    <col min="1" max="1" width="22.33203125" style="141" customWidth="1"/>
    <col min="2" max="2" width="12.33203125" style="141" customWidth="1"/>
    <col min="3" max="3" width="11.6640625" style="141" customWidth="1"/>
    <col min="4" max="5" width="13.6640625" style="141" customWidth="1"/>
    <col min="6" max="14" width="12.6640625" style="141" customWidth="1"/>
    <col min="15" max="16" width="11.83203125" style="141" customWidth="1"/>
    <col min="17" max="17" width="2.33203125" style="217" customWidth="1"/>
    <col min="18" max="18" width="3.83203125" style="141" customWidth="1"/>
    <col min="19" max="16384" width="9.1640625" style="141"/>
  </cols>
  <sheetData>
    <row r="1" spans="1:16" ht="16">
      <c r="A1" s="457" t="s">
        <v>750</v>
      </c>
      <c r="B1" s="149"/>
      <c r="E1" s="309"/>
      <c r="G1" s="223"/>
      <c r="O1" s="151"/>
    </row>
    <row r="2" spans="1:16" ht="16">
      <c r="A2" s="459" t="str">
        <f>SchoolName</f>
        <v>TEACH Las Vegas</v>
      </c>
      <c r="B2" s="152"/>
    </row>
    <row r="3" spans="1:16">
      <c r="A3" s="154" t="s">
        <v>412</v>
      </c>
      <c r="B3" s="154"/>
      <c r="C3" s="154"/>
    </row>
    <row r="4" spans="1:16">
      <c r="A4" s="155" t="s">
        <v>444</v>
      </c>
      <c r="B4" s="155"/>
      <c r="C4" s="155"/>
    </row>
    <row r="5" spans="1:16">
      <c r="A5" s="129" t="str">
        <f ca="1">CELL("filename")</f>
        <v>/Users/matthewbrown/Desktop/[2021MB-New-CS-Application-Financial-Plan-TEACH REV 21.1.04MB 2021 02 01.xlsx]Enrol Staff &amp; Exp</v>
      </c>
      <c r="B5" s="129"/>
      <c r="C5" s="129"/>
    </row>
    <row r="6" spans="1:16">
      <c r="I6" s="197"/>
    </row>
    <row r="7" spans="1:16" ht="18">
      <c r="A7" s="306" t="s">
        <v>842</v>
      </c>
      <c r="B7" s="306"/>
      <c r="C7" s="306"/>
      <c r="D7" s="910">
        <f>'Enrol Staff &amp; Exp'!H10</f>
        <v>2021</v>
      </c>
      <c r="E7" s="307" t="s">
        <v>427</v>
      </c>
      <c r="L7" s="17"/>
      <c r="M7" s="17"/>
      <c r="N7" s="17"/>
      <c r="O7" s="17"/>
      <c r="P7" s="17"/>
    </row>
    <row r="8" spans="1:16">
      <c r="A8" s="308" t="s">
        <v>409</v>
      </c>
      <c r="B8" s="308"/>
      <c r="C8" s="308"/>
      <c r="D8" s="910">
        <f>'Enrol Staff &amp; Exp'!H11</f>
        <v>2022</v>
      </c>
      <c r="E8" s="810" t="s">
        <v>429</v>
      </c>
      <c r="F8" s="310"/>
      <c r="K8" s="310"/>
      <c r="L8" s="310"/>
      <c r="M8" s="310"/>
      <c r="N8" s="310"/>
      <c r="O8" s="310"/>
      <c r="P8" s="310"/>
    </row>
    <row r="9" spans="1:16">
      <c r="A9" s="308" t="s">
        <v>480</v>
      </c>
      <c r="B9" s="308"/>
      <c r="C9" s="308"/>
      <c r="D9" s="1003">
        <v>1.2500000000000001E-2</v>
      </c>
      <c r="E9" s="309"/>
      <c r="F9" s="310"/>
      <c r="K9" s="310"/>
      <c r="L9" s="310"/>
      <c r="M9" s="310"/>
      <c r="N9" s="310"/>
      <c r="O9" s="310"/>
      <c r="P9" s="310"/>
    </row>
    <row r="10" spans="1:16" ht="15" thickBot="1">
      <c r="A10" s="309" t="s">
        <v>428</v>
      </c>
      <c r="B10" s="309"/>
      <c r="C10" s="309"/>
      <c r="D10" s="17"/>
      <c r="E10" s="311"/>
      <c r="F10" s="311"/>
      <c r="G10" s="17"/>
      <c r="H10" s="311"/>
      <c r="I10" s="17"/>
      <c r="J10" s="17"/>
      <c r="K10" s="17"/>
      <c r="L10" s="17"/>
      <c r="M10" s="17"/>
      <c r="N10" s="17"/>
      <c r="O10" s="17"/>
      <c r="P10" s="17"/>
    </row>
    <row r="11" spans="1:16" ht="15" customHeight="1">
      <c r="B11" s="312" t="s">
        <v>595</v>
      </c>
      <c r="C11" s="312"/>
      <c r="D11" s="312" t="s">
        <v>440</v>
      </c>
      <c r="E11" s="313" t="s">
        <v>439</v>
      </c>
      <c r="F11" s="313" t="s">
        <v>439</v>
      </c>
      <c r="G11" s="314" t="s">
        <v>439</v>
      </c>
      <c r="H11" s="313" t="s">
        <v>439</v>
      </c>
      <c r="I11" s="313" t="s">
        <v>439</v>
      </c>
      <c r="J11" s="314" t="s">
        <v>439</v>
      </c>
      <c r="K11" s="313" t="s">
        <v>439</v>
      </c>
      <c r="L11" s="313" t="s">
        <v>439</v>
      </c>
      <c r="M11" s="314" t="s">
        <v>439</v>
      </c>
      <c r="N11" s="313" t="s">
        <v>439</v>
      </c>
      <c r="O11" s="313" t="s">
        <v>439</v>
      </c>
      <c r="P11" s="314" t="s">
        <v>439</v>
      </c>
    </row>
    <row r="12" spans="1:16" ht="15" thickBot="1">
      <c r="A12" s="20"/>
      <c r="B12" s="469" t="s">
        <v>841</v>
      </c>
      <c r="C12" s="635" t="s">
        <v>751</v>
      </c>
      <c r="D12" s="315">
        <f>+D8</f>
        <v>2022</v>
      </c>
      <c r="E12" s="316" t="s">
        <v>313</v>
      </c>
      <c r="F12" s="316" t="s">
        <v>314</v>
      </c>
      <c r="G12" s="317" t="s">
        <v>315</v>
      </c>
      <c r="H12" s="316" t="s">
        <v>316</v>
      </c>
      <c r="I12" s="316" t="s">
        <v>317</v>
      </c>
      <c r="J12" s="317" t="s">
        <v>318</v>
      </c>
      <c r="K12" s="316" t="s">
        <v>319</v>
      </c>
      <c r="L12" s="316" t="s">
        <v>320</v>
      </c>
      <c r="M12" s="317" t="s">
        <v>321</v>
      </c>
      <c r="N12" s="316" t="s">
        <v>322</v>
      </c>
      <c r="O12" s="316" t="s">
        <v>323</v>
      </c>
      <c r="P12" s="317" t="s">
        <v>324</v>
      </c>
    </row>
    <row r="13" spans="1:16">
      <c r="A13" s="318" t="s">
        <v>325</v>
      </c>
      <c r="B13" s="318"/>
      <c r="C13" s="318"/>
      <c r="D13" s="319"/>
      <c r="E13" s="320"/>
      <c r="F13" s="321"/>
      <c r="G13" s="321"/>
      <c r="H13" s="321"/>
      <c r="I13" s="321"/>
      <c r="J13" s="321"/>
      <c r="K13" s="321"/>
      <c r="L13" s="321"/>
      <c r="M13" s="321"/>
      <c r="N13" s="321"/>
      <c r="O13" s="321"/>
      <c r="P13" s="321"/>
    </row>
    <row r="14" spans="1:16">
      <c r="A14" s="18" t="s">
        <v>326</v>
      </c>
      <c r="B14" s="606">
        <f>'Enrol Staff &amp; Exp'!H59</f>
        <v>2353958.7376201358</v>
      </c>
      <c r="C14" s="606">
        <f>+B14-D14</f>
        <v>0</v>
      </c>
      <c r="D14" s="114">
        <f>SUM(E14:P14)</f>
        <v>2353958.7376201358</v>
      </c>
      <c r="E14" s="804">
        <f>$B$14/12</f>
        <v>196163.2281350113</v>
      </c>
      <c r="F14" s="804">
        <f t="shared" ref="F14:P14" si="0">$B$14/12</f>
        <v>196163.2281350113</v>
      </c>
      <c r="G14" s="804">
        <f t="shared" si="0"/>
        <v>196163.2281350113</v>
      </c>
      <c r="H14" s="804">
        <f t="shared" si="0"/>
        <v>196163.2281350113</v>
      </c>
      <c r="I14" s="804">
        <f t="shared" si="0"/>
        <v>196163.2281350113</v>
      </c>
      <c r="J14" s="804">
        <f t="shared" si="0"/>
        <v>196163.2281350113</v>
      </c>
      <c r="K14" s="804">
        <f t="shared" si="0"/>
        <v>196163.2281350113</v>
      </c>
      <c r="L14" s="804">
        <f t="shared" si="0"/>
        <v>196163.2281350113</v>
      </c>
      <c r="M14" s="804">
        <f t="shared" si="0"/>
        <v>196163.2281350113</v>
      </c>
      <c r="N14" s="804">
        <f t="shared" si="0"/>
        <v>196163.2281350113</v>
      </c>
      <c r="O14" s="804">
        <f t="shared" si="0"/>
        <v>196163.2281350113</v>
      </c>
      <c r="P14" s="804">
        <f t="shared" si="0"/>
        <v>196163.2281350113</v>
      </c>
    </row>
    <row r="15" spans="1:16">
      <c r="A15" s="18" t="s">
        <v>345</v>
      </c>
      <c r="B15" s="607">
        <f>'Enrol Staff &amp; Exp'!H60</f>
        <v>-29424.484220251699</v>
      </c>
      <c r="C15" s="607">
        <f t="shared" ref="C15:C30" si="1">+B15-D15</f>
        <v>0</v>
      </c>
      <c r="D15" s="128">
        <f>SUM(E15:P15)</f>
        <v>-29424.484220251688</v>
      </c>
      <c r="E15" s="845">
        <f>-0.0125*E14</f>
        <v>-2452.0403516876413</v>
      </c>
      <c r="F15" s="845">
        <f t="shared" ref="F15:P15" si="2">-0.0125*F14</f>
        <v>-2452.0403516876413</v>
      </c>
      <c r="G15" s="845">
        <f t="shared" si="2"/>
        <v>-2452.0403516876413</v>
      </c>
      <c r="H15" s="845">
        <f t="shared" si="2"/>
        <v>-2452.0403516876413</v>
      </c>
      <c r="I15" s="845">
        <f t="shared" si="2"/>
        <v>-2452.0403516876413</v>
      </c>
      <c r="J15" s="845">
        <f t="shared" si="2"/>
        <v>-2452.0403516876413</v>
      </c>
      <c r="K15" s="845">
        <f t="shared" si="2"/>
        <v>-2452.0403516876413</v>
      </c>
      <c r="L15" s="845">
        <f t="shared" si="2"/>
        <v>-2452.0403516876413</v>
      </c>
      <c r="M15" s="845">
        <f t="shared" si="2"/>
        <v>-2452.0403516876413</v>
      </c>
      <c r="N15" s="845">
        <f t="shared" si="2"/>
        <v>-2452.0403516876413</v>
      </c>
      <c r="O15" s="845">
        <f t="shared" si="2"/>
        <v>-2452.0403516876413</v>
      </c>
      <c r="P15" s="845">
        <f t="shared" si="2"/>
        <v>-2452.0403516876413</v>
      </c>
    </row>
    <row r="16" spans="1:16">
      <c r="A16" s="18" t="s">
        <v>125</v>
      </c>
      <c r="B16" s="607">
        <f>'Enrol Staff &amp; Exp'!H61</f>
        <v>209300</v>
      </c>
      <c r="C16" s="607">
        <f t="shared" si="1"/>
        <v>0</v>
      </c>
      <c r="D16" s="128">
        <f>SUM(E16:P16)</f>
        <v>209300</v>
      </c>
      <c r="E16" s="845"/>
      <c r="F16" s="846"/>
      <c r="G16" s="846"/>
      <c r="H16" s="846"/>
      <c r="I16" s="846"/>
      <c r="J16" s="846"/>
      <c r="K16" s="846"/>
      <c r="L16" s="846"/>
      <c r="M16" s="846"/>
      <c r="N16" s="846"/>
      <c r="O16" s="846"/>
      <c r="P16" s="846">
        <f>B16</f>
        <v>209300</v>
      </c>
    </row>
    <row r="17" spans="1:16">
      <c r="A17" s="18" t="s">
        <v>353</v>
      </c>
      <c r="B17" s="607">
        <f>'Enrol Staff &amp; Exp'!H62</f>
        <v>1137.5</v>
      </c>
      <c r="C17" s="607">
        <f t="shared" si="1"/>
        <v>0</v>
      </c>
      <c r="D17" s="128">
        <f>SUM(E17:P17)</f>
        <v>1137.5</v>
      </c>
      <c r="E17" s="845"/>
      <c r="F17" s="846"/>
      <c r="G17" s="846"/>
      <c r="H17" s="846"/>
      <c r="I17" s="846"/>
      <c r="J17" s="846"/>
      <c r="K17" s="846"/>
      <c r="L17" s="846"/>
      <c r="M17" s="846"/>
      <c r="N17" s="846"/>
      <c r="O17" s="846"/>
      <c r="P17" s="846">
        <f t="shared" ref="P17:P18" si="3">B17</f>
        <v>1137.5</v>
      </c>
    </row>
    <row r="18" spans="1:16">
      <c r="A18" s="18" t="s">
        <v>352</v>
      </c>
      <c r="B18" s="607">
        <f>'Enrol Staff &amp; Exp'!H63</f>
        <v>0</v>
      </c>
      <c r="C18" s="607">
        <f t="shared" si="1"/>
        <v>0</v>
      </c>
      <c r="D18" s="128">
        <f t="shared" ref="D18:D29" si="4">SUM(E18:P18)</f>
        <v>0</v>
      </c>
      <c r="E18" s="845"/>
      <c r="F18" s="846"/>
      <c r="G18" s="846"/>
      <c r="H18" s="846"/>
      <c r="I18" s="846"/>
      <c r="J18" s="846"/>
      <c r="K18" s="846"/>
      <c r="L18" s="846"/>
      <c r="M18" s="846"/>
      <c r="N18" s="846"/>
      <c r="O18" s="846"/>
      <c r="P18" s="846">
        <f t="shared" si="3"/>
        <v>0</v>
      </c>
    </row>
    <row r="19" spans="1:16">
      <c r="A19" s="19" t="s">
        <v>237</v>
      </c>
      <c r="B19" s="607">
        <f>'Enrol Staff &amp; Exp'!H64</f>
        <v>0</v>
      </c>
      <c r="C19" s="607">
        <f t="shared" si="1"/>
        <v>0</v>
      </c>
      <c r="D19" s="128">
        <f t="shared" si="4"/>
        <v>0</v>
      </c>
      <c r="E19" s="847"/>
      <c r="F19" s="846">
        <v>0</v>
      </c>
      <c r="G19" s="846">
        <v>0</v>
      </c>
      <c r="H19" s="846">
        <v>0</v>
      </c>
      <c r="I19" s="846">
        <v>0</v>
      </c>
      <c r="J19" s="846">
        <v>0</v>
      </c>
      <c r="K19" s="846">
        <v>0</v>
      </c>
      <c r="L19" s="846">
        <v>0</v>
      </c>
      <c r="M19" s="846">
        <v>0</v>
      </c>
      <c r="N19" s="846">
        <v>0</v>
      </c>
      <c r="O19" s="846">
        <v>0</v>
      </c>
      <c r="P19" s="846"/>
    </row>
    <row r="20" spans="1:16">
      <c r="A20" s="18" t="s">
        <v>6</v>
      </c>
      <c r="B20" s="607">
        <f>'Enrol Staff &amp; Exp'!H65</f>
        <v>0</v>
      </c>
      <c r="C20" s="607">
        <f t="shared" si="1"/>
        <v>0</v>
      </c>
      <c r="D20" s="128">
        <f t="shared" si="4"/>
        <v>0</v>
      </c>
      <c r="E20" s="847"/>
      <c r="F20" s="846">
        <v>0</v>
      </c>
      <c r="G20" s="846">
        <v>0</v>
      </c>
      <c r="H20" s="846">
        <v>0</v>
      </c>
      <c r="I20" s="846">
        <v>0</v>
      </c>
      <c r="J20" s="846">
        <v>0</v>
      </c>
      <c r="K20" s="846">
        <v>0</v>
      </c>
      <c r="L20" s="846">
        <v>0</v>
      </c>
      <c r="M20" s="846">
        <v>0</v>
      </c>
      <c r="N20" s="846">
        <v>0</v>
      </c>
      <c r="O20" s="846">
        <v>0</v>
      </c>
      <c r="P20" s="846"/>
    </row>
    <row r="21" spans="1:16">
      <c r="A21" s="18" t="s">
        <v>227</v>
      </c>
      <c r="B21" s="607">
        <f>'Enrol Staff &amp; Exp'!H66</f>
        <v>62010</v>
      </c>
      <c r="C21" s="607">
        <f t="shared" si="1"/>
        <v>0</v>
      </c>
      <c r="D21" s="128">
        <f t="shared" si="4"/>
        <v>62010</v>
      </c>
      <c r="E21" s="847"/>
      <c r="F21" s="846"/>
      <c r="G21" s="846"/>
      <c r="H21" s="846"/>
      <c r="I21" s="848"/>
      <c r="J21" s="846"/>
      <c r="K21" s="846"/>
      <c r="L21" s="846"/>
      <c r="M21" s="848"/>
      <c r="N21" s="846"/>
      <c r="O21" s="846"/>
      <c r="P21" s="846">
        <f t="shared" ref="P21:P22" si="5">B21</f>
        <v>62010</v>
      </c>
    </row>
    <row r="22" spans="1:16">
      <c r="A22" s="18" t="s">
        <v>543</v>
      </c>
      <c r="B22" s="607">
        <f>'Enrol Staff &amp; Exp'!H67</f>
        <v>147875</v>
      </c>
      <c r="C22" s="607">
        <f t="shared" si="1"/>
        <v>0</v>
      </c>
      <c r="D22" s="128">
        <f t="shared" si="4"/>
        <v>147875</v>
      </c>
      <c r="E22" s="847"/>
      <c r="F22" s="846"/>
      <c r="G22" s="846"/>
      <c r="H22" s="846"/>
      <c r="I22" s="848"/>
      <c r="J22" s="846"/>
      <c r="K22" s="846"/>
      <c r="L22" s="846"/>
      <c r="M22" s="848"/>
      <c r="N22" s="846"/>
      <c r="O22" s="846"/>
      <c r="P22" s="846">
        <f t="shared" si="5"/>
        <v>147875</v>
      </c>
    </row>
    <row r="23" spans="1:16">
      <c r="A23" s="18" t="s">
        <v>544</v>
      </c>
      <c r="B23" s="607">
        <f>'Enrol Staff &amp; Exp'!H68</f>
        <v>0</v>
      </c>
      <c r="C23" s="607">
        <f t="shared" si="1"/>
        <v>0</v>
      </c>
      <c r="D23" s="128">
        <f t="shared" si="4"/>
        <v>0</v>
      </c>
      <c r="E23" s="847"/>
      <c r="F23" s="846"/>
      <c r="G23" s="846"/>
      <c r="H23" s="846"/>
      <c r="I23" s="848"/>
      <c r="J23" s="846"/>
      <c r="K23" s="846"/>
      <c r="L23" s="846"/>
      <c r="M23" s="848"/>
      <c r="N23" s="846"/>
      <c r="O23" s="846"/>
      <c r="P23" s="846"/>
    </row>
    <row r="24" spans="1:16">
      <c r="A24" s="18" t="s">
        <v>257</v>
      </c>
      <c r="B24" s="607">
        <f>'Enrol Staff &amp; Exp'!H69</f>
        <v>0</v>
      </c>
      <c r="C24" s="607">
        <f t="shared" si="1"/>
        <v>0</v>
      </c>
      <c r="D24" s="128">
        <f t="shared" si="4"/>
        <v>0</v>
      </c>
      <c r="E24" s="847"/>
      <c r="F24" s="846"/>
      <c r="G24" s="846"/>
      <c r="H24" s="846"/>
      <c r="I24" s="848"/>
      <c r="J24" s="846"/>
      <c r="K24" s="846"/>
      <c r="L24" s="846"/>
      <c r="M24" s="848"/>
      <c r="N24" s="846"/>
      <c r="O24" s="846"/>
      <c r="P24" s="846"/>
    </row>
    <row r="25" spans="1:16">
      <c r="A25" s="18" t="s">
        <v>74</v>
      </c>
      <c r="B25" s="607">
        <f>'Enrol Staff &amp; Exp'!H70</f>
        <v>0</v>
      </c>
      <c r="C25" s="607">
        <f t="shared" si="1"/>
        <v>0</v>
      </c>
      <c r="D25" s="128">
        <f t="shared" si="4"/>
        <v>0</v>
      </c>
      <c r="E25" s="847"/>
      <c r="F25" s="846"/>
      <c r="G25" s="846"/>
      <c r="H25" s="846"/>
      <c r="I25" s="848"/>
      <c r="J25" s="846"/>
      <c r="K25" s="846"/>
      <c r="L25" s="846"/>
      <c r="M25" s="848"/>
      <c r="N25" s="846"/>
      <c r="O25" s="846"/>
      <c r="P25" s="846"/>
    </row>
    <row r="26" spans="1:16">
      <c r="A26" s="18" t="s">
        <v>364</v>
      </c>
      <c r="B26" s="607">
        <f>'Enrol Staff &amp; Exp'!H71</f>
        <v>0</v>
      </c>
      <c r="C26" s="607">
        <f t="shared" si="1"/>
        <v>0</v>
      </c>
      <c r="D26" s="128">
        <f t="shared" si="4"/>
        <v>0</v>
      </c>
      <c r="E26" s="847"/>
      <c r="F26" s="846">
        <v>0</v>
      </c>
      <c r="G26" s="846">
        <v>0</v>
      </c>
      <c r="H26" s="846">
        <v>0</v>
      </c>
      <c r="I26" s="846">
        <v>0</v>
      </c>
      <c r="J26" s="846">
        <v>0</v>
      </c>
      <c r="K26" s="846">
        <v>0</v>
      </c>
      <c r="L26" s="846">
        <v>0</v>
      </c>
      <c r="M26" s="846">
        <v>0</v>
      </c>
      <c r="N26" s="846">
        <v>0</v>
      </c>
      <c r="O26" s="846">
        <v>0</v>
      </c>
      <c r="P26" s="846"/>
    </row>
    <row r="27" spans="1:16">
      <c r="A27" s="18" t="s">
        <v>11</v>
      </c>
      <c r="B27" s="607">
        <f>'Enrol Staff &amp; Exp'!H72</f>
        <v>0</v>
      </c>
      <c r="C27" s="607">
        <f t="shared" si="1"/>
        <v>0</v>
      </c>
      <c r="D27" s="128">
        <f t="shared" si="4"/>
        <v>0</v>
      </c>
      <c r="E27" s="847"/>
      <c r="F27" s="846"/>
      <c r="G27" s="846"/>
      <c r="H27" s="846"/>
      <c r="I27" s="848"/>
      <c r="J27" s="846"/>
      <c r="K27" s="846"/>
      <c r="L27" s="846"/>
      <c r="M27" s="848"/>
      <c r="N27" s="846"/>
      <c r="O27" s="846"/>
      <c r="P27" s="846"/>
    </row>
    <row r="28" spans="1:16">
      <c r="A28" s="18" t="s">
        <v>552</v>
      </c>
      <c r="B28" s="496">
        <f>'Enrol Staff &amp; Exp'!H73</f>
        <v>0</v>
      </c>
      <c r="C28" s="496">
        <f t="shared" si="1"/>
        <v>0</v>
      </c>
      <c r="D28" s="128">
        <f t="shared" si="4"/>
        <v>0</v>
      </c>
      <c r="E28" s="847"/>
      <c r="F28" s="846">
        <v>0</v>
      </c>
      <c r="G28" s="846">
        <v>0</v>
      </c>
      <c r="H28" s="846"/>
      <c r="I28" s="848"/>
      <c r="J28" s="846"/>
      <c r="K28" s="846"/>
      <c r="L28" s="846"/>
      <c r="M28" s="848"/>
      <c r="N28" s="846"/>
      <c r="O28" s="846"/>
      <c r="P28" s="846"/>
    </row>
    <row r="29" spans="1:16">
      <c r="A29" s="18" t="s">
        <v>551</v>
      </c>
      <c r="B29" s="496">
        <f>+'Enrol Staff &amp; Exp'!H74</f>
        <v>0</v>
      </c>
      <c r="C29" s="496">
        <f t="shared" si="1"/>
        <v>0</v>
      </c>
      <c r="D29" s="128">
        <f t="shared" si="4"/>
        <v>0</v>
      </c>
      <c r="E29" s="849">
        <v>0</v>
      </c>
      <c r="F29" s="850"/>
      <c r="G29" s="850"/>
      <c r="H29" s="850"/>
      <c r="I29" s="850"/>
      <c r="J29" s="850"/>
      <c r="K29" s="850">
        <v>0</v>
      </c>
      <c r="L29" s="850"/>
      <c r="M29" s="850"/>
      <c r="N29" s="850"/>
      <c r="O29" s="850"/>
      <c r="P29" s="850"/>
    </row>
    <row r="30" spans="1:16" ht="15" thickBot="1">
      <c r="A30" s="20" t="s">
        <v>327</v>
      </c>
      <c r="B30" s="117">
        <f>+'Enrol Staff &amp; Exp'!H75</f>
        <v>2744856.7533998839</v>
      </c>
      <c r="C30" s="117">
        <f t="shared" si="1"/>
        <v>0</v>
      </c>
      <c r="D30" s="634">
        <f t="shared" ref="D30:P30" si="6">SUM(D14:D29)</f>
        <v>2744856.7533998839</v>
      </c>
      <c r="E30" s="117">
        <f t="shared" si="6"/>
        <v>193711.18778332366</v>
      </c>
      <c r="F30" s="117">
        <f t="shared" si="6"/>
        <v>193711.18778332366</v>
      </c>
      <c r="G30" s="117">
        <f t="shared" si="6"/>
        <v>193711.18778332366</v>
      </c>
      <c r="H30" s="117">
        <f t="shared" si="6"/>
        <v>193711.18778332366</v>
      </c>
      <c r="I30" s="117">
        <f t="shared" si="6"/>
        <v>193711.18778332366</v>
      </c>
      <c r="J30" s="117">
        <f t="shared" si="6"/>
        <v>193711.18778332366</v>
      </c>
      <c r="K30" s="117">
        <f t="shared" si="6"/>
        <v>193711.18778332366</v>
      </c>
      <c r="L30" s="117">
        <f t="shared" si="6"/>
        <v>193711.18778332366</v>
      </c>
      <c r="M30" s="117">
        <f t="shared" si="6"/>
        <v>193711.18778332366</v>
      </c>
      <c r="N30" s="117">
        <f t="shared" si="6"/>
        <v>193711.18778332366</v>
      </c>
      <c r="O30" s="117">
        <f t="shared" si="6"/>
        <v>193711.18778332366</v>
      </c>
      <c r="P30" s="117">
        <f t="shared" si="6"/>
        <v>614033.68778332369</v>
      </c>
    </row>
    <row r="31" spans="1:16" ht="15" thickTop="1">
      <c r="A31" s="20" t="s">
        <v>328</v>
      </c>
      <c r="B31" s="20"/>
      <c r="C31" s="806">
        <f>IF(ABS(C30)&gt;(0.0025*D30),"!*!*!",0)</f>
        <v>0</v>
      </c>
      <c r="D31" s="118"/>
      <c r="E31" s="118">
        <f>E30</f>
        <v>193711.18778332366</v>
      </c>
      <c r="F31" s="1416">
        <f t="shared" ref="F31:P31" si="7">E31+F30</f>
        <v>387422.37556664733</v>
      </c>
      <c r="G31" s="1416">
        <f t="shared" si="7"/>
        <v>581133.56334997097</v>
      </c>
      <c r="H31" s="1416">
        <f t="shared" si="7"/>
        <v>774844.75113329466</v>
      </c>
      <c r="I31" s="1416">
        <f t="shared" si="7"/>
        <v>968555.93891661835</v>
      </c>
      <c r="J31" s="1416">
        <f t="shared" si="7"/>
        <v>1162267.1266999419</v>
      </c>
      <c r="K31" s="1416">
        <f t="shared" si="7"/>
        <v>1355978.3144832656</v>
      </c>
      <c r="L31" s="1416">
        <f t="shared" si="7"/>
        <v>1549689.5022665893</v>
      </c>
      <c r="M31" s="1416">
        <f t="shared" si="7"/>
        <v>1743400.690049913</v>
      </c>
      <c r="N31" s="1416">
        <f t="shared" si="7"/>
        <v>1937111.8778332367</v>
      </c>
      <c r="O31" s="1416">
        <f t="shared" si="7"/>
        <v>2130823.0656165602</v>
      </c>
      <c r="P31" s="1416">
        <f t="shared" si="7"/>
        <v>2744856.7533998839</v>
      </c>
    </row>
    <row r="32" spans="1:16">
      <c r="A32" s="21" t="s">
        <v>367</v>
      </c>
      <c r="B32" s="21"/>
      <c r="C32" s="805"/>
      <c r="D32" s="119"/>
      <c r="E32" s="120">
        <f t="shared" ref="E32:P32" si="8">E31/$D30</f>
        <v>7.0572421509204675E-2</v>
      </c>
      <c r="F32" s="121">
        <f t="shared" si="8"/>
        <v>0.14114484301840935</v>
      </c>
      <c r="G32" s="121">
        <f t="shared" si="8"/>
        <v>0.211717264527614</v>
      </c>
      <c r="H32" s="121">
        <f t="shared" si="8"/>
        <v>0.2822896860368187</v>
      </c>
      <c r="I32" s="121">
        <f t="shared" si="8"/>
        <v>0.35286210754602337</v>
      </c>
      <c r="J32" s="121">
        <f t="shared" si="8"/>
        <v>0.42343452905522799</v>
      </c>
      <c r="K32" s="121">
        <f t="shared" si="8"/>
        <v>0.49400695056443267</v>
      </c>
      <c r="L32" s="121">
        <f t="shared" si="8"/>
        <v>0.5645793720736374</v>
      </c>
      <c r="M32" s="121">
        <f t="shared" si="8"/>
        <v>0.63515179358284202</v>
      </c>
      <c r="N32" s="121">
        <f t="shared" si="8"/>
        <v>0.70572421509204675</v>
      </c>
      <c r="O32" s="121">
        <f t="shared" si="8"/>
        <v>0.77629663660125137</v>
      </c>
      <c r="P32" s="121">
        <f t="shared" si="8"/>
        <v>1</v>
      </c>
    </row>
    <row r="33" spans="1:16">
      <c r="A33" s="17"/>
      <c r="B33" s="17"/>
      <c r="C33" s="17"/>
      <c r="D33" s="119"/>
      <c r="E33" s="322"/>
      <c r="F33" s="323"/>
      <c r="G33" s="323"/>
      <c r="H33" s="323"/>
      <c r="I33" s="324"/>
      <c r="J33" s="323"/>
      <c r="K33" s="323"/>
      <c r="L33" s="323"/>
      <c r="M33" s="324"/>
      <c r="N33" s="323"/>
      <c r="O33" s="323"/>
      <c r="P33" s="323"/>
    </row>
    <row r="34" spans="1:16" ht="14.25" customHeight="1">
      <c r="A34" s="325" t="s">
        <v>641</v>
      </c>
      <c r="B34" s="325"/>
      <c r="C34" s="325"/>
      <c r="D34" s="326"/>
      <c r="E34" s="327"/>
      <c r="F34" s="328"/>
      <c r="G34" s="328"/>
      <c r="H34" s="328"/>
      <c r="I34" s="328"/>
      <c r="J34" s="328"/>
      <c r="K34" s="328"/>
      <c r="L34" s="328"/>
      <c r="M34" s="328"/>
      <c r="N34" s="328"/>
      <c r="O34" s="328"/>
      <c r="P34" s="328"/>
    </row>
    <row r="35" spans="1:16">
      <c r="A35" s="17" t="s">
        <v>330</v>
      </c>
      <c r="B35" s="637">
        <f>'Enrol Staff &amp; Exp'!H421</f>
        <v>961500</v>
      </c>
      <c r="C35" s="606">
        <f t="shared" ref="C35:C54" si="9">+B35-D35</f>
        <v>0</v>
      </c>
      <c r="D35" s="114">
        <f t="shared" ref="D35:D54" si="10">SUM(E35:P35)</f>
        <v>961499.99999999977</v>
      </c>
      <c r="E35" s="845">
        <v>20000</v>
      </c>
      <c r="F35" s="845">
        <f>($B35-$E$35)/11</f>
        <v>85590.909090909088</v>
      </c>
      <c r="G35" s="845">
        <f t="shared" ref="G35:P35" si="11">($B35-$E$35)/11</f>
        <v>85590.909090909088</v>
      </c>
      <c r="H35" s="845">
        <f t="shared" si="11"/>
        <v>85590.909090909088</v>
      </c>
      <c r="I35" s="845">
        <f t="shared" si="11"/>
        <v>85590.909090909088</v>
      </c>
      <c r="J35" s="845">
        <f t="shared" si="11"/>
        <v>85590.909090909088</v>
      </c>
      <c r="K35" s="845">
        <f t="shared" si="11"/>
        <v>85590.909090909088</v>
      </c>
      <c r="L35" s="845">
        <f t="shared" si="11"/>
        <v>85590.909090909088</v>
      </c>
      <c r="M35" s="845">
        <f t="shared" si="11"/>
        <v>85590.909090909088</v>
      </c>
      <c r="N35" s="845">
        <f t="shared" si="11"/>
        <v>85590.909090909088</v>
      </c>
      <c r="O35" s="845">
        <f t="shared" si="11"/>
        <v>85590.909090909088</v>
      </c>
      <c r="P35" s="845">
        <f t="shared" si="11"/>
        <v>85590.909090909088</v>
      </c>
    </row>
    <row r="36" spans="1:16">
      <c r="A36" s="18" t="s">
        <v>331</v>
      </c>
      <c r="B36" s="607">
        <f>'Enrol Staff &amp; Exp'!H1343</f>
        <v>471034</v>
      </c>
      <c r="C36" s="607">
        <f t="shared" si="9"/>
        <v>0</v>
      </c>
      <c r="D36" s="128">
        <f t="shared" si="10"/>
        <v>471034.00000000006</v>
      </c>
      <c r="E36" s="845">
        <f>$B$36/$B$35*E35</f>
        <v>9797.8991159646393</v>
      </c>
      <c r="F36" s="845">
        <f>$B$36/$B$35*F35</f>
        <v>41930.554625821394</v>
      </c>
      <c r="G36" s="845">
        <f>$B$36/$B$35*G35</f>
        <v>41930.554625821394</v>
      </c>
      <c r="H36" s="845">
        <f t="shared" ref="H36:P36" si="12">$B$36/$B$35*H35</f>
        <v>41930.554625821394</v>
      </c>
      <c r="I36" s="845">
        <f t="shared" si="12"/>
        <v>41930.554625821394</v>
      </c>
      <c r="J36" s="845">
        <f t="shared" si="12"/>
        <v>41930.554625821394</v>
      </c>
      <c r="K36" s="845">
        <f t="shared" si="12"/>
        <v>41930.554625821394</v>
      </c>
      <c r="L36" s="845">
        <f t="shared" si="12"/>
        <v>41930.554625821394</v>
      </c>
      <c r="M36" s="845">
        <f t="shared" si="12"/>
        <v>41930.554625821394</v>
      </c>
      <c r="N36" s="845">
        <f t="shared" si="12"/>
        <v>41930.554625821394</v>
      </c>
      <c r="O36" s="845">
        <f t="shared" si="12"/>
        <v>41930.554625821394</v>
      </c>
      <c r="P36" s="845">
        <f t="shared" si="12"/>
        <v>41930.554625821394</v>
      </c>
    </row>
    <row r="37" spans="1:16">
      <c r="A37" s="18" t="s">
        <v>458</v>
      </c>
      <c r="B37" s="607">
        <f>+'Enrol Staff &amp; Exp'!H1368</f>
        <v>0</v>
      </c>
      <c r="C37" s="607">
        <f t="shared" si="9"/>
        <v>0</v>
      </c>
      <c r="D37" s="128">
        <f>SUM(E37:P37)</f>
        <v>0</v>
      </c>
      <c r="E37" s="845">
        <f t="shared" ref="E37:P54" si="13">$B37/12</f>
        <v>0</v>
      </c>
      <c r="F37" s="845">
        <f t="shared" si="13"/>
        <v>0</v>
      </c>
      <c r="G37" s="845">
        <f t="shared" si="13"/>
        <v>0</v>
      </c>
      <c r="H37" s="845">
        <f t="shared" si="13"/>
        <v>0</v>
      </c>
      <c r="I37" s="845">
        <f t="shared" si="13"/>
        <v>0</v>
      </c>
      <c r="J37" s="845">
        <f t="shared" si="13"/>
        <v>0</v>
      </c>
      <c r="K37" s="845">
        <f t="shared" si="13"/>
        <v>0</v>
      </c>
      <c r="L37" s="845">
        <f t="shared" si="13"/>
        <v>0</v>
      </c>
      <c r="M37" s="845">
        <f t="shared" si="13"/>
        <v>0</v>
      </c>
      <c r="N37" s="845">
        <f t="shared" si="13"/>
        <v>0</v>
      </c>
      <c r="O37" s="845">
        <f t="shared" si="13"/>
        <v>0</v>
      </c>
      <c r="P37" s="845">
        <f t="shared" si="13"/>
        <v>0</v>
      </c>
    </row>
    <row r="38" spans="1:16">
      <c r="A38" s="18" t="s">
        <v>459</v>
      </c>
      <c r="B38" s="607">
        <f>+'Enrol Staff &amp; Exp'!H1370</f>
        <v>0</v>
      </c>
      <c r="C38" s="607">
        <f t="shared" si="9"/>
        <v>0</v>
      </c>
      <c r="D38" s="128">
        <f>SUM(E38:P38)</f>
        <v>0</v>
      </c>
      <c r="E38" s="845">
        <f t="shared" si="13"/>
        <v>0</v>
      </c>
      <c r="F38" s="845">
        <f t="shared" si="13"/>
        <v>0</v>
      </c>
      <c r="G38" s="845">
        <f t="shared" si="13"/>
        <v>0</v>
      </c>
      <c r="H38" s="845">
        <f t="shared" si="13"/>
        <v>0</v>
      </c>
      <c r="I38" s="845">
        <f t="shared" si="13"/>
        <v>0</v>
      </c>
      <c r="J38" s="845">
        <f t="shared" si="13"/>
        <v>0</v>
      </c>
      <c r="K38" s="845">
        <f t="shared" si="13"/>
        <v>0</v>
      </c>
      <c r="L38" s="845">
        <f t="shared" si="13"/>
        <v>0</v>
      </c>
      <c r="M38" s="845">
        <f t="shared" si="13"/>
        <v>0</v>
      </c>
      <c r="N38" s="845">
        <f t="shared" si="13"/>
        <v>0</v>
      </c>
      <c r="O38" s="845">
        <f t="shared" si="13"/>
        <v>0</v>
      </c>
      <c r="P38" s="845">
        <f t="shared" si="13"/>
        <v>0</v>
      </c>
    </row>
    <row r="39" spans="1:16">
      <c r="A39" s="18" t="s">
        <v>135</v>
      </c>
      <c r="B39" s="607">
        <f>+'Enrol Staff &amp; Exp'!H1372</f>
        <v>3150</v>
      </c>
      <c r="C39" s="607">
        <f t="shared" si="9"/>
        <v>0</v>
      </c>
      <c r="D39" s="128">
        <f>SUM(E39:P39)</f>
        <v>3150</v>
      </c>
      <c r="E39" s="845">
        <f t="shared" si="13"/>
        <v>262.5</v>
      </c>
      <c r="F39" s="845">
        <f t="shared" si="13"/>
        <v>262.5</v>
      </c>
      <c r="G39" s="845">
        <f t="shared" si="13"/>
        <v>262.5</v>
      </c>
      <c r="H39" s="845">
        <f t="shared" si="13"/>
        <v>262.5</v>
      </c>
      <c r="I39" s="845">
        <f t="shared" si="13"/>
        <v>262.5</v>
      </c>
      <c r="J39" s="845">
        <f t="shared" si="13"/>
        <v>262.5</v>
      </c>
      <c r="K39" s="845">
        <f t="shared" si="13"/>
        <v>262.5</v>
      </c>
      <c r="L39" s="845">
        <f t="shared" si="13"/>
        <v>262.5</v>
      </c>
      <c r="M39" s="845">
        <f t="shared" si="13"/>
        <v>262.5</v>
      </c>
      <c r="N39" s="845">
        <f t="shared" si="13"/>
        <v>262.5</v>
      </c>
      <c r="O39" s="845">
        <f t="shared" si="13"/>
        <v>262.5</v>
      </c>
      <c r="P39" s="845">
        <f t="shared" si="13"/>
        <v>262.5</v>
      </c>
    </row>
    <row r="40" spans="1:16">
      <c r="A40" s="18" t="s">
        <v>525</v>
      </c>
      <c r="B40" s="607">
        <f>'Enrol Staff &amp; Exp'!H1418</f>
        <v>458649.33766999422</v>
      </c>
      <c r="C40" s="607">
        <f t="shared" si="9"/>
        <v>0</v>
      </c>
      <c r="D40" s="128">
        <f>SUM(E40:P40)</f>
        <v>458649.33766999422</v>
      </c>
      <c r="E40" s="845">
        <f t="shared" si="13"/>
        <v>38220.778139166185</v>
      </c>
      <c r="F40" s="845">
        <f t="shared" si="13"/>
        <v>38220.778139166185</v>
      </c>
      <c r="G40" s="845">
        <f t="shared" si="13"/>
        <v>38220.778139166185</v>
      </c>
      <c r="H40" s="845">
        <f t="shared" si="13"/>
        <v>38220.778139166185</v>
      </c>
      <c r="I40" s="845">
        <f t="shared" si="13"/>
        <v>38220.778139166185</v>
      </c>
      <c r="J40" s="845">
        <f t="shared" si="13"/>
        <v>38220.778139166185</v>
      </c>
      <c r="K40" s="845">
        <f t="shared" si="13"/>
        <v>38220.778139166185</v>
      </c>
      <c r="L40" s="845">
        <f t="shared" si="13"/>
        <v>38220.778139166185</v>
      </c>
      <c r="M40" s="845">
        <f t="shared" si="13"/>
        <v>38220.778139166185</v>
      </c>
      <c r="N40" s="845">
        <f t="shared" si="13"/>
        <v>38220.778139166185</v>
      </c>
      <c r="O40" s="845">
        <f t="shared" si="13"/>
        <v>38220.778139166185</v>
      </c>
      <c r="P40" s="845">
        <f t="shared" si="13"/>
        <v>38220.778139166185</v>
      </c>
    </row>
    <row r="41" spans="1:16">
      <c r="A41" s="18" t="s">
        <v>332</v>
      </c>
      <c r="B41" s="607">
        <f>+'Enrol Staff &amp; Exp'!H1426</f>
        <v>15000</v>
      </c>
      <c r="C41" s="607">
        <f t="shared" si="9"/>
        <v>0</v>
      </c>
      <c r="D41" s="128">
        <f t="shared" si="10"/>
        <v>15000</v>
      </c>
      <c r="E41" s="845">
        <f t="shared" si="13"/>
        <v>1250</v>
      </c>
      <c r="F41" s="845">
        <f t="shared" si="13"/>
        <v>1250</v>
      </c>
      <c r="G41" s="845">
        <f t="shared" si="13"/>
        <v>1250</v>
      </c>
      <c r="H41" s="845">
        <f t="shared" si="13"/>
        <v>1250</v>
      </c>
      <c r="I41" s="845">
        <f t="shared" si="13"/>
        <v>1250</v>
      </c>
      <c r="J41" s="845">
        <f t="shared" si="13"/>
        <v>1250</v>
      </c>
      <c r="K41" s="845">
        <f t="shared" si="13"/>
        <v>1250</v>
      </c>
      <c r="L41" s="845">
        <f t="shared" si="13"/>
        <v>1250</v>
      </c>
      <c r="M41" s="845">
        <f t="shared" si="13"/>
        <v>1250</v>
      </c>
      <c r="N41" s="845">
        <f t="shared" si="13"/>
        <v>1250</v>
      </c>
      <c r="O41" s="845">
        <f t="shared" si="13"/>
        <v>1250</v>
      </c>
      <c r="P41" s="845">
        <f t="shared" si="13"/>
        <v>1250</v>
      </c>
    </row>
    <row r="42" spans="1:16">
      <c r="A42" s="18" t="s">
        <v>596</v>
      </c>
      <c r="B42" s="607">
        <f>+'Enrol Staff &amp; Exp'!H1435</f>
        <v>0</v>
      </c>
      <c r="C42" s="607">
        <f t="shared" si="9"/>
        <v>0</v>
      </c>
      <c r="D42" s="128">
        <f t="shared" si="10"/>
        <v>0</v>
      </c>
      <c r="E42" s="845">
        <f t="shared" si="13"/>
        <v>0</v>
      </c>
      <c r="F42" s="845">
        <f t="shared" si="13"/>
        <v>0</v>
      </c>
      <c r="G42" s="845">
        <f t="shared" si="13"/>
        <v>0</v>
      </c>
      <c r="H42" s="845">
        <f t="shared" si="13"/>
        <v>0</v>
      </c>
      <c r="I42" s="845">
        <f t="shared" si="13"/>
        <v>0</v>
      </c>
      <c r="J42" s="845">
        <f t="shared" si="13"/>
        <v>0</v>
      </c>
      <c r="K42" s="845">
        <f t="shared" si="13"/>
        <v>0</v>
      </c>
      <c r="L42" s="845">
        <f t="shared" si="13"/>
        <v>0</v>
      </c>
      <c r="M42" s="845">
        <f t="shared" si="13"/>
        <v>0</v>
      </c>
      <c r="N42" s="845">
        <f t="shared" si="13"/>
        <v>0</v>
      </c>
      <c r="O42" s="845">
        <f t="shared" si="13"/>
        <v>0</v>
      </c>
      <c r="P42" s="845">
        <f t="shared" si="13"/>
        <v>0</v>
      </c>
    </row>
    <row r="43" spans="1:16">
      <c r="A43" s="18" t="s">
        <v>128</v>
      </c>
      <c r="B43" s="607">
        <f>'Enrol Staff &amp; Exp'!H1464</f>
        <v>40000</v>
      </c>
      <c r="C43" s="607">
        <f t="shared" si="9"/>
        <v>0</v>
      </c>
      <c r="D43" s="128">
        <f t="shared" si="10"/>
        <v>40000.000000000007</v>
      </c>
      <c r="E43" s="845">
        <v>0</v>
      </c>
      <c r="F43" s="845">
        <f>$B43/11</f>
        <v>3636.3636363636365</v>
      </c>
      <c r="G43" s="845">
        <f t="shared" ref="G43:P43" si="14">$B43/11</f>
        <v>3636.3636363636365</v>
      </c>
      <c r="H43" s="845">
        <f t="shared" si="14"/>
        <v>3636.3636363636365</v>
      </c>
      <c r="I43" s="845">
        <f t="shared" si="14"/>
        <v>3636.3636363636365</v>
      </c>
      <c r="J43" s="845">
        <f t="shared" si="14"/>
        <v>3636.3636363636365</v>
      </c>
      <c r="K43" s="845">
        <f t="shared" si="14"/>
        <v>3636.3636363636365</v>
      </c>
      <c r="L43" s="845">
        <f t="shared" si="14"/>
        <v>3636.3636363636365</v>
      </c>
      <c r="M43" s="845">
        <f t="shared" si="14"/>
        <v>3636.3636363636365</v>
      </c>
      <c r="N43" s="845">
        <f t="shared" si="14"/>
        <v>3636.3636363636365</v>
      </c>
      <c r="O43" s="845">
        <f t="shared" si="14"/>
        <v>3636.3636363636365</v>
      </c>
      <c r="P43" s="845">
        <f t="shared" si="14"/>
        <v>3636.3636363636365</v>
      </c>
    </row>
    <row r="44" spans="1:16">
      <c r="A44" s="465" t="s">
        <v>526</v>
      </c>
      <c r="B44" s="607">
        <f>'Enrol Staff &amp; Exp'!H1581</f>
        <v>0</v>
      </c>
      <c r="C44" s="607">
        <f t="shared" si="9"/>
        <v>0</v>
      </c>
      <c r="D44" s="128">
        <f t="shared" si="10"/>
        <v>0</v>
      </c>
      <c r="E44" s="845">
        <f t="shared" si="13"/>
        <v>0</v>
      </c>
      <c r="F44" s="845">
        <f t="shared" si="13"/>
        <v>0</v>
      </c>
      <c r="G44" s="845">
        <f t="shared" si="13"/>
        <v>0</v>
      </c>
      <c r="H44" s="845">
        <f t="shared" si="13"/>
        <v>0</v>
      </c>
      <c r="I44" s="845">
        <f t="shared" si="13"/>
        <v>0</v>
      </c>
      <c r="J44" s="845">
        <f t="shared" si="13"/>
        <v>0</v>
      </c>
      <c r="K44" s="845">
        <f t="shared" si="13"/>
        <v>0</v>
      </c>
      <c r="L44" s="845">
        <f t="shared" si="13"/>
        <v>0</v>
      </c>
      <c r="M44" s="845">
        <f t="shared" si="13"/>
        <v>0</v>
      </c>
      <c r="N44" s="845">
        <f t="shared" si="13"/>
        <v>0</v>
      </c>
      <c r="O44" s="845">
        <f t="shared" si="13"/>
        <v>0</v>
      </c>
      <c r="P44" s="845">
        <f t="shared" si="13"/>
        <v>0</v>
      </c>
    </row>
    <row r="45" spans="1:16">
      <c r="A45" s="150" t="s">
        <v>528</v>
      </c>
      <c r="B45" s="607">
        <f>Marketing!I44</f>
        <v>6000</v>
      </c>
      <c r="C45" s="607">
        <f t="shared" si="9"/>
        <v>0</v>
      </c>
      <c r="D45" s="128">
        <f t="shared" si="10"/>
        <v>6000</v>
      </c>
      <c r="E45" s="845">
        <f>$B45/2</f>
        <v>3000</v>
      </c>
      <c r="F45" s="845">
        <f>$B45/2</f>
        <v>3000</v>
      </c>
      <c r="G45" s="845">
        <v>0</v>
      </c>
      <c r="H45" s="845">
        <v>0</v>
      </c>
      <c r="I45" s="845">
        <v>0</v>
      </c>
      <c r="J45" s="845">
        <v>0</v>
      </c>
      <c r="K45" s="845">
        <v>0</v>
      </c>
      <c r="L45" s="845">
        <v>0</v>
      </c>
      <c r="M45" s="845">
        <v>0</v>
      </c>
      <c r="N45" s="845">
        <v>0</v>
      </c>
      <c r="O45" s="845">
        <v>0</v>
      </c>
      <c r="P45" s="845">
        <v>0</v>
      </c>
    </row>
    <row r="46" spans="1:16">
      <c r="A46" s="18" t="s">
        <v>527</v>
      </c>
      <c r="B46" s="607">
        <f>Facilities!H74</f>
        <v>385400.4</v>
      </c>
      <c r="C46" s="607">
        <f t="shared" si="9"/>
        <v>0</v>
      </c>
      <c r="D46" s="128">
        <f t="shared" si="10"/>
        <v>385400.40000000008</v>
      </c>
      <c r="E46" s="845">
        <v>0</v>
      </c>
      <c r="F46" s="845">
        <f>$B46/11</f>
        <v>35036.400000000001</v>
      </c>
      <c r="G46" s="845">
        <f t="shared" ref="G46:P46" si="15">$B46/11</f>
        <v>35036.400000000001</v>
      </c>
      <c r="H46" s="845">
        <f t="shared" si="15"/>
        <v>35036.400000000001</v>
      </c>
      <c r="I46" s="845">
        <f t="shared" si="15"/>
        <v>35036.400000000001</v>
      </c>
      <c r="J46" s="845">
        <f t="shared" si="15"/>
        <v>35036.400000000001</v>
      </c>
      <c r="K46" s="845">
        <f t="shared" si="15"/>
        <v>35036.400000000001</v>
      </c>
      <c r="L46" s="845">
        <f t="shared" si="15"/>
        <v>35036.400000000001</v>
      </c>
      <c r="M46" s="845">
        <f t="shared" si="15"/>
        <v>35036.400000000001</v>
      </c>
      <c r="N46" s="845">
        <f t="shared" si="15"/>
        <v>35036.400000000001</v>
      </c>
      <c r="O46" s="845">
        <f t="shared" si="15"/>
        <v>35036.400000000001</v>
      </c>
      <c r="P46" s="845">
        <f t="shared" si="15"/>
        <v>35036.400000000001</v>
      </c>
    </row>
    <row r="47" spans="1:16">
      <c r="A47" s="18" t="s">
        <v>15</v>
      </c>
      <c r="B47" s="607">
        <f>Facilities!H75</f>
        <v>25026</v>
      </c>
      <c r="C47" s="607">
        <f t="shared" si="9"/>
        <v>0</v>
      </c>
      <c r="D47" s="128">
        <f t="shared" si="10"/>
        <v>25026</v>
      </c>
      <c r="E47" s="845">
        <f t="shared" si="13"/>
        <v>2085.5</v>
      </c>
      <c r="F47" s="845">
        <f t="shared" si="13"/>
        <v>2085.5</v>
      </c>
      <c r="G47" s="845">
        <f t="shared" si="13"/>
        <v>2085.5</v>
      </c>
      <c r="H47" s="845">
        <f t="shared" si="13"/>
        <v>2085.5</v>
      </c>
      <c r="I47" s="845">
        <f t="shared" si="13"/>
        <v>2085.5</v>
      </c>
      <c r="J47" s="845">
        <f t="shared" si="13"/>
        <v>2085.5</v>
      </c>
      <c r="K47" s="845">
        <f t="shared" si="13"/>
        <v>2085.5</v>
      </c>
      <c r="L47" s="845">
        <f t="shared" si="13"/>
        <v>2085.5</v>
      </c>
      <c r="M47" s="845">
        <f t="shared" si="13"/>
        <v>2085.5</v>
      </c>
      <c r="N47" s="845">
        <f t="shared" si="13"/>
        <v>2085.5</v>
      </c>
      <c r="O47" s="845">
        <f t="shared" si="13"/>
        <v>2085.5</v>
      </c>
      <c r="P47" s="845">
        <f t="shared" si="13"/>
        <v>2085.5</v>
      </c>
    </row>
    <row r="48" spans="1:16">
      <c r="A48" s="18" t="s">
        <v>254</v>
      </c>
      <c r="B48" s="607">
        <f>Facilities!H76</f>
        <v>50052</v>
      </c>
      <c r="C48" s="607">
        <f t="shared" si="9"/>
        <v>0</v>
      </c>
      <c r="D48" s="128">
        <f t="shared" si="10"/>
        <v>50052</v>
      </c>
      <c r="E48" s="845">
        <f t="shared" si="13"/>
        <v>4171</v>
      </c>
      <c r="F48" s="845">
        <f t="shared" si="13"/>
        <v>4171</v>
      </c>
      <c r="G48" s="845">
        <f t="shared" si="13"/>
        <v>4171</v>
      </c>
      <c r="H48" s="845">
        <f t="shared" si="13"/>
        <v>4171</v>
      </c>
      <c r="I48" s="845">
        <f t="shared" si="13"/>
        <v>4171</v>
      </c>
      <c r="J48" s="845">
        <f t="shared" si="13"/>
        <v>4171</v>
      </c>
      <c r="K48" s="845">
        <f t="shared" si="13"/>
        <v>4171</v>
      </c>
      <c r="L48" s="845">
        <f t="shared" si="13"/>
        <v>4171</v>
      </c>
      <c r="M48" s="845">
        <f t="shared" si="13"/>
        <v>4171</v>
      </c>
      <c r="N48" s="845">
        <f t="shared" si="13"/>
        <v>4171</v>
      </c>
      <c r="O48" s="845">
        <f t="shared" si="13"/>
        <v>4171</v>
      </c>
      <c r="P48" s="845">
        <f t="shared" si="13"/>
        <v>4171</v>
      </c>
    </row>
    <row r="49" spans="1:16">
      <c r="A49" s="465" t="s">
        <v>764</v>
      </c>
      <c r="B49" s="607">
        <f>Facilities!H77</f>
        <v>0</v>
      </c>
      <c r="C49" s="607">
        <f t="shared" si="9"/>
        <v>0</v>
      </c>
      <c r="D49" s="128">
        <f t="shared" si="10"/>
        <v>0</v>
      </c>
      <c r="E49" s="845">
        <f t="shared" si="13"/>
        <v>0</v>
      </c>
      <c r="F49" s="845">
        <f t="shared" si="13"/>
        <v>0</v>
      </c>
      <c r="G49" s="845">
        <f t="shared" si="13"/>
        <v>0</v>
      </c>
      <c r="H49" s="845">
        <f t="shared" si="13"/>
        <v>0</v>
      </c>
      <c r="I49" s="845">
        <f t="shared" si="13"/>
        <v>0</v>
      </c>
      <c r="J49" s="845">
        <f t="shared" si="13"/>
        <v>0</v>
      </c>
      <c r="K49" s="845">
        <f t="shared" si="13"/>
        <v>0</v>
      </c>
      <c r="L49" s="845">
        <f t="shared" si="13"/>
        <v>0</v>
      </c>
      <c r="M49" s="845">
        <f t="shared" si="13"/>
        <v>0</v>
      </c>
      <c r="N49" s="845">
        <f t="shared" si="13"/>
        <v>0</v>
      </c>
      <c r="O49" s="845">
        <f t="shared" si="13"/>
        <v>0</v>
      </c>
      <c r="P49" s="845">
        <f t="shared" si="13"/>
        <v>0</v>
      </c>
    </row>
    <row r="50" spans="1:16">
      <c r="A50" s="465" t="s">
        <v>765</v>
      </c>
      <c r="B50" s="607">
        <f>Facilities!H78</f>
        <v>0</v>
      </c>
      <c r="C50" s="607">
        <f t="shared" si="9"/>
        <v>0</v>
      </c>
      <c r="D50" s="128">
        <f t="shared" si="10"/>
        <v>0</v>
      </c>
      <c r="E50" s="845">
        <f t="shared" si="13"/>
        <v>0</v>
      </c>
      <c r="F50" s="845">
        <f t="shared" si="13"/>
        <v>0</v>
      </c>
      <c r="G50" s="845">
        <f t="shared" si="13"/>
        <v>0</v>
      </c>
      <c r="H50" s="845">
        <f t="shared" si="13"/>
        <v>0</v>
      </c>
      <c r="I50" s="845">
        <f t="shared" si="13"/>
        <v>0</v>
      </c>
      <c r="J50" s="845">
        <f t="shared" si="13"/>
        <v>0</v>
      </c>
      <c r="K50" s="845">
        <f t="shared" si="13"/>
        <v>0</v>
      </c>
      <c r="L50" s="845">
        <f t="shared" si="13"/>
        <v>0</v>
      </c>
      <c r="M50" s="845">
        <f t="shared" si="13"/>
        <v>0</v>
      </c>
      <c r="N50" s="845">
        <f t="shared" si="13"/>
        <v>0</v>
      </c>
      <c r="O50" s="845">
        <f t="shared" si="13"/>
        <v>0</v>
      </c>
      <c r="P50" s="845">
        <f t="shared" si="13"/>
        <v>0</v>
      </c>
    </row>
    <row r="51" spans="1:16">
      <c r="A51" s="465" t="s">
        <v>642</v>
      </c>
      <c r="B51" s="607">
        <f>Facilities!H79</f>
        <v>0</v>
      </c>
      <c r="C51" s="607"/>
      <c r="D51" s="128">
        <f>SUM(E51:P51)</f>
        <v>0</v>
      </c>
      <c r="E51" s="845">
        <f t="shared" si="13"/>
        <v>0</v>
      </c>
      <c r="F51" s="845">
        <f t="shared" si="13"/>
        <v>0</v>
      </c>
      <c r="G51" s="845">
        <f t="shared" si="13"/>
        <v>0</v>
      </c>
      <c r="H51" s="845">
        <f t="shared" si="13"/>
        <v>0</v>
      </c>
      <c r="I51" s="845">
        <f t="shared" si="13"/>
        <v>0</v>
      </c>
      <c r="J51" s="845">
        <f t="shared" si="13"/>
        <v>0</v>
      </c>
      <c r="K51" s="845">
        <f t="shared" si="13"/>
        <v>0</v>
      </c>
      <c r="L51" s="845">
        <f t="shared" si="13"/>
        <v>0</v>
      </c>
      <c r="M51" s="845">
        <f t="shared" si="13"/>
        <v>0</v>
      </c>
      <c r="N51" s="845">
        <f t="shared" si="13"/>
        <v>0</v>
      </c>
      <c r="O51" s="845">
        <f t="shared" si="13"/>
        <v>0</v>
      </c>
      <c r="P51" s="845">
        <f t="shared" si="13"/>
        <v>0</v>
      </c>
    </row>
    <row r="52" spans="1:16">
      <c r="A52" s="465" t="s">
        <v>643</v>
      </c>
      <c r="B52" s="607">
        <f>Facilities!H80</f>
        <v>100000</v>
      </c>
      <c r="C52" s="607"/>
      <c r="D52" s="128">
        <f>SUM(E52:P52)</f>
        <v>100000</v>
      </c>
      <c r="E52" s="845">
        <f>$B52</f>
        <v>100000</v>
      </c>
      <c r="F52" s="845">
        <v>0</v>
      </c>
      <c r="G52" s="845">
        <v>0</v>
      </c>
      <c r="H52" s="845">
        <v>0</v>
      </c>
      <c r="I52" s="845">
        <v>0</v>
      </c>
      <c r="J52" s="845">
        <v>0</v>
      </c>
      <c r="K52" s="845">
        <v>0</v>
      </c>
      <c r="L52" s="845">
        <v>0</v>
      </c>
      <c r="M52" s="845">
        <v>0</v>
      </c>
      <c r="N52" s="845">
        <v>0</v>
      </c>
      <c r="O52" s="845">
        <v>0</v>
      </c>
      <c r="P52" s="845">
        <v>0</v>
      </c>
    </row>
    <row r="53" spans="1:16">
      <c r="A53" s="465" t="s">
        <v>536</v>
      </c>
      <c r="B53" s="607">
        <f>+'FFE&amp;T'!H54</f>
        <v>135575</v>
      </c>
      <c r="C53" s="607">
        <f t="shared" si="9"/>
        <v>0</v>
      </c>
      <c r="D53" s="128">
        <f t="shared" si="10"/>
        <v>135575</v>
      </c>
      <c r="E53" s="845">
        <f>$B53/3</f>
        <v>45191.666666666664</v>
      </c>
      <c r="F53" s="845">
        <f t="shared" ref="F53:G53" si="16">$B53/3</f>
        <v>45191.666666666664</v>
      </c>
      <c r="G53" s="845">
        <f t="shared" si="16"/>
        <v>45191.666666666664</v>
      </c>
      <c r="H53" s="845">
        <v>0</v>
      </c>
      <c r="I53" s="845">
        <v>0</v>
      </c>
      <c r="J53" s="845">
        <v>0</v>
      </c>
      <c r="K53" s="845">
        <v>0</v>
      </c>
      <c r="L53" s="845">
        <v>0</v>
      </c>
      <c r="M53" s="845">
        <v>0</v>
      </c>
      <c r="N53" s="845">
        <v>0</v>
      </c>
      <c r="O53" s="845">
        <v>0</v>
      </c>
      <c r="P53" s="845">
        <v>0</v>
      </c>
    </row>
    <row r="54" spans="1:16">
      <c r="A54" s="465" t="s">
        <v>530</v>
      </c>
      <c r="B54" s="607">
        <f>+Ins!L59</f>
        <v>28250</v>
      </c>
      <c r="C54" s="607">
        <f t="shared" si="9"/>
        <v>0</v>
      </c>
      <c r="D54" s="128">
        <f t="shared" si="10"/>
        <v>28250.000000000004</v>
      </c>
      <c r="E54" s="845">
        <f t="shared" si="13"/>
        <v>2354.1666666666665</v>
      </c>
      <c r="F54" s="845">
        <f t="shared" si="13"/>
        <v>2354.1666666666665</v>
      </c>
      <c r="G54" s="845">
        <f t="shared" si="13"/>
        <v>2354.1666666666665</v>
      </c>
      <c r="H54" s="845">
        <f t="shared" si="13"/>
        <v>2354.1666666666665</v>
      </c>
      <c r="I54" s="845">
        <f t="shared" si="13"/>
        <v>2354.1666666666665</v>
      </c>
      <c r="J54" s="845">
        <f t="shared" si="13"/>
        <v>2354.1666666666665</v>
      </c>
      <c r="K54" s="845">
        <f t="shared" si="13"/>
        <v>2354.1666666666665</v>
      </c>
      <c r="L54" s="845">
        <f t="shared" si="13"/>
        <v>2354.1666666666665</v>
      </c>
      <c r="M54" s="845">
        <f t="shared" si="13"/>
        <v>2354.1666666666665</v>
      </c>
      <c r="N54" s="845">
        <f t="shared" si="13"/>
        <v>2354.1666666666665</v>
      </c>
      <c r="O54" s="845">
        <f t="shared" si="13"/>
        <v>2354.1666666666665</v>
      </c>
      <c r="P54" s="845">
        <f t="shared" si="13"/>
        <v>2354.1666666666665</v>
      </c>
    </row>
    <row r="55" spans="1:16" ht="15" thickBot="1">
      <c r="A55" s="20" t="s">
        <v>346</v>
      </c>
      <c r="B55" s="638">
        <f>SUM(B35:B54)</f>
        <v>2679636.7376699941</v>
      </c>
      <c r="C55" s="638">
        <f>SUM(C35:C54)</f>
        <v>0</v>
      </c>
      <c r="D55" s="122">
        <f t="shared" ref="D55:P55" si="17">SUM(D35:D54)</f>
        <v>2679636.7376699941</v>
      </c>
      <c r="E55" s="123">
        <f t="shared" si="17"/>
        <v>226333.51058846415</v>
      </c>
      <c r="F55" s="123">
        <f t="shared" si="17"/>
        <v>262729.83882559364</v>
      </c>
      <c r="G55" s="123">
        <f t="shared" si="17"/>
        <v>259729.83882559362</v>
      </c>
      <c r="H55" s="123">
        <f t="shared" si="17"/>
        <v>214538.17215892696</v>
      </c>
      <c r="I55" s="123">
        <f t="shared" si="17"/>
        <v>214538.17215892696</v>
      </c>
      <c r="J55" s="123">
        <f t="shared" si="17"/>
        <v>214538.17215892696</v>
      </c>
      <c r="K55" s="123">
        <f t="shared" si="17"/>
        <v>214538.17215892696</v>
      </c>
      <c r="L55" s="123">
        <f t="shared" si="17"/>
        <v>214538.17215892696</v>
      </c>
      <c r="M55" s="123">
        <f t="shared" si="17"/>
        <v>214538.17215892696</v>
      </c>
      <c r="N55" s="123">
        <f t="shared" si="17"/>
        <v>214538.17215892696</v>
      </c>
      <c r="O55" s="123">
        <f t="shared" si="17"/>
        <v>214538.17215892696</v>
      </c>
      <c r="P55" s="123">
        <f t="shared" si="17"/>
        <v>214538.17215892696</v>
      </c>
    </row>
    <row r="56" spans="1:16" ht="16" thickTop="1" thickBot="1">
      <c r="A56" s="471" t="s">
        <v>534</v>
      </c>
      <c r="B56" s="179"/>
      <c r="C56" s="806">
        <f>IF(ABS(C55)&gt;(0.0025*D55),"!*!*!",0)</f>
        <v>0</v>
      </c>
      <c r="D56" s="199">
        <f>SUM(E56:P56)</f>
        <v>65220.015729890089</v>
      </c>
      <c r="E56" s="199">
        <f t="shared" ref="E56:P56" si="18">E30-E55</f>
        <v>-32622.322805140488</v>
      </c>
      <c r="F56" s="199">
        <f t="shared" si="18"/>
        <v>-69018.651042269979</v>
      </c>
      <c r="G56" s="199">
        <f t="shared" si="18"/>
        <v>-66018.65104226995</v>
      </c>
      <c r="H56" s="199">
        <f t="shared" si="18"/>
        <v>-20826.984375603293</v>
      </c>
      <c r="I56" s="199">
        <f t="shared" si="18"/>
        <v>-20826.984375603293</v>
      </c>
      <c r="J56" s="199">
        <f t="shared" si="18"/>
        <v>-20826.984375603293</v>
      </c>
      <c r="K56" s="199">
        <f t="shared" si="18"/>
        <v>-20826.984375603293</v>
      </c>
      <c r="L56" s="199">
        <f t="shared" si="18"/>
        <v>-20826.984375603293</v>
      </c>
      <c r="M56" s="199">
        <f t="shared" si="18"/>
        <v>-20826.984375603293</v>
      </c>
      <c r="N56" s="199">
        <f t="shared" si="18"/>
        <v>-20826.984375603293</v>
      </c>
      <c r="O56" s="199">
        <f t="shared" si="18"/>
        <v>-20826.984375603293</v>
      </c>
      <c r="P56" s="199">
        <f t="shared" si="18"/>
        <v>399495.51562439674</v>
      </c>
    </row>
    <row r="57" spans="1:16" ht="15" thickTop="1">
      <c r="A57" s="20" t="s">
        <v>333</v>
      </c>
      <c r="B57" s="20"/>
      <c r="C57" s="20"/>
      <c r="D57" s="124"/>
      <c r="E57" s="1415">
        <f>E55</f>
        <v>226333.51058846415</v>
      </c>
      <c r="F57" s="1415">
        <f t="shared" ref="F57:P57" si="19">E57+F55</f>
        <v>489063.3494140578</v>
      </c>
      <c r="G57" s="1415">
        <f t="shared" si="19"/>
        <v>748793.18823965138</v>
      </c>
      <c r="H57" s="1415">
        <f t="shared" si="19"/>
        <v>963331.36039857834</v>
      </c>
      <c r="I57" s="1415">
        <f t="shared" si="19"/>
        <v>1177869.5325575052</v>
      </c>
      <c r="J57" s="1415">
        <f t="shared" si="19"/>
        <v>1392407.7047164321</v>
      </c>
      <c r="K57" s="1415">
        <f t="shared" si="19"/>
        <v>1606945.8768753591</v>
      </c>
      <c r="L57" s="1415">
        <f t="shared" si="19"/>
        <v>1821484.0490342861</v>
      </c>
      <c r="M57" s="1415">
        <f t="shared" si="19"/>
        <v>2036022.221193213</v>
      </c>
      <c r="N57" s="1415">
        <f t="shared" si="19"/>
        <v>2250560.3933521397</v>
      </c>
      <c r="O57" s="1415">
        <f t="shared" si="19"/>
        <v>2465098.5655110665</v>
      </c>
      <c r="P57" s="1415">
        <f t="shared" si="19"/>
        <v>2679636.7376699932</v>
      </c>
    </row>
    <row r="58" spans="1:16">
      <c r="A58" s="21" t="s">
        <v>368</v>
      </c>
      <c r="B58" s="21"/>
      <c r="C58" s="21"/>
      <c r="D58" s="125"/>
      <c r="E58" s="120">
        <f t="shared" ref="E58:P58" si="20">E57/$D55</f>
        <v>8.4464251219837486E-2</v>
      </c>
      <c r="F58" s="120">
        <f t="shared" si="20"/>
        <v>0.18251106298807862</v>
      </c>
      <c r="G58" s="120">
        <f t="shared" si="20"/>
        <v>0.27943832002047575</v>
      </c>
      <c r="H58" s="120">
        <f t="shared" si="20"/>
        <v>0.35950072890708951</v>
      </c>
      <c r="I58" s="120">
        <f t="shared" si="20"/>
        <v>0.43956313779370332</v>
      </c>
      <c r="J58" s="120">
        <f t="shared" si="20"/>
        <v>0.51962554668031713</v>
      </c>
      <c r="K58" s="120">
        <f t="shared" si="20"/>
        <v>0.59968795556693089</v>
      </c>
      <c r="L58" s="120">
        <f t="shared" si="20"/>
        <v>0.67975036445354475</v>
      </c>
      <c r="M58" s="120">
        <f t="shared" si="20"/>
        <v>0.75981277334015851</v>
      </c>
      <c r="N58" s="120">
        <f t="shared" si="20"/>
        <v>0.83987518222677227</v>
      </c>
      <c r="O58" s="120">
        <f t="shared" si="20"/>
        <v>0.91993759111338591</v>
      </c>
      <c r="P58" s="120">
        <f t="shared" si="20"/>
        <v>0.99999999999999967</v>
      </c>
    </row>
    <row r="59" spans="1:16">
      <c r="A59" s="20" t="s">
        <v>372</v>
      </c>
      <c r="B59" s="20"/>
      <c r="C59" s="20"/>
      <c r="D59" s="126"/>
      <c r="E59" s="127">
        <f t="shared" ref="E59:P59" si="21">+E32/E58</f>
        <v>0.83553006733610702</v>
      </c>
      <c r="F59" s="127">
        <f t="shared" si="21"/>
        <v>0.77334952033909721</v>
      </c>
      <c r="G59" s="127">
        <f t="shared" si="21"/>
        <v>0.75765293933953115</v>
      </c>
      <c r="H59" s="127">
        <f t="shared" si="21"/>
        <v>0.78522701997017241</v>
      </c>
      <c r="I59" s="127">
        <f t="shared" si="21"/>
        <v>0.80275636696275776</v>
      </c>
      <c r="J59" s="127">
        <f t="shared" si="21"/>
        <v>0.81488397127582424</v>
      </c>
      <c r="K59" s="127">
        <f t="shared" si="21"/>
        <v>0.82377334074920705</v>
      </c>
      <c r="L59" s="127">
        <f t="shared" si="21"/>
        <v>0.83056869344602124</v>
      </c>
      <c r="M59" s="127">
        <f t="shared" si="21"/>
        <v>0.83593197675619046</v>
      </c>
      <c r="N59" s="127">
        <f t="shared" si="21"/>
        <v>0.84027273340897002</v>
      </c>
      <c r="O59" s="127">
        <f t="shared" si="21"/>
        <v>0.8438579356907373</v>
      </c>
      <c r="P59" s="127">
        <f t="shared" si="21"/>
        <v>1.0000000000000004</v>
      </c>
    </row>
    <row r="60" spans="1:16">
      <c r="A60" s="20"/>
      <c r="B60" s="20"/>
      <c r="C60" s="20"/>
      <c r="D60" s="126"/>
      <c r="E60" s="127"/>
      <c r="F60" s="127"/>
      <c r="G60" s="127"/>
      <c r="H60" s="127"/>
      <c r="I60" s="127"/>
      <c r="J60" s="127"/>
      <c r="K60" s="127"/>
      <c r="L60" s="127"/>
      <c r="M60" s="127"/>
      <c r="N60" s="127"/>
      <c r="O60" s="127"/>
      <c r="P60" s="127"/>
    </row>
    <row r="61" spans="1:16">
      <c r="A61" s="20"/>
      <c r="B61" s="20"/>
      <c r="C61" s="20"/>
      <c r="D61" s="126"/>
      <c r="E61" s="127"/>
      <c r="F61" s="127"/>
      <c r="G61" s="127"/>
      <c r="H61" s="127"/>
      <c r="I61" s="127"/>
      <c r="J61" s="127"/>
      <c r="K61" s="127"/>
      <c r="L61" s="127"/>
      <c r="M61" s="127"/>
      <c r="N61" s="127"/>
      <c r="O61" s="127"/>
      <c r="P61" s="127"/>
    </row>
    <row r="62" spans="1:16" ht="15" thickBot="1">
      <c r="A62" s="807" t="s">
        <v>533</v>
      </c>
      <c r="B62" s="807"/>
      <c r="C62" s="807"/>
      <c r="D62" s="808"/>
      <c r="E62" s="809"/>
      <c r="F62" s="809"/>
      <c r="G62" s="809"/>
      <c r="H62" s="809"/>
      <c r="I62" s="809"/>
      <c r="J62" s="809"/>
      <c r="K62" s="809"/>
      <c r="L62" s="809"/>
      <c r="M62" s="809"/>
      <c r="N62" s="809"/>
      <c r="O62" s="809"/>
      <c r="P62" s="809"/>
    </row>
    <row r="63" spans="1:16">
      <c r="A63" s="20"/>
      <c r="B63" s="20"/>
      <c r="C63" s="20"/>
      <c r="D63" s="467" t="s">
        <v>440</v>
      </c>
      <c r="E63" s="468" t="s">
        <v>439</v>
      </c>
      <c r="F63" s="468" t="s">
        <v>439</v>
      </c>
      <c r="G63" s="468" t="s">
        <v>439</v>
      </c>
      <c r="H63" s="468" t="s">
        <v>439</v>
      </c>
      <c r="I63" s="468" t="s">
        <v>439</v>
      </c>
      <c r="J63" s="468" t="s">
        <v>439</v>
      </c>
      <c r="K63" s="468" t="s">
        <v>439</v>
      </c>
      <c r="L63" s="468" t="s">
        <v>439</v>
      </c>
      <c r="M63" s="468" t="s">
        <v>439</v>
      </c>
      <c r="N63" s="468" t="s">
        <v>439</v>
      </c>
      <c r="O63" s="468" t="s">
        <v>439</v>
      </c>
      <c r="P63" s="468" t="s">
        <v>439</v>
      </c>
    </row>
    <row r="64" spans="1:16" ht="15" thickBot="1">
      <c r="A64" s="20"/>
      <c r="B64" s="20"/>
      <c r="C64" s="20"/>
      <c r="D64" s="469">
        <f>+D59</f>
        <v>0</v>
      </c>
      <c r="E64" s="470" t="s">
        <v>313</v>
      </c>
      <c r="F64" s="470" t="s">
        <v>314</v>
      </c>
      <c r="G64" s="470" t="s">
        <v>315</v>
      </c>
      <c r="H64" s="470" t="s">
        <v>316</v>
      </c>
      <c r="I64" s="470" t="s">
        <v>317</v>
      </c>
      <c r="J64" s="470" t="s">
        <v>318</v>
      </c>
      <c r="K64" s="470" t="s">
        <v>319</v>
      </c>
      <c r="L64" s="470" t="s">
        <v>320</v>
      </c>
      <c r="M64" s="470" t="s">
        <v>321</v>
      </c>
      <c r="N64" s="470" t="s">
        <v>322</v>
      </c>
      <c r="O64" s="470" t="s">
        <v>323</v>
      </c>
      <c r="P64" s="470" t="s">
        <v>324</v>
      </c>
    </row>
    <row r="65" spans="1:16">
      <c r="A65" s="17" t="s">
        <v>531</v>
      </c>
      <c r="B65" s="20"/>
      <c r="C65" s="20"/>
      <c r="D65" s="472">
        <f>SUM(E65:P65)</f>
        <v>0</v>
      </c>
      <c r="E65" s="1004">
        <v>0</v>
      </c>
      <c r="F65" s="1004">
        <v>0</v>
      </c>
      <c r="G65" s="1004">
        <v>0</v>
      </c>
      <c r="H65" s="1004">
        <v>0</v>
      </c>
      <c r="I65" s="1004">
        <v>0</v>
      </c>
      <c r="J65" s="1004">
        <v>0</v>
      </c>
      <c r="K65" s="1004">
        <v>0</v>
      </c>
      <c r="L65" s="1004">
        <v>0</v>
      </c>
      <c r="M65" s="1004">
        <v>0</v>
      </c>
      <c r="N65" s="1004">
        <v>0</v>
      </c>
      <c r="O65" s="1004">
        <v>0</v>
      </c>
      <c r="P65" s="1004">
        <v>0</v>
      </c>
    </row>
    <row r="66" spans="1:16">
      <c r="A66" s="17" t="s">
        <v>532</v>
      </c>
      <c r="B66" s="20"/>
      <c r="C66" s="20"/>
      <c r="D66" s="473">
        <f>SUM(E66:P66)</f>
        <v>0</v>
      </c>
      <c r="E66" s="1005">
        <v>0</v>
      </c>
      <c r="F66" s="1005">
        <v>0</v>
      </c>
      <c r="G66" s="1005">
        <v>0</v>
      </c>
      <c r="H66" s="1005">
        <v>0</v>
      </c>
      <c r="I66" s="1005">
        <v>0</v>
      </c>
      <c r="J66" s="1005">
        <v>0</v>
      </c>
      <c r="K66" s="1005">
        <v>0</v>
      </c>
      <c r="L66" s="1005">
        <v>0</v>
      </c>
      <c r="M66" s="1005">
        <v>0</v>
      </c>
      <c r="N66" s="1005">
        <v>0</v>
      </c>
      <c r="O66" s="1005">
        <v>0</v>
      </c>
      <c r="P66" s="1005">
        <v>0</v>
      </c>
    </row>
    <row r="67" spans="1:16">
      <c r="A67" s="17" t="s">
        <v>541</v>
      </c>
      <c r="B67" s="20"/>
      <c r="C67" s="20"/>
      <c r="D67" s="474"/>
      <c r="E67" s="477">
        <f>E65-E66</f>
        <v>0</v>
      </c>
      <c r="F67" s="477">
        <f>E67+F65-F66</f>
        <v>0</v>
      </c>
      <c r="G67" s="477">
        <f t="shared" ref="G67:P67" si="22">F67+G65-G66</f>
        <v>0</v>
      </c>
      <c r="H67" s="477">
        <f t="shared" si="22"/>
        <v>0</v>
      </c>
      <c r="I67" s="477">
        <f t="shared" si="22"/>
        <v>0</v>
      </c>
      <c r="J67" s="477">
        <f t="shared" si="22"/>
        <v>0</v>
      </c>
      <c r="K67" s="477">
        <f t="shared" si="22"/>
        <v>0</v>
      </c>
      <c r="L67" s="477">
        <f t="shared" si="22"/>
        <v>0</v>
      </c>
      <c r="M67" s="477">
        <f t="shared" si="22"/>
        <v>0</v>
      </c>
      <c r="N67" s="477">
        <f t="shared" si="22"/>
        <v>0</v>
      </c>
      <c r="O67" s="477">
        <f t="shared" si="22"/>
        <v>0</v>
      </c>
      <c r="P67" s="477">
        <f t="shared" si="22"/>
        <v>0</v>
      </c>
    </row>
    <row r="68" spans="1:16" ht="15" thickBot="1">
      <c r="A68" s="17" t="s">
        <v>542</v>
      </c>
      <c r="B68" s="20"/>
      <c r="C68" s="20"/>
      <c r="D68" s="474">
        <f>SUM(E68:P68)</f>
        <v>0</v>
      </c>
      <c r="E68" s="477">
        <f>E67*0.02</f>
        <v>0</v>
      </c>
      <c r="F68" s="477">
        <f t="shared" ref="F68:P68" si="23">F67*0.02</f>
        <v>0</v>
      </c>
      <c r="G68" s="477">
        <f t="shared" si="23"/>
        <v>0</v>
      </c>
      <c r="H68" s="477">
        <f t="shared" si="23"/>
        <v>0</v>
      </c>
      <c r="I68" s="477">
        <f t="shared" si="23"/>
        <v>0</v>
      </c>
      <c r="J68" s="477">
        <f t="shared" si="23"/>
        <v>0</v>
      </c>
      <c r="K68" s="477">
        <f t="shared" si="23"/>
        <v>0</v>
      </c>
      <c r="L68" s="477">
        <f t="shared" si="23"/>
        <v>0</v>
      </c>
      <c r="M68" s="477">
        <f t="shared" si="23"/>
        <v>0</v>
      </c>
      <c r="N68" s="477">
        <f t="shared" si="23"/>
        <v>0</v>
      </c>
      <c r="O68" s="477">
        <f t="shared" si="23"/>
        <v>0</v>
      </c>
      <c r="P68" s="477">
        <f t="shared" si="23"/>
        <v>0</v>
      </c>
    </row>
    <row r="69" spans="1:16" ht="15" thickBot="1">
      <c r="A69" s="20" t="s">
        <v>535</v>
      </c>
      <c r="B69" s="20"/>
      <c r="C69" s="20"/>
      <c r="D69" s="475">
        <f>SUM(E69:P69)</f>
        <v>0</v>
      </c>
      <c r="E69" s="476">
        <f>E65-E66-E68</f>
        <v>0</v>
      </c>
      <c r="F69" s="478">
        <f t="shared" ref="F69:P69" si="24">F65-F66-F68</f>
        <v>0</v>
      </c>
      <c r="G69" s="478">
        <f t="shared" si="24"/>
        <v>0</v>
      </c>
      <c r="H69" s="478">
        <f t="shared" si="24"/>
        <v>0</v>
      </c>
      <c r="I69" s="478">
        <f t="shared" si="24"/>
        <v>0</v>
      </c>
      <c r="J69" s="478">
        <f t="shared" si="24"/>
        <v>0</v>
      </c>
      <c r="K69" s="478">
        <f t="shared" si="24"/>
        <v>0</v>
      </c>
      <c r="L69" s="478">
        <f t="shared" si="24"/>
        <v>0</v>
      </c>
      <c r="M69" s="478">
        <f t="shared" si="24"/>
        <v>0</v>
      </c>
      <c r="N69" s="478">
        <f t="shared" si="24"/>
        <v>0</v>
      </c>
      <c r="O69" s="478">
        <f t="shared" si="24"/>
        <v>0</v>
      </c>
      <c r="P69" s="478">
        <f t="shared" si="24"/>
        <v>0</v>
      </c>
    </row>
    <row r="70" spans="1:16" ht="15" thickTop="1">
      <c r="A70" s="20"/>
      <c r="B70" s="20"/>
      <c r="C70" s="20"/>
      <c r="D70" s="126"/>
      <c r="E70" s="127"/>
      <c r="F70" s="127"/>
      <c r="G70" s="127"/>
      <c r="H70" s="127"/>
      <c r="I70" s="127"/>
      <c r="J70" s="127"/>
      <c r="K70" s="127"/>
      <c r="L70" s="127"/>
      <c r="M70" s="127"/>
      <c r="N70" s="127"/>
      <c r="O70" s="127"/>
      <c r="P70" s="127"/>
    </row>
    <row r="71" spans="1:16">
      <c r="A71" s="466" t="s">
        <v>334</v>
      </c>
      <c r="B71" s="329"/>
      <c r="C71" s="329"/>
      <c r="D71" s="329"/>
      <c r="E71" s="329"/>
      <c r="F71" s="329"/>
      <c r="G71" s="329"/>
      <c r="H71" s="329"/>
      <c r="I71" s="329"/>
      <c r="J71" s="329"/>
      <c r="K71" s="329"/>
      <c r="L71" s="329"/>
      <c r="M71" s="329"/>
      <c r="N71" s="329"/>
      <c r="O71" s="329"/>
      <c r="P71" s="329"/>
    </row>
    <row r="72" spans="1:16">
      <c r="A72" s="17"/>
      <c r="B72" s="17"/>
      <c r="C72" s="17"/>
      <c r="D72" s="330"/>
      <c r="E72" s="331"/>
      <c r="F72" s="331"/>
      <c r="G72" s="331"/>
      <c r="H72" s="331"/>
      <c r="I72" s="331"/>
      <c r="J72" s="331"/>
      <c r="K72" s="331"/>
      <c r="L72" s="331"/>
      <c r="M72" s="331"/>
      <c r="N72" s="331"/>
      <c r="O72" s="331"/>
      <c r="P72" s="331"/>
    </row>
    <row r="73" spans="1:16">
      <c r="A73" s="17" t="s">
        <v>335</v>
      </c>
      <c r="B73" s="17"/>
      <c r="C73" s="17"/>
      <c r="D73" s="332">
        <f>D30-D55</f>
        <v>65220.015729889739</v>
      </c>
      <c r="E73" s="333">
        <f t="shared" ref="E73:P73" si="25">E56+E69</f>
        <v>-32622.322805140488</v>
      </c>
      <c r="F73" s="333">
        <f t="shared" si="25"/>
        <v>-69018.651042269979</v>
      </c>
      <c r="G73" s="333">
        <f t="shared" si="25"/>
        <v>-66018.65104226995</v>
      </c>
      <c r="H73" s="333">
        <f t="shared" si="25"/>
        <v>-20826.984375603293</v>
      </c>
      <c r="I73" s="333">
        <f t="shared" si="25"/>
        <v>-20826.984375603293</v>
      </c>
      <c r="J73" s="333">
        <f t="shared" si="25"/>
        <v>-20826.984375603293</v>
      </c>
      <c r="K73" s="333">
        <f t="shared" si="25"/>
        <v>-20826.984375603293</v>
      </c>
      <c r="L73" s="333">
        <f t="shared" si="25"/>
        <v>-20826.984375603293</v>
      </c>
      <c r="M73" s="333">
        <f t="shared" si="25"/>
        <v>-20826.984375603293</v>
      </c>
      <c r="N73" s="333">
        <f t="shared" si="25"/>
        <v>-20826.984375603293</v>
      </c>
      <c r="O73" s="333">
        <f t="shared" si="25"/>
        <v>-20826.984375603293</v>
      </c>
      <c r="P73" s="909">
        <f t="shared" si="25"/>
        <v>399495.51562439674</v>
      </c>
    </row>
    <row r="74" spans="1:16">
      <c r="A74" s="17"/>
      <c r="B74" s="17"/>
      <c r="C74" s="17"/>
      <c r="D74" s="115"/>
      <c r="E74" s="333"/>
      <c r="F74" s="332"/>
      <c r="G74" s="333"/>
      <c r="H74" s="332"/>
      <c r="I74" s="332"/>
      <c r="J74" s="332"/>
      <c r="K74" s="332"/>
      <c r="L74" s="332"/>
      <c r="M74" s="332"/>
      <c r="N74" s="332"/>
      <c r="O74" s="332"/>
      <c r="P74" s="332"/>
    </row>
    <row r="75" spans="1:16">
      <c r="A75" s="17" t="s">
        <v>336</v>
      </c>
      <c r="B75" s="17"/>
      <c r="C75" s="17"/>
      <c r="D75" s="334"/>
      <c r="E75" s="1271">
        <v>350000</v>
      </c>
      <c r="F75" s="332">
        <f>E77</f>
        <v>317377.67719485948</v>
      </c>
      <c r="G75" s="332">
        <f t="shared" ref="G75:P75" si="26">F77</f>
        <v>248359.0261525895</v>
      </c>
      <c r="H75" s="332">
        <f t="shared" si="26"/>
        <v>182340.37511031955</v>
      </c>
      <c r="I75" s="332">
        <f t="shared" si="26"/>
        <v>161513.39073471626</v>
      </c>
      <c r="J75" s="332">
        <f t="shared" si="26"/>
        <v>140686.40635911297</v>
      </c>
      <c r="K75" s="332">
        <f t="shared" si="26"/>
        <v>119859.42198350967</v>
      </c>
      <c r="L75" s="332">
        <f t="shared" si="26"/>
        <v>99032.43760790638</v>
      </c>
      <c r="M75" s="332">
        <f t="shared" si="26"/>
        <v>78205.453232303087</v>
      </c>
      <c r="N75" s="332">
        <f t="shared" si="26"/>
        <v>57378.468856699794</v>
      </c>
      <c r="O75" s="332">
        <f t="shared" si="26"/>
        <v>36551.484481096501</v>
      </c>
      <c r="P75" s="332">
        <f t="shared" si="26"/>
        <v>15724.500105493207</v>
      </c>
    </row>
    <row r="76" spans="1:16">
      <c r="A76" s="17"/>
      <c r="B76" s="17"/>
      <c r="C76" s="17"/>
      <c r="D76" s="335"/>
      <c r="E76" s="336"/>
      <c r="F76" s="337"/>
      <c r="G76" s="336"/>
      <c r="H76" s="337"/>
      <c r="I76" s="337"/>
      <c r="J76" s="337"/>
      <c r="K76" s="337"/>
      <c r="L76" s="337"/>
      <c r="M76" s="337"/>
      <c r="N76" s="337"/>
      <c r="O76" s="337"/>
      <c r="P76" s="337"/>
    </row>
    <row r="77" spans="1:16" ht="15" thickBot="1">
      <c r="A77" s="20" t="s">
        <v>337</v>
      </c>
      <c r="B77" s="20"/>
      <c r="C77" s="20"/>
      <c r="D77" s="338">
        <f>SUM(D75,D73)</f>
        <v>65220.015729889739</v>
      </c>
      <c r="E77" s="338">
        <f>SUM(E75,E73)</f>
        <v>317377.67719485948</v>
      </c>
      <c r="F77" s="338">
        <f>SUM(F75,F73)</f>
        <v>248359.0261525895</v>
      </c>
      <c r="G77" s="338">
        <f t="shared" ref="G77:P77" si="27">SUM(G75,G73)</f>
        <v>182340.37511031955</v>
      </c>
      <c r="H77" s="338">
        <f t="shared" si="27"/>
        <v>161513.39073471626</v>
      </c>
      <c r="I77" s="338">
        <f t="shared" si="27"/>
        <v>140686.40635911297</v>
      </c>
      <c r="J77" s="338">
        <f t="shared" si="27"/>
        <v>119859.42198350967</v>
      </c>
      <c r="K77" s="338">
        <f t="shared" si="27"/>
        <v>99032.43760790638</v>
      </c>
      <c r="L77" s="338">
        <f t="shared" si="27"/>
        <v>78205.453232303087</v>
      </c>
      <c r="M77" s="338">
        <f t="shared" si="27"/>
        <v>57378.468856699794</v>
      </c>
      <c r="N77" s="338">
        <f t="shared" si="27"/>
        <v>36551.484481096501</v>
      </c>
      <c r="O77" s="338">
        <f t="shared" si="27"/>
        <v>15724.500105493207</v>
      </c>
      <c r="P77" s="338">
        <f t="shared" si="27"/>
        <v>415220.01572988997</v>
      </c>
    </row>
    <row r="78" spans="1:16" ht="15" thickTop="1">
      <c r="A78" s="20"/>
      <c r="B78" s="20"/>
      <c r="C78" s="20"/>
      <c r="D78" s="339"/>
      <c r="E78" s="339"/>
      <c r="F78" s="339"/>
      <c r="G78" s="339"/>
      <c r="H78" s="339"/>
      <c r="I78" s="339"/>
      <c r="J78" s="339"/>
      <c r="K78" s="339"/>
      <c r="L78" s="339"/>
      <c r="M78" s="339"/>
      <c r="N78" s="339"/>
      <c r="O78" s="339"/>
      <c r="P78" s="339"/>
    </row>
    <row r="79" spans="1:16">
      <c r="A79" s="340" t="s">
        <v>393</v>
      </c>
      <c r="B79" s="340"/>
      <c r="C79" s="340"/>
      <c r="D79" s="340"/>
      <c r="E79" s="341"/>
      <c r="F79" s="342">
        <f t="shared" ref="F79:P79" si="28">+F75/F55</f>
        <v>1.2080001213929201</v>
      </c>
      <c r="G79" s="342">
        <f t="shared" si="28"/>
        <v>0.9562206147571688</v>
      </c>
      <c r="H79" s="342">
        <f t="shared" si="28"/>
        <v>0.84992042803107448</v>
      </c>
      <c r="I79" s="342">
        <f t="shared" si="28"/>
        <v>0.75284220569880378</v>
      </c>
      <c r="J79" s="342">
        <f t="shared" si="28"/>
        <v>0.65576398336653297</v>
      </c>
      <c r="K79" s="342">
        <f t="shared" si="28"/>
        <v>0.55868576103426226</v>
      </c>
      <c r="L79" s="342">
        <f t="shared" si="28"/>
        <v>0.46160753870199145</v>
      </c>
      <c r="M79" s="342">
        <f t="shared" si="28"/>
        <v>0.36452931636972069</v>
      </c>
      <c r="N79" s="342">
        <f t="shared" si="28"/>
        <v>0.26745109403744993</v>
      </c>
      <c r="O79" s="342">
        <f t="shared" si="28"/>
        <v>0.17037287170517915</v>
      </c>
      <c r="P79" s="342">
        <f t="shared" si="28"/>
        <v>7.3294649372908388E-2</v>
      </c>
    </row>
    <row r="80" spans="1:16">
      <c r="A80" s="20"/>
      <c r="B80" s="20"/>
      <c r="C80" s="20"/>
      <c r="D80" s="339"/>
      <c r="E80" s="339"/>
      <c r="F80" s="339"/>
      <c r="G80" s="339"/>
      <c r="H80" s="339"/>
      <c r="I80" s="339"/>
      <c r="J80" s="339"/>
      <c r="K80" s="339"/>
      <c r="L80" s="339"/>
      <c r="M80" s="339"/>
      <c r="N80" s="339"/>
      <c r="O80" s="339"/>
      <c r="P80" s="339"/>
    </row>
    <row r="81" spans="1:16" ht="18">
      <c r="A81" s="307" t="s">
        <v>373</v>
      </c>
      <c r="B81" s="307"/>
      <c r="C81" s="307"/>
    </row>
    <row r="83" spans="1:16">
      <c r="A83" s="343" t="s">
        <v>325</v>
      </c>
      <c r="B83" s="343"/>
      <c r="C83" s="343"/>
      <c r="D83" s="344"/>
      <c r="E83" s="345"/>
      <c r="F83" s="345"/>
      <c r="G83" s="345"/>
      <c r="H83" s="345"/>
      <c r="I83" s="345"/>
      <c r="J83" s="345"/>
      <c r="K83" s="345"/>
      <c r="L83" s="345"/>
      <c r="M83" s="345"/>
      <c r="N83" s="345"/>
      <c r="O83" s="345"/>
      <c r="P83" s="345"/>
    </row>
    <row r="84" spans="1:16">
      <c r="A84" s="18" t="s">
        <v>326</v>
      </c>
      <c r="B84" s="17"/>
      <c r="C84" s="17"/>
      <c r="D84" s="346">
        <f t="shared" ref="D84:P84" si="29">IF(OR(D14=0,D$30=0),0,D14/D$30)</f>
        <v>0.85758891960552519</v>
      </c>
      <c r="E84" s="347">
        <f t="shared" si="29"/>
        <v>1.0126582278481013</v>
      </c>
      <c r="F84" s="346">
        <f t="shared" si="29"/>
        <v>1.0126582278481013</v>
      </c>
      <c r="G84" s="346">
        <f t="shared" si="29"/>
        <v>1.0126582278481013</v>
      </c>
      <c r="H84" s="347">
        <f t="shared" si="29"/>
        <v>1.0126582278481013</v>
      </c>
      <c r="I84" s="346">
        <f t="shared" si="29"/>
        <v>1.0126582278481013</v>
      </c>
      <c r="J84" s="346">
        <f t="shared" si="29"/>
        <v>1.0126582278481013</v>
      </c>
      <c r="K84" s="347">
        <f t="shared" si="29"/>
        <v>1.0126582278481013</v>
      </c>
      <c r="L84" s="346">
        <f t="shared" si="29"/>
        <v>1.0126582278481013</v>
      </c>
      <c r="M84" s="346">
        <f t="shared" si="29"/>
        <v>1.0126582278481013</v>
      </c>
      <c r="N84" s="347">
        <f t="shared" si="29"/>
        <v>1.0126582278481013</v>
      </c>
      <c r="O84" s="346">
        <f t="shared" si="29"/>
        <v>1.0126582278481013</v>
      </c>
      <c r="P84" s="346">
        <f t="shared" si="29"/>
        <v>0.31946655702745763</v>
      </c>
    </row>
    <row r="85" spans="1:16">
      <c r="A85" s="18" t="s">
        <v>345</v>
      </c>
      <c r="B85" s="17"/>
      <c r="C85" s="17"/>
      <c r="D85" s="346">
        <f t="shared" ref="D85:P85" si="30">IF(OR(D15=0,D$30=0),0,D15/D$30)</f>
        <v>-1.0719861495069061E-2</v>
      </c>
      <c r="E85" s="347">
        <f t="shared" si="30"/>
        <v>-1.2658227848101266E-2</v>
      </c>
      <c r="F85" s="346">
        <f t="shared" si="30"/>
        <v>-1.2658227848101266E-2</v>
      </c>
      <c r="G85" s="346">
        <f t="shared" si="30"/>
        <v>-1.2658227848101266E-2</v>
      </c>
      <c r="H85" s="347">
        <f t="shared" si="30"/>
        <v>-1.2658227848101266E-2</v>
      </c>
      <c r="I85" s="346">
        <f t="shared" si="30"/>
        <v>-1.2658227848101266E-2</v>
      </c>
      <c r="J85" s="346">
        <f t="shared" si="30"/>
        <v>-1.2658227848101266E-2</v>
      </c>
      <c r="K85" s="347">
        <f t="shared" si="30"/>
        <v>-1.2658227848101266E-2</v>
      </c>
      <c r="L85" s="346">
        <f t="shared" si="30"/>
        <v>-1.2658227848101266E-2</v>
      </c>
      <c r="M85" s="346">
        <f t="shared" si="30"/>
        <v>-1.2658227848101266E-2</v>
      </c>
      <c r="N85" s="347">
        <f t="shared" si="30"/>
        <v>-1.2658227848101266E-2</v>
      </c>
      <c r="O85" s="346">
        <f t="shared" si="30"/>
        <v>-1.2658227848101266E-2</v>
      </c>
      <c r="P85" s="346">
        <f t="shared" si="30"/>
        <v>-3.9933319628432202E-3</v>
      </c>
    </row>
    <row r="86" spans="1:16">
      <c r="A86" s="18" t="s">
        <v>125</v>
      </c>
      <c r="B86" s="17"/>
      <c r="C86" s="17"/>
      <c r="D86" s="346">
        <f t="shared" ref="D86:P86" si="31">IF(OR(D16=0,D$30=0),0,D16/D$30)</f>
        <v>7.6251702294027932E-2</v>
      </c>
      <c r="E86" s="347">
        <f t="shared" si="31"/>
        <v>0</v>
      </c>
      <c r="F86" s="346">
        <f t="shared" si="31"/>
        <v>0</v>
      </c>
      <c r="G86" s="346">
        <f t="shared" si="31"/>
        <v>0</v>
      </c>
      <c r="H86" s="346">
        <f t="shared" si="31"/>
        <v>0</v>
      </c>
      <c r="I86" s="346">
        <f t="shared" si="31"/>
        <v>0</v>
      </c>
      <c r="J86" s="346">
        <f t="shared" si="31"/>
        <v>0</v>
      </c>
      <c r="K86" s="346">
        <f t="shared" si="31"/>
        <v>0</v>
      </c>
      <c r="L86" s="346">
        <f t="shared" si="31"/>
        <v>0</v>
      </c>
      <c r="M86" s="346">
        <f t="shared" si="31"/>
        <v>0</v>
      </c>
      <c r="N86" s="346">
        <f t="shared" si="31"/>
        <v>0</v>
      </c>
      <c r="O86" s="346">
        <f t="shared" si="31"/>
        <v>0</v>
      </c>
      <c r="P86" s="346">
        <f t="shared" si="31"/>
        <v>0.34086077712703028</v>
      </c>
    </row>
    <row r="87" spans="1:16">
      <c r="A87" s="18" t="s">
        <v>353</v>
      </c>
      <c r="B87" s="17"/>
      <c r="C87" s="17"/>
      <c r="D87" s="346">
        <f t="shared" ref="D87:P87" si="32">IF(OR(D17=0,D$30=0),0,D17/D$30)</f>
        <v>4.1441142551102138E-4</v>
      </c>
      <c r="E87" s="347">
        <f t="shared" si="32"/>
        <v>0</v>
      </c>
      <c r="F87" s="346">
        <f t="shared" si="32"/>
        <v>0</v>
      </c>
      <c r="G87" s="346">
        <f t="shared" si="32"/>
        <v>0</v>
      </c>
      <c r="H87" s="346">
        <f t="shared" si="32"/>
        <v>0</v>
      </c>
      <c r="I87" s="346">
        <f t="shared" si="32"/>
        <v>0</v>
      </c>
      <c r="J87" s="346">
        <f t="shared" si="32"/>
        <v>0</v>
      </c>
      <c r="K87" s="346">
        <f t="shared" si="32"/>
        <v>0</v>
      </c>
      <c r="L87" s="346">
        <f t="shared" si="32"/>
        <v>0</v>
      </c>
      <c r="M87" s="346">
        <f t="shared" si="32"/>
        <v>0</v>
      </c>
      <c r="N87" s="346">
        <f t="shared" si="32"/>
        <v>0</v>
      </c>
      <c r="O87" s="346">
        <f t="shared" si="32"/>
        <v>0</v>
      </c>
      <c r="P87" s="346">
        <f t="shared" si="32"/>
        <v>1.852504223516469E-3</v>
      </c>
    </row>
    <row r="88" spans="1:16">
      <c r="A88" s="18" t="s">
        <v>352</v>
      </c>
      <c r="B88" s="18"/>
      <c r="C88" s="18"/>
      <c r="D88" s="346">
        <f t="shared" ref="D88:P88" si="33">IF(OR(D18=0,D$30=0),0,D18/D$30)</f>
        <v>0</v>
      </c>
      <c r="E88" s="347">
        <f t="shared" si="33"/>
        <v>0</v>
      </c>
      <c r="F88" s="346">
        <f t="shared" si="33"/>
        <v>0</v>
      </c>
      <c r="G88" s="346">
        <f t="shared" si="33"/>
        <v>0</v>
      </c>
      <c r="H88" s="346">
        <f t="shared" si="33"/>
        <v>0</v>
      </c>
      <c r="I88" s="346">
        <f t="shared" si="33"/>
        <v>0</v>
      </c>
      <c r="J88" s="346">
        <f t="shared" si="33"/>
        <v>0</v>
      </c>
      <c r="K88" s="346">
        <f t="shared" si="33"/>
        <v>0</v>
      </c>
      <c r="L88" s="346">
        <f t="shared" si="33"/>
        <v>0</v>
      </c>
      <c r="M88" s="346">
        <f t="shared" si="33"/>
        <v>0</v>
      </c>
      <c r="N88" s="346">
        <f t="shared" si="33"/>
        <v>0</v>
      </c>
      <c r="O88" s="346">
        <f t="shared" si="33"/>
        <v>0</v>
      </c>
      <c r="P88" s="346">
        <f t="shared" si="33"/>
        <v>0</v>
      </c>
    </row>
    <row r="89" spans="1:16">
      <c r="A89" s="19" t="s">
        <v>237</v>
      </c>
      <c r="B89" s="19"/>
      <c r="C89" s="19"/>
      <c r="D89" s="346">
        <f t="shared" ref="D89:P89" si="34">IF(OR(D19=0,D$30=0),0,D19/D$30)</f>
        <v>0</v>
      </c>
      <c r="E89" s="348">
        <f t="shared" si="34"/>
        <v>0</v>
      </c>
      <c r="F89" s="346">
        <f t="shared" si="34"/>
        <v>0</v>
      </c>
      <c r="G89" s="346">
        <f t="shared" si="34"/>
        <v>0</v>
      </c>
      <c r="H89" s="346">
        <f t="shared" si="34"/>
        <v>0</v>
      </c>
      <c r="I89" s="349">
        <f t="shared" si="34"/>
        <v>0</v>
      </c>
      <c r="J89" s="346">
        <f t="shared" si="34"/>
        <v>0</v>
      </c>
      <c r="K89" s="346">
        <f t="shared" si="34"/>
        <v>0</v>
      </c>
      <c r="L89" s="346">
        <f t="shared" si="34"/>
        <v>0</v>
      </c>
      <c r="M89" s="349">
        <f t="shared" si="34"/>
        <v>0</v>
      </c>
      <c r="N89" s="346">
        <f t="shared" si="34"/>
        <v>0</v>
      </c>
      <c r="O89" s="346">
        <f t="shared" si="34"/>
        <v>0</v>
      </c>
      <c r="P89" s="346">
        <f t="shared" si="34"/>
        <v>0</v>
      </c>
    </row>
    <row r="90" spans="1:16">
      <c r="A90" s="350" t="s">
        <v>6</v>
      </c>
      <c r="B90" s="350"/>
      <c r="C90" s="350"/>
      <c r="D90" s="346">
        <f t="shared" ref="D90:P90" si="35">IF(OR(D20=0,D$30=0),0,D20/D$30)</f>
        <v>0</v>
      </c>
      <c r="E90" s="348">
        <f t="shared" si="35"/>
        <v>0</v>
      </c>
      <c r="F90" s="346">
        <f t="shared" si="35"/>
        <v>0</v>
      </c>
      <c r="G90" s="346">
        <f t="shared" si="35"/>
        <v>0</v>
      </c>
      <c r="H90" s="346">
        <f t="shared" si="35"/>
        <v>0</v>
      </c>
      <c r="I90" s="349">
        <f t="shared" si="35"/>
        <v>0</v>
      </c>
      <c r="J90" s="346">
        <f t="shared" si="35"/>
        <v>0</v>
      </c>
      <c r="K90" s="346">
        <f t="shared" si="35"/>
        <v>0</v>
      </c>
      <c r="L90" s="346">
        <f t="shared" si="35"/>
        <v>0</v>
      </c>
      <c r="M90" s="346">
        <f t="shared" si="35"/>
        <v>0</v>
      </c>
      <c r="N90" s="346">
        <f t="shared" si="35"/>
        <v>0</v>
      </c>
      <c r="O90" s="346">
        <f t="shared" si="35"/>
        <v>0</v>
      </c>
      <c r="P90" s="346">
        <f t="shared" si="35"/>
        <v>0</v>
      </c>
    </row>
    <row r="91" spans="1:16">
      <c r="A91" s="350" t="s">
        <v>227</v>
      </c>
      <c r="B91" s="350"/>
      <c r="C91" s="350"/>
      <c r="D91" s="346">
        <f t="shared" ref="D91:P91" si="36">IF(OR(D21=0,D$30=0),0,D21/D$30)</f>
        <v>2.2591342853572251E-2</v>
      </c>
      <c r="E91" s="348">
        <f t="shared" si="36"/>
        <v>0</v>
      </c>
      <c r="F91" s="346">
        <f t="shared" si="36"/>
        <v>0</v>
      </c>
      <c r="G91" s="346">
        <f t="shared" si="36"/>
        <v>0</v>
      </c>
      <c r="H91" s="346">
        <f t="shared" si="36"/>
        <v>0</v>
      </c>
      <c r="I91" s="349">
        <f t="shared" si="36"/>
        <v>0</v>
      </c>
      <c r="J91" s="346">
        <f t="shared" si="36"/>
        <v>0</v>
      </c>
      <c r="K91" s="346">
        <f t="shared" si="36"/>
        <v>0</v>
      </c>
      <c r="L91" s="346">
        <f t="shared" si="36"/>
        <v>0</v>
      </c>
      <c r="M91" s="349">
        <f t="shared" si="36"/>
        <v>0</v>
      </c>
      <c r="N91" s="346">
        <f t="shared" si="36"/>
        <v>0</v>
      </c>
      <c r="O91" s="346">
        <f t="shared" si="36"/>
        <v>0</v>
      </c>
      <c r="P91" s="346">
        <f t="shared" si="36"/>
        <v>0.1009879445276978</v>
      </c>
    </row>
    <row r="92" spans="1:16">
      <c r="A92" s="350" t="s">
        <v>543</v>
      </c>
      <c r="B92" s="350"/>
      <c r="C92" s="350"/>
      <c r="D92" s="346">
        <f t="shared" ref="D92:P92" si="37">IF(OR(D22=0,D$30=0),0,D22/D$30)</f>
        <v>5.3873485316432781E-2</v>
      </c>
      <c r="E92" s="348">
        <f t="shared" si="37"/>
        <v>0</v>
      </c>
      <c r="F92" s="346">
        <f t="shared" si="37"/>
        <v>0</v>
      </c>
      <c r="G92" s="346">
        <f t="shared" si="37"/>
        <v>0</v>
      </c>
      <c r="H92" s="346">
        <f t="shared" si="37"/>
        <v>0</v>
      </c>
      <c r="I92" s="349">
        <f t="shared" si="37"/>
        <v>0</v>
      </c>
      <c r="J92" s="346">
        <f t="shared" si="37"/>
        <v>0</v>
      </c>
      <c r="K92" s="346">
        <f t="shared" si="37"/>
        <v>0</v>
      </c>
      <c r="L92" s="346">
        <f t="shared" si="37"/>
        <v>0</v>
      </c>
      <c r="M92" s="349">
        <f t="shared" si="37"/>
        <v>0</v>
      </c>
      <c r="N92" s="346">
        <f t="shared" si="37"/>
        <v>0</v>
      </c>
      <c r="O92" s="346">
        <f t="shared" si="37"/>
        <v>0</v>
      </c>
      <c r="P92" s="346">
        <f t="shared" si="37"/>
        <v>0.24082554905714096</v>
      </c>
    </row>
    <row r="93" spans="1:16">
      <c r="A93" s="350" t="s">
        <v>544</v>
      </c>
      <c r="B93" s="350"/>
      <c r="C93" s="350"/>
      <c r="D93" s="346">
        <f t="shared" ref="D93:P93" si="38">IF(OR(D23=0,D$30=0),0,D23/D$30)</f>
        <v>0</v>
      </c>
      <c r="E93" s="348">
        <f t="shared" si="38"/>
        <v>0</v>
      </c>
      <c r="F93" s="346">
        <f t="shared" si="38"/>
        <v>0</v>
      </c>
      <c r="G93" s="346">
        <f t="shared" si="38"/>
        <v>0</v>
      </c>
      <c r="H93" s="346">
        <f t="shared" si="38"/>
        <v>0</v>
      </c>
      <c r="I93" s="349">
        <f t="shared" si="38"/>
        <v>0</v>
      </c>
      <c r="J93" s="346">
        <f t="shared" si="38"/>
        <v>0</v>
      </c>
      <c r="K93" s="346">
        <f t="shared" si="38"/>
        <v>0</v>
      </c>
      <c r="L93" s="346">
        <f t="shared" si="38"/>
        <v>0</v>
      </c>
      <c r="M93" s="349">
        <f t="shared" si="38"/>
        <v>0</v>
      </c>
      <c r="N93" s="346">
        <f t="shared" si="38"/>
        <v>0</v>
      </c>
      <c r="O93" s="346">
        <f t="shared" si="38"/>
        <v>0</v>
      </c>
      <c r="P93" s="346">
        <f t="shared" si="38"/>
        <v>0</v>
      </c>
    </row>
    <row r="94" spans="1:16">
      <c r="A94" s="350" t="s">
        <v>257</v>
      </c>
      <c r="B94" s="350"/>
      <c r="C94" s="350"/>
      <c r="D94" s="346">
        <f t="shared" ref="D94:P94" si="39">IF(OR(D24=0,D$30=0),0,D24/D$30)</f>
        <v>0</v>
      </c>
      <c r="E94" s="348">
        <f t="shared" si="39"/>
        <v>0</v>
      </c>
      <c r="F94" s="346">
        <f t="shared" si="39"/>
        <v>0</v>
      </c>
      <c r="G94" s="346">
        <f t="shared" si="39"/>
        <v>0</v>
      </c>
      <c r="H94" s="346">
        <f t="shared" si="39"/>
        <v>0</v>
      </c>
      <c r="I94" s="349">
        <f t="shared" si="39"/>
        <v>0</v>
      </c>
      <c r="J94" s="346">
        <f t="shared" si="39"/>
        <v>0</v>
      </c>
      <c r="K94" s="346">
        <f t="shared" si="39"/>
        <v>0</v>
      </c>
      <c r="L94" s="346">
        <f t="shared" si="39"/>
        <v>0</v>
      </c>
      <c r="M94" s="349">
        <f t="shared" si="39"/>
        <v>0</v>
      </c>
      <c r="N94" s="346">
        <f t="shared" si="39"/>
        <v>0</v>
      </c>
      <c r="O94" s="346">
        <f t="shared" si="39"/>
        <v>0</v>
      </c>
      <c r="P94" s="346">
        <f t="shared" si="39"/>
        <v>0</v>
      </c>
    </row>
    <row r="95" spans="1:16">
      <c r="A95" s="350" t="s">
        <v>74</v>
      </c>
      <c r="B95" s="350"/>
      <c r="C95" s="350"/>
      <c r="D95" s="346">
        <f t="shared" ref="D95:P95" si="40">IF(OR(D25=0,D$30=0),0,D25/D$30)</f>
        <v>0</v>
      </c>
      <c r="E95" s="348">
        <f t="shared" si="40"/>
        <v>0</v>
      </c>
      <c r="F95" s="346">
        <f t="shared" si="40"/>
        <v>0</v>
      </c>
      <c r="G95" s="346">
        <f t="shared" si="40"/>
        <v>0</v>
      </c>
      <c r="H95" s="346">
        <f t="shared" si="40"/>
        <v>0</v>
      </c>
      <c r="I95" s="349">
        <f t="shared" si="40"/>
        <v>0</v>
      </c>
      <c r="J95" s="346">
        <f t="shared" si="40"/>
        <v>0</v>
      </c>
      <c r="K95" s="346">
        <f t="shared" si="40"/>
        <v>0</v>
      </c>
      <c r="L95" s="346">
        <f t="shared" si="40"/>
        <v>0</v>
      </c>
      <c r="M95" s="349">
        <f t="shared" si="40"/>
        <v>0</v>
      </c>
      <c r="N95" s="346">
        <f t="shared" si="40"/>
        <v>0</v>
      </c>
      <c r="O95" s="346">
        <f t="shared" si="40"/>
        <v>0</v>
      </c>
      <c r="P95" s="346">
        <f t="shared" si="40"/>
        <v>0</v>
      </c>
    </row>
    <row r="96" spans="1:16">
      <c r="A96" s="350" t="s">
        <v>364</v>
      </c>
      <c r="B96" s="350"/>
      <c r="C96" s="350"/>
      <c r="D96" s="346">
        <f t="shared" ref="D96:P96" si="41">IF(OR(D26=0,D$30=0),0,D26/D$30)</f>
        <v>0</v>
      </c>
      <c r="E96" s="348">
        <f t="shared" si="41"/>
        <v>0</v>
      </c>
      <c r="F96" s="346">
        <f t="shared" si="41"/>
        <v>0</v>
      </c>
      <c r="G96" s="346">
        <f t="shared" si="41"/>
        <v>0</v>
      </c>
      <c r="H96" s="346">
        <f t="shared" si="41"/>
        <v>0</v>
      </c>
      <c r="I96" s="349">
        <f t="shared" si="41"/>
        <v>0</v>
      </c>
      <c r="J96" s="346">
        <f t="shared" si="41"/>
        <v>0</v>
      </c>
      <c r="K96" s="346">
        <f t="shared" si="41"/>
        <v>0</v>
      </c>
      <c r="L96" s="346">
        <f t="shared" si="41"/>
        <v>0</v>
      </c>
      <c r="M96" s="349">
        <f t="shared" si="41"/>
        <v>0</v>
      </c>
      <c r="N96" s="346">
        <f t="shared" si="41"/>
        <v>0</v>
      </c>
      <c r="O96" s="346">
        <f t="shared" si="41"/>
        <v>0</v>
      </c>
      <c r="P96" s="346">
        <f t="shared" si="41"/>
        <v>0</v>
      </c>
    </row>
    <row r="97" spans="1:16">
      <c r="A97" s="350" t="s">
        <v>11</v>
      </c>
      <c r="B97" s="350"/>
      <c r="C97" s="350"/>
      <c r="D97" s="346">
        <f t="shared" ref="D97:P97" si="42">IF(OR(D27=0,D$30=0),0,D27/D$30)</f>
        <v>0</v>
      </c>
      <c r="E97" s="348">
        <f t="shared" si="42"/>
        <v>0</v>
      </c>
      <c r="F97" s="346">
        <f t="shared" si="42"/>
        <v>0</v>
      </c>
      <c r="G97" s="346">
        <f t="shared" si="42"/>
        <v>0</v>
      </c>
      <c r="H97" s="346">
        <f t="shared" si="42"/>
        <v>0</v>
      </c>
      <c r="I97" s="349">
        <f t="shared" si="42"/>
        <v>0</v>
      </c>
      <c r="J97" s="346">
        <f t="shared" si="42"/>
        <v>0</v>
      </c>
      <c r="K97" s="346">
        <f t="shared" si="42"/>
        <v>0</v>
      </c>
      <c r="L97" s="346">
        <f t="shared" si="42"/>
        <v>0</v>
      </c>
      <c r="M97" s="349">
        <f t="shared" si="42"/>
        <v>0</v>
      </c>
      <c r="N97" s="346">
        <f t="shared" si="42"/>
        <v>0</v>
      </c>
      <c r="O97" s="346">
        <f t="shared" si="42"/>
        <v>0</v>
      </c>
      <c r="P97" s="346">
        <f t="shared" si="42"/>
        <v>0</v>
      </c>
    </row>
    <row r="98" spans="1:16">
      <c r="A98" s="350" t="s">
        <v>545</v>
      </c>
      <c r="B98" s="350"/>
      <c r="C98" s="350"/>
      <c r="D98" s="346">
        <f t="shared" ref="D98:P98" si="43">IF(OR(D28=0,D$30=0),0,D28/D$30)</f>
        <v>0</v>
      </c>
      <c r="E98" s="348">
        <f t="shared" si="43"/>
        <v>0</v>
      </c>
      <c r="F98" s="346">
        <f t="shared" si="43"/>
        <v>0</v>
      </c>
      <c r="G98" s="346">
        <f t="shared" si="43"/>
        <v>0</v>
      </c>
      <c r="H98" s="346">
        <f t="shared" si="43"/>
        <v>0</v>
      </c>
      <c r="I98" s="349">
        <f t="shared" si="43"/>
        <v>0</v>
      </c>
      <c r="J98" s="346">
        <f t="shared" si="43"/>
        <v>0</v>
      </c>
      <c r="K98" s="346">
        <f t="shared" si="43"/>
        <v>0</v>
      </c>
      <c r="L98" s="346">
        <f t="shared" si="43"/>
        <v>0</v>
      </c>
      <c r="M98" s="349">
        <f t="shared" si="43"/>
        <v>0</v>
      </c>
      <c r="N98" s="346">
        <f t="shared" si="43"/>
        <v>0</v>
      </c>
      <c r="O98" s="346">
        <f t="shared" si="43"/>
        <v>0</v>
      </c>
      <c r="P98" s="346">
        <f t="shared" si="43"/>
        <v>0</v>
      </c>
    </row>
    <row r="99" spans="1:16">
      <c r="A99" s="350" t="s">
        <v>546</v>
      </c>
      <c r="B99" s="351"/>
      <c r="C99" s="351"/>
      <c r="D99" s="346">
        <f t="shared" ref="D99:P99" si="44">IF(OR(D29=0,D$30=0),0,D29/D$30)</f>
        <v>0</v>
      </c>
      <c r="E99" s="348">
        <f t="shared" si="44"/>
        <v>0</v>
      </c>
      <c r="F99" s="346">
        <f t="shared" si="44"/>
        <v>0</v>
      </c>
      <c r="G99" s="346">
        <f t="shared" si="44"/>
        <v>0</v>
      </c>
      <c r="H99" s="346">
        <f t="shared" si="44"/>
        <v>0</v>
      </c>
      <c r="I99" s="349">
        <f t="shared" si="44"/>
        <v>0</v>
      </c>
      <c r="J99" s="346">
        <f t="shared" si="44"/>
        <v>0</v>
      </c>
      <c r="K99" s="346">
        <f t="shared" si="44"/>
        <v>0</v>
      </c>
      <c r="L99" s="346">
        <f t="shared" si="44"/>
        <v>0</v>
      </c>
      <c r="M99" s="349">
        <f t="shared" si="44"/>
        <v>0</v>
      </c>
      <c r="N99" s="346">
        <f t="shared" si="44"/>
        <v>0</v>
      </c>
      <c r="O99" s="346">
        <f t="shared" si="44"/>
        <v>0</v>
      </c>
      <c r="P99" s="346">
        <f t="shared" si="44"/>
        <v>0</v>
      </c>
    </row>
    <row r="100" spans="1:16" ht="15" thickBot="1">
      <c r="A100" s="350" t="s">
        <v>537</v>
      </c>
      <c r="B100" s="351"/>
      <c r="C100" s="351"/>
      <c r="D100" s="352">
        <f>SUM(D84:D99)</f>
        <v>1</v>
      </c>
      <c r="E100" s="352">
        <f t="shared" ref="E100:P100" si="45">SUM(E84:E99)</f>
        <v>1</v>
      </c>
      <c r="F100" s="352">
        <f t="shared" si="45"/>
        <v>1</v>
      </c>
      <c r="G100" s="352">
        <f t="shared" si="45"/>
        <v>1</v>
      </c>
      <c r="H100" s="352">
        <f t="shared" si="45"/>
        <v>1</v>
      </c>
      <c r="I100" s="352">
        <f t="shared" si="45"/>
        <v>1</v>
      </c>
      <c r="J100" s="352">
        <f t="shared" si="45"/>
        <v>1</v>
      </c>
      <c r="K100" s="352">
        <f t="shared" si="45"/>
        <v>1</v>
      </c>
      <c r="L100" s="352">
        <f t="shared" si="45"/>
        <v>1</v>
      </c>
      <c r="M100" s="352">
        <f t="shared" si="45"/>
        <v>1</v>
      </c>
      <c r="N100" s="352">
        <f t="shared" si="45"/>
        <v>1</v>
      </c>
      <c r="O100" s="352">
        <f t="shared" si="45"/>
        <v>1</v>
      </c>
      <c r="P100" s="352">
        <f t="shared" si="45"/>
        <v>0.99999999999999978</v>
      </c>
    </row>
    <row r="101" spans="1:16" ht="15" thickTop="1">
      <c r="A101" s="351" t="s">
        <v>328</v>
      </c>
      <c r="B101" s="351"/>
      <c r="C101" s="351"/>
      <c r="D101" s="353"/>
      <c r="E101" s="479">
        <f t="shared" ref="E101:P101" si="46">E31/$D$30</f>
        <v>7.0572421509204675E-2</v>
      </c>
      <c r="F101" s="479">
        <f t="shared" si="46"/>
        <v>0.14114484301840935</v>
      </c>
      <c r="G101" s="479">
        <f t="shared" si="46"/>
        <v>0.211717264527614</v>
      </c>
      <c r="H101" s="479">
        <f t="shared" si="46"/>
        <v>0.2822896860368187</v>
      </c>
      <c r="I101" s="479">
        <f t="shared" si="46"/>
        <v>0.35286210754602337</v>
      </c>
      <c r="J101" s="479">
        <f t="shared" si="46"/>
        <v>0.42343452905522799</v>
      </c>
      <c r="K101" s="479">
        <f t="shared" si="46"/>
        <v>0.49400695056443267</v>
      </c>
      <c r="L101" s="479">
        <f t="shared" si="46"/>
        <v>0.5645793720736374</v>
      </c>
      <c r="M101" s="479">
        <f t="shared" si="46"/>
        <v>0.63515179358284202</v>
      </c>
      <c r="N101" s="479">
        <f t="shared" si="46"/>
        <v>0.70572421509204675</v>
      </c>
      <c r="O101" s="479">
        <f t="shared" si="46"/>
        <v>0.77629663660125137</v>
      </c>
      <c r="P101" s="479">
        <f t="shared" si="46"/>
        <v>1</v>
      </c>
    </row>
    <row r="102" spans="1:16">
      <c r="A102" s="351"/>
      <c r="B102" s="351"/>
      <c r="C102" s="351"/>
      <c r="D102" s="480"/>
      <c r="E102" s="481"/>
      <c r="F102" s="482"/>
      <c r="G102" s="482"/>
      <c r="H102" s="482"/>
      <c r="I102" s="482"/>
      <c r="J102" s="482"/>
      <c r="K102" s="482"/>
      <c r="L102" s="482"/>
      <c r="M102" s="482"/>
      <c r="N102" s="482"/>
      <c r="O102" s="482"/>
      <c r="P102" s="482"/>
    </row>
    <row r="103" spans="1:16" ht="18">
      <c r="A103" s="483" t="s">
        <v>538</v>
      </c>
      <c r="B103" s="351"/>
      <c r="C103" s="351"/>
      <c r="D103" s="480"/>
      <c r="E103" s="481"/>
      <c r="F103" s="482"/>
      <c r="G103" s="482"/>
      <c r="H103" s="482"/>
      <c r="I103" s="482"/>
      <c r="J103" s="482"/>
      <c r="K103" s="482"/>
      <c r="L103" s="482"/>
      <c r="M103" s="482"/>
      <c r="N103" s="482"/>
      <c r="O103" s="482"/>
      <c r="P103" s="482"/>
    </row>
    <row r="104" spans="1:16">
      <c r="A104" s="18"/>
      <c r="B104" s="18"/>
      <c r="C104" s="18"/>
      <c r="D104" s="354"/>
      <c r="E104" s="355"/>
      <c r="F104" s="354"/>
      <c r="G104" s="354"/>
      <c r="H104" s="354"/>
      <c r="I104" s="356"/>
      <c r="J104" s="354"/>
      <c r="K104" s="354"/>
      <c r="L104" s="354"/>
      <c r="M104" s="356"/>
      <c r="N104" s="354"/>
      <c r="O104" s="354"/>
      <c r="P104" s="354"/>
    </row>
    <row r="105" spans="1:16">
      <c r="A105" s="318" t="s">
        <v>329</v>
      </c>
      <c r="B105" s="318"/>
      <c r="C105" s="318"/>
      <c r="D105" s="357"/>
      <c r="E105" s="358"/>
      <c r="F105" s="357"/>
      <c r="G105" s="357"/>
      <c r="H105" s="357"/>
      <c r="I105" s="357"/>
      <c r="J105" s="357"/>
      <c r="K105" s="357"/>
      <c r="L105" s="357"/>
      <c r="M105" s="357"/>
      <c r="N105" s="357"/>
      <c r="O105" s="357"/>
      <c r="P105" s="357"/>
    </row>
    <row r="106" spans="1:16">
      <c r="A106" s="17" t="s">
        <v>330</v>
      </c>
      <c r="B106" s="18"/>
      <c r="C106" s="18"/>
      <c r="D106" s="347">
        <f t="shared" ref="D106:P106" si="47">D35/D$55</f>
        <v>0.35881729283800096</v>
      </c>
      <c r="E106" s="347">
        <f t="shared" si="47"/>
        <v>8.8365173800380961E-2</v>
      </c>
      <c r="F106" s="347">
        <f t="shared" si="47"/>
        <v>0.32577536481391589</v>
      </c>
      <c r="G106" s="347">
        <f t="shared" si="47"/>
        <v>0.32953822124527887</v>
      </c>
      <c r="H106" s="347">
        <f t="shared" si="47"/>
        <v>0.39895421979965651</v>
      </c>
      <c r="I106" s="347">
        <f t="shared" si="47"/>
        <v>0.39895421979965651</v>
      </c>
      <c r="J106" s="347">
        <f t="shared" si="47"/>
        <v>0.39895421979965651</v>
      </c>
      <c r="K106" s="347">
        <f t="shared" si="47"/>
        <v>0.39895421979965651</v>
      </c>
      <c r="L106" s="347">
        <f t="shared" si="47"/>
        <v>0.39895421979965651</v>
      </c>
      <c r="M106" s="347">
        <f t="shared" si="47"/>
        <v>0.39895421979965651</v>
      </c>
      <c r="N106" s="347">
        <f t="shared" si="47"/>
        <v>0.39895421979965651</v>
      </c>
      <c r="O106" s="347">
        <f t="shared" si="47"/>
        <v>0.39895421979965651</v>
      </c>
      <c r="P106" s="347">
        <f t="shared" si="47"/>
        <v>0.39895421979965651</v>
      </c>
    </row>
    <row r="107" spans="1:16">
      <c r="A107" s="18" t="s">
        <v>331</v>
      </c>
      <c r="B107" s="18"/>
      <c r="C107" s="18"/>
      <c r="D107" s="347">
        <f t="shared" ref="D107:P107" si="48">D36/D$55</f>
        <v>0.17578278181451376</v>
      </c>
      <c r="E107" s="347">
        <f t="shared" si="48"/>
        <v>4.3289652913040717E-2</v>
      </c>
      <c r="F107" s="347">
        <f t="shared" si="48"/>
        <v>0.15959570794566619</v>
      </c>
      <c r="G107" s="347">
        <f t="shared" si="48"/>
        <v>0.16143911233078387</v>
      </c>
      <c r="H107" s="347">
        <f t="shared" si="48"/>
        <v>0.19544565987427082</v>
      </c>
      <c r="I107" s="347">
        <f t="shared" si="48"/>
        <v>0.19544565987427082</v>
      </c>
      <c r="J107" s="347">
        <f t="shared" si="48"/>
        <v>0.19544565987427082</v>
      </c>
      <c r="K107" s="347">
        <f t="shared" si="48"/>
        <v>0.19544565987427082</v>
      </c>
      <c r="L107" s="347">
        <f t="shared" si="48"/>
        <v>0.19544565987427082</v>
      </c>
      <c r="M107" s="347">
        <f t="shared" si="48"/>
        <v>0.19544565987427082</v>
      </c>
      <c r="N107" s="347">
        <f t="shared" si="48"/>
        <v>0.19544565987427082</v>
      </c>
      <c r="O107" s="347">
        <f t="shared" si="48"/>
        <v>0.19544565987427082</v>
      </c>
      <c r="P107" s="347">
        <f t="shared" si="48"/>
        <v>0.19544565987427082</v>
      </c>
    </row>
    <row r="108" spans="1:16">
      <c r="A108" s="18" t="s">
        <v>458</v>
      </c>
      <c r="B108" s="18"/>
      <c r="C108" s="18"/>
      <c r="D108" s="347">
        <f t="shared" ref="D108:P108" si="49">D37/D$55</f>
        <v>0</v>
      </c>
      <c r="E108" s="347">
        <f t="shared" si="49"/>
        <v>0</v>
      </c>
      <c r="F108" s="347">
        <f t="shared" si="49"/>
        <v>0</v>
      </c>
      <c r="G108" s="347">
        <f t="shared" si="49"/>
        <v>0</v>
      </c>
      <c r="H108" s="347">
        <f t="shared" si="49"/>
        <v>0</v>
      </c>
      <c r="I108" s="347">
        <f t="shared" si="49"/>
        <v>0</v>
      </c>
      <c r="J108" s="347">
        <f t="shared" si="49"/>
        <v>0</v>
      </c>
      <c r="K108" s="347">
        <f t="shared" si="49"/>
        <v>0</v>
      </c>
      <c r="L108" s="347">
        <f t="shared" si="49"/>
        <v>0</v>
      </c>
      <c r="M108" s="347">
        <f t="shared" si="49"/>
        <v>0</v>
      </c>
      <c r="N108" s="347">
        <f t="shared" si="49"/>
        <v>0</v>
      </c>
      <c r="O108" s="347">
        <f t="shared" si="49"/>
        <v>0</v>
      </c>
      <c r="P108" s="347">
        <f t="shared" si="49"/>
        <v>0</v>
      </c>
    </row>
    <row r="109" spans="1:16">
      <c r="A109" s="18" t="s">
        <v>459</v>
      </c>
      <c r="B109" s="18"/>
      <c r="C109" s="18"/>
      <c r="D109" s="347">
        <f t="shared" ref="D109:P109" si="50">D38/D$55</f>
        <v>0</v>
      </c>
      <c r="E109" s="347">
        <f t="shared" si="50"/>
        <v>0</v>
      </c>
      <c r="F109" s="347">
        <f t="shared" si="50"/>
        <v>0</v>
      </c>
      <c r="G109" s="347">
        <f t="shared" si="50"/>
        <v>0</v>
      </c>
      <c r="H109" s="347">
        <f t="shared" si="50"/>
        <v>0</v>
      </c>
      <c r="I109" s="347">
        <f t="shared" si="50"/>
        <v>0</v>
      </c>
      <c r="J109" s="347">
        <f t="shared" si="50"/>
        <v>0</v>
      </c>
      <c r="K109" s="347">
        <f t="shared" si="50"/>
        <v>0</v>
      </c>
      <c r="L109" s="347">
        <f t="shared" si="50"/>
        <v>0</v>
      </c>
      <c r="M109" s="347">
        <f t="shared" si="50"/>
        <v>0</v>
      </c>
      <c r="N109" s="347">
        <f t="shared" si="50"/>
        <v>0</v>
      </c>
      <c r="O109" s="347">
        <f t="shared" si="50"/>
        <v>0</v>
      </c>
      <c r="P109" s="347">
        <f t="shared" si="50"/>
        <v>0</v>
      </c>
    </row>
    <row r="110" spans="1:16">
      <c r="A110" s="18" t="s">
        <v>135</v>
      </c>
      <c r="B110" s="18"/>
      <c r="C110" s="18"/>
      <c r="D110" s="347">
        <f t="shared" ref="D110:P110" si="51">D39/D$55</f>
        <v>1.1755324726361969E-3</v>
      </c>
      <c r="E110" s="347">
        <f t="shared" si="51"/>
        <v>1.1597929061300002E-3</v>
      </c>
      <c r="F110" s="347">
        <f t="shared" si="51"/>
        <v>9.9912518948505808E-4</v>
      </c>
      <c r="G110" s="347">
        <f t="shared" si="51"/>
        <v>1.0106655484288293E-3</v>
      </c>
      <c r="H110" s="347">
        <f t="shared" si="51"/>
        <v>1.2235584807982029E-3</v>
      </c>
      <c r="I110" s="347">
        <f t="shared" si="51"/>
        <v>1.2235584807982029E-3</v>
      </c>
      <c r="J110" s="347">
        <f t="shared" si="51"/>
        <v>1.2235584807982029E-3</v>
      </c>
      <c r="K110" s="347">
        <f t="shared" si="51"/>
        <v>1.2235584807982029E-3</v>
      </c>
      <c r="L110" s="347">
        <f t="shared" si="51"/>
        <v>1.2235584807982029E-3</v>
      </c>
      <c r="M110" s="347">
        <f t="shared" si="51"/>
        <v>1.2235584807982029E-3</v>
      </c>
      <c r="N110" s="347">
        <f t="shared" si="51"/>
        <v>1.2235584807982029E-3</v>
      </c>
      <c r="O110" s="347">
        <f t="shared" si="51"/>
        <v>1.2235584807982029E-3</v>
      </c>
      <c r="P110" s="347">
        <f t="shared" si="51"/>
        <v>1.2235584807982029E-3</v>
      </c>
    </row>
    <row r="111" spans="1:16">
      <c r="A111" s="18" t="s">
        <v>525</v>
      </c>
      <c r="B111" s="18"/>
      <c r="C111" s="18"/>
      <c r="D111" s="347">
        <f t="shared" ref="D111:P111" si="52">D40/D$55</f>
        <v>0.17116101269338485</v>
      </c>
      <c r="E111" s="347">
        <f t="shared" si="52"/>
        <v>0.16886928515266106</v>
      </c>
      <c r="F111" s="347">
        <f t="shared" si="52"/>
        <v>0.14547558933546964</v>
      </c>
      <c r="G111" s="347">
        <f t="shared" si="52"/>
        <v>0.14715589980722665</v>
      </c>
      <c r="H111" s="347">
        <f t="shared" si="52"/>
        <v>0.17815374184717464</v>
      </c>
      <c r="I111" s="347">
        <f t="shared" si="52"/>
        <v>0.17815374184717464</v>
      </c>
      <c r="J111" s="347">
        <f t="shared" si="52"/>
        <v>0.17815374184717464</v>
      </c>
      <c r="K111" s="347">
        <f t="shared" si="52"/>
        <v>0.17815374184717464</v>
      </c>
      <c r="L111" s="347">
        <f t="shared" si="52"/>
        <v>0.17815374184717464</v>
      </c>
      <c r="M111" s="347">
        <f t="shared" si="52"/>
        <v>0.17815374184717464</v>
      </c>
      <c r="N111" s="347">
        <f t="shared" si="52"/>
        <v>0.17815374184717464</v>
      </c>
      <c r="O111" s="347">
        <f t="shared" si="52"/>
        <v>0.17815374184717464</v>
      </c>
      <c r="P111" s="347">
        <f t="shared" si="52"/>
        <v>0.17815374184717464</v>
      </c>
    </row>
    <row r="112" spans="1:16">
      <c r="A112" s="18" t="s">
        <v>332</v>
      </c>
      <c r="B112" s="18"/>
      <c r="C112" s="18"/>
      <c r="D112" s="347">
        <f t="shared" ref="D112:P112" si="53">D41/D$55</f>
        <v>5.5977736792199844E-3</v>
      </c>
      <c r="E112" s="347">
        <f t="shared" si="53"/>
        <v>5.5228233625238101E-3</v>
      </c>
      <c r="F112" s="347">
        <f t="shared" si="53"/>
        <v>4.7577389975478951E-3</v>
      </c>
      <c r="G112" s="347">
        <f t="shared" si="53"/>
        <v>4.8126930877563298E-3</v>
      </c>
      <c r="H112" s="347">
        <f t="shared" si="53"/>
        <v>5.8264689561819188E-3</v>
      </c>
      <c r="I112" s="347">
        <f t="shared" si="53"/>
        <v>5.8264689561819188E-3</v>
      </c>
      <c r="J112" s="347">
        <f t="shared" si="53"/>
        <v>5.8264689561819188E-3</v>
      </c>
      <c r="K112" s="347">
        <f t="shared" si="53"/>
        <v>5.8264689561819188E-3</v>
      </c>
      <c r="L112" s="347">
        <f t="shared" si="53"/>
        <v>5.8264689561819188E-3</v>
      </c>
      <c r="M112" s="347">
        <f t="shared" si="53"/>
        <v>5.8264689561819188E-3</v>
      </c>
      <c r="N112" s="347">
        <f t="shared" si="53"/>
        <v>5.8264689561819188E-3</v>
      </c>
      <c r="O112" s="347">
        <f t="shared" si="53"/>
        <v>5.8264689561819188E-3</v>
      </c>
      <c r="P112" s="347">
        <f t="shared" si="53"/>
        <v>5.8264689561819188E-3</v>
      </c>
    </row>
    <row r="113" spans="1:16">
      <c r="A113" s="18" t="s">
        <v>365</v>
      </c>
      <c r="B113" s="18"/>
      <c r="C113" s="18"/>
      <c r="D113" s="347">
        <f t="shared" ref="D113:P113" si="54">D42/D$55</f>
        <v>0</v>
      </c>
      <c r="E113" s="347">
        <f t="shared" si="54"/>
        <v>0</v>
      </c>
      <c r="F113" s="347">
        <f t="shared" si="54"/>
        <v>0</v>
      </c>
      <c r="G113" s="347">
        <f t="shared" si="54"/>
        <v>0</v>
      </c>
      <c r="H113" s="347">
        <f t="shared" si="54"/>
        <v>0</v>
      </c>
      <c r="I113" s="347">
        <f t="shared" si="54"/>
        <v>0</v>
      </c>
      <c r="J113" s="347">
        <f t="shared" si="54"/>
        <v>0</v>
      </c>
      <c r="K113" s="347">
        <f t="shared" si="54"/>
        <v>0</v>
      </c>
      <c r="L113" s="347">
        <f t="shared" si="54"/>
        <v>0</v>
      </c>
      <c r="M113" s="347">
        <f t="shared" si="54"/>
        <v>0</v>
      </c>
      <c r="N113" s="347">
        <f t="shared" si="54"/>
        <v>0</v>
      </c>
      <c r="O113" s="347">
        <f t="shared" si="54"/>
        <v>0</v>
      </c>
      <c r="P113" s="347">
        <f t="shared" si="54"/>
        <v>0</v>
      </c>
    </row>
    <row r="114" spans="1:16">
      <c r="A114" s="18" t="s">
        <v>128</v>
      </c>
      <c r="B114" s="18"/>
      <c r="C114" s="18"/>
      <c r="D114" s="347">
        <f t="shared" ref="D114:P114" si="55">D43/D$55</f>
        <v>1.4927396477919961E-2</v>
      </c>
      <c r="E114" s="347">
        <f t="shared" si="55"/>
        <v>0</v>
      </c>
      <c r="F114" s="347">
        <f t="shared" si="55"/>
        <v>1.3840695265593877E-2</v>
      </c>
      <c r="G114" s="347">
        <f t="shared" si="55"/>
        <v>1.4000561709836596E-2</v>
      </c>
      <c r="H114" s="347">
        <f t="shared" si="55"/>
        <v>1.694972787252922E-2</v>
      </c>
      <c r="I114" s="347">
        <f t="shared" si="55"/>
        <v>1.694972787252922E-2</v>
      </c>
      <c r="J114" s="347">
        <f t="shared" si="55"/>
        <v>1.694972787252922E-2</v>
      </c>
      <c r="K114" s="347">
        <f t="shared" si="55"/>
        <v>1.694972787252922E-2</v>
      </c>
      <c r="L114" s="347">
        <f t="shared" si="55"/>
        <v>1.694972787252922E-2</v>
      </c>
      <c r="M114" s="347">
        <f t="shared" si="55"/>
        <v>1.694972787252922E-2</v>
      </c>
      <c r="N114" s="347">
        <f t="shared" si="55"/>
        <v>1.694972787252922E-2</v>
      </c>
      <c r="O114" s="347">
        <f t="shared" si="55"/>
        <v>1.694972787252922E-2</v>
      </c>
      <c r="P114" s="347">
        <f t="shared" si="55"/>
        <v>1.694972787252922E-2</v>
      </c>
    </row>
    <row r="115" spans="1:16">
      <c r="A115" s="465" t="s">
        <v>526</v>
      </c>
      <c r="B115" s="18"/>
      <c r="C115" s="18"/>
      <c r="D115" s="347">
        <f t="shared" ref="D115:P115" si="56">D44/D$55</f>
        <v>0</v>
      </c>
      <c r="E115" s="347">
        <f t="shared" si="56"/>
        <v>0</v>
      </c>
      <c r="F115" s="347">
        <f t="shared" si="56"/>
        <v>0</v>
      </c>
      <c r="G115" s="347">
        <f t="shared" si="56"/>
        <v>0</v>
      </c>
      <c r="H115" s="347">
        <f t="shared" si="56"/>
        <v>0</v>
      </c>
      <c r="I115" s="347">
        <f t="shared" si="56"/>
        <v>0</v>
      </c>
      <c r="J115" s="347">
        <f t="shared" si="56"/>
        <v>0</v>
      </c>
      <c r="K115" s="347">
        <f t="shared" si="56"/>
        <v>0</v>
      </c>
      <c r="L115" s="347">
        <f t="shared" si="56"/>
        <v>0</v>
      </c>
      <c r="M115" s="347">
        <f t="shared" si="56"/>
        <v>0</v>
      </c>
      <c r="N115" s="347">
        <f t="shared" si="56"/>
        <v>0</v>
      </c>
      <c r="O115" s="347">
        <f t="shared" si="56"/>
        <v>0</v>
      </c>
      <c r="P115" s="347">
        <f t="shared" si="56"/>
        <v>0</v>
      </c>
    </row>
    <row r="116" spans="1:16">
      <c r="A116" s="150" t="s">
        <v>528</v>
      </c>
      <c r="B116" s="18"/>
      <c r="C116" s="18"/>
      <c r="D116" s="347">
        <f t="shared" ref="D116:P116" si="57">D45/D$55</f>
        <v>2.2391094716879938E-3</v>
      </c>
      <c r="E116" s="347">
        <f t="shared" si="57"/>
        <v>1.3254776070057145E-2</v>
      </c>
      <c r="F116" s="347">
        <f t="shared" si="57"/>
        <v>1.141857359411495E-2</v>
      </c>
      <c r="G116" s="347">
        <f t="shared" si="57"/>
        <v>0</v>
      </c>
      <c r="H116" s="347">
        <f t="shared" si="57"/>
        <v>0</v>
      </c>
      <c r="I116" s="347">
        <f t="shared" si="57"/>
        <v>0</v>
      </c>
      <c r="J116" s="347">
        <f t="shared" si="57"/>
        <v>0</v>
      </c>
      <c r="K116" s="347">
        <f t="shared" si="57"/>
        <v>0</v>
      </c>
      <c r="L116" s="347">
        <f t="shared" si="57"/>
        <v>0</v>
      </c>
      <c r="M116" s="347">
        <f t="shared" si="57"/>
        <v>0</v>
      </c>
      <c r="N116" s="347">
        <f t="shared" si="57"/>
        <v>0</v>
      </c>
      <c r="O116" s="347">
        <f t="shared" si="57"/>
        <v>0</v>
      </c>
      <c r="P116" s="347">
        <f t="shared" si="57"/>
        <v>0</v>
      </c>
    </row>
    <row r="117" spans="1:16">
      <c r="A117" s="18" t="s">
        <v>527</v>
      </c>
      <c r="B117" s="18"/>
      <c r="C117" s="18"/>
      <c r="D117" s="347">
        <f t="shared" ref="D117:P117" si="58">D46/D$55</f>
        <v>0.14382561433872362</v>
      </c>
      <c r="E117" s="347">
        <f t="shared" si="58"/>
        <v>0</v>
      </c>
      <c r="F117" s="347">
        <f t="shared" si="58"/>
        <v>0.13335523729094967</v>
      </c>
      <c r="G117" s="347">
        <f t="shared" si="58"/>
        <v>0.13489555207989271</v>
      </c>
      <c r="H117" s="347">
        <f t="shared" si="58"/>
        <v>0.16331079754909775</v>
      </c>
      <c r="I117" s="347">
        <f t="shared" si="58"/>
        <v>0.16331079754909775</v>
      </c>
      <c r="J117" s="347">
        <f t="shared" si="58"/>
        <v>0.16331079754909775</v>
      </c>
      <c r="K117" s="347">
        <f t="shared" si="58"/>
        <v>0.16331079754909775</v>
      </c>
      <c r="L117" s="347">
        <f t="shared" si="58"/>
        <v>0.16331079754909775</v>
      </c>
      <c r="M117" s="347">
        <f t="shared" si="58"/>
        <v>0.16331079754909775</v>
      </c>
      <c r="N117" s="347">
        <f t="shared" si="58"/>
        <v>0.16331079754909775</v>
      </c>
      <c r="O117" s="347">
        <f t="shared" si="58"/>
        <v>0.16331079754909775</v>
      </c>
      <c r="P117" s="347">
        <f t="shared" si="58"/>
        <v>0.16331079754909775</v>
      </c>
    </row>
    <row r="118" spans="1:16">
      <c r="A118" s="18" t="s">
        <v>254</v>
      </c>
      <c r="B118" s="18"/>
      <c r="C118" s="18"/>
      <c r="D118" s="347">
        <f t="shared" ref="D118:P118" si="59">D47/D$55</f>
        <v>9.3393256064106221E-3</v>
      </c>
      <c r="E118" s="347">
        <f t="shared" si="59"/>
        <v>9.2142784980347257E-3</v>
      </c>
      <c r="F118" s="347">
        <f t="shared" si="59"/>
        <v>7.9378117435089084E-3</v>
      </c>
      <c r="G118" s="347">
        <f t="shared" si="59"/>
        <v>8.02949714761266E-3</v>
      </c>
      <c r="H118" s="347">
        <f t="shared" si="59"/>
        <v>9.7208808064939145E-3</v>
      </c>
      <c r="I118" s="347">
        <f t="shared" si="59"/>
        <v>9.7208808064939145E-3</v>
      </c>
      <c r="J118" s="347">
        <f t="shared" si="59"/>
        <v>9.7208808064939145E-3</v>
      </c>
      <c r="K118" s="347">
        <f t="shared" si="59"/>
        <v>9.7208808064939145E-3</v>
      </c>
      <c r="L118" s="347">
        <f t="shared" si="59"/>
        <v>9.7208808064939145E-3</v>
      </c>
      <c r="M118" s="347">
        <f t="shared" si="59"/>
        <v>9.7208808064939145E-3</v>
      </c>
      <c r="N118" s="347">
        <f t="shared" si="59"/>
        <v>9.7208808064939145E-3</v>
      </c>
      <c r="O118" s="347">
        <f t="shared" si="59"/>
        <v>9.7208808064939145E-3</v>
      </c>
      <c r="P118" s="347">
        <f t="shared" si="59"/>
        <v>9.7208808064939145E-3</v>
      </c>
    </row>
    <row r="119" spans="1:16">
      <c r="A119" s="18" t="s">
        <v>15</v>
      </c>
      <c r="B119" s="18"/>
      <c r="C119" s="18"/>
      <c r="D119" s="347">
        <f t="shared" ref="D119:P119" si="60">D48/D$55</f>
        <v>1.8678651212821244E-2</v>
      </c>
      <c r="E119" s="347">
        <f t="shared" si="60"/>
        <v>1.8428556996069451E-2</v>
      </c>
      <c r="F119" s="347">
        <f t="shared" si="60"/>
        <v>1.5875623487017817E-2</v>
      </c>
      <c r="G119" s="347">
        <f t="shared" si="60"/>
        <v>1.605899429522532E-2</v>
      </c>
      <c r="H119" s="347">
        <f t="shared" si="60"/>
        <v>1.9441761612987829E-2</v>
      </c>
      <c r="I119" s="347">
        <f t="shared" si="60"/>
        <v>1.9441761612987829E-2</v>
      </c>
      <c r="J119" s="347">
        <f t="shared" si="60"/>
        <v>1.9441761612987829E-2</v>
      </c>
      <c r="K119" s="347">
        <f t="shared" si="60"/>
        <v>1.9441761612987829E-2</v>
      </c>
      <c r="L119" s="347">
        <f t="shared" si="60"/>
        <v>1.9441761612987829E-2</v>
      </c>
      <c r="M119" s="347">
        <f t="shared" si="60"/>
        <v>1.9441761612987829E-2</v>
      </c>
      <c r="N119" s="347">
        <f t="shared" si="60"/>
        <v>1.9441761612987829E-2</v>
      </c>
      <c r="O119" s="347">
        <f t="shared" si="60"/>
        <v>1.9441761612987829E-2</v>
      </c>
      <c r="P119" s="347">
        <f t="shared" si="60"/>
        <v>1.9441761612987829E-2</v>
      </c>
    </row>
    <row r="120" spans="1:16">
      <c r="A120" s="465" t="s">
        <v>529</v>
      </c>
      <c r="B120" s="18"/>
      <c r="C120" s="18"/>
      <c r="D120" s="347">
        <f t="shared" ref="D120:P120" si="61">D49/D$55</f>
        <v>0</v>
      </c>
      <c r="E120" s="347">
        <f t="shared" si="61"/>
        <v>0</v>
      </c>
      <c r="F120" s="347">
        <f t="shared" si="61"/>
        <v>0</v>
      </c>
      <c r="G120" s="347">
        <f t="shared" si="61"/>
        <v>0</v>
      </c>
      <c r="H120" s="347">
        <f t="shared" si="61"/>
        <v>0</v>
      </c>
      <c r="I120" s="347">
        <f t="shared" si="61"/>
        <v>0</v>
      </c>
      <c r="J120" s="347">
        <f t="shared" si="61"/>
        <v>0</v>
      </c>
      <c r="K120" s="347">
        <f t="shared" si="61"/>
        <v>0</v>
      </c>
      <c r="L120" s="347">
        <f t="shared" si="61"/>
        <v>0</v>
      </c>
      <c r="M120" s="347">
        <f t="shared" si="61"/>
        <v>0</v>
      </c>
      <c r="N120" s="347">
        <f t="shared" si="61"/>
        <v>0</v>
      </c>
      <c r="O120" s="347">
        <f t="shared" si="61"/>
        <v>0</v>
      </c>
      <c r="P120" s="347">
        <f t="shared" si="61"/>
        <v>0</v>
      </c>
    </row>
    <row r="121" spans="1:16">
      <c r="A121" s="465" t="s">
        <v>241</v>
      </c>
      <c r="B121" s="18"/>
      <c r="C121" s="18"/>
      <c r="D121" s="347">
        <f t="shared" ref="D121:P121" si="62">D50/D$55</f>
        <v>0</v>
      </c>
      <c r="E121" s="347">
        <f t="shared" si="62"/>
        <v>0</v>
      </c>
      <c r="F121" s="347">
        <f t="shared" si="62"/>
        <v>0</v>
      </c>
      <c r="G121" s="347">
        <f t="shared" si="62"/>
        <v>0</v>
      </c>
      <c r="H121" s="347">
        <f t="shared" si="62"/>
        <v>0</v>
      </c>
      <c r="I121" s="347">
        <f t="shared" si="62"/>
        <v>0</v>
      </c>
      <c r="J121" s="347">
        <f t="shared" si="62"/>
        <v>0</v>
      </c>
      <c r="K121" s="347">
        <f t="shared" si="62"/>
        <v>0</v>
      </c>
      <c r="L121" s="347">
        <f t="shared" si="62"/>
        <v>0</v>
      </c>
      <c r="M121" s="347">
        <f t="shared" si="62"/>
        <v>0</v>
      </c>
      <c r="N121" s="347">
        <f t="shared" si="62"/>
        <v>0</v>
      </c>
      <c r="O121" s="347">
        <f t="shared" si="62"/>
        <v>0</v>
      </c>
      <c r="P121" s="347">
        <f t="shared" si="62"/>
        <v>0</v>
      </c>
    </row>
    <row r="122" spans="1:16">
      <c r="A122" s="465" t="s">
        <v>536</v>
      </c>
      <c r="B122" s="18"/>
      <c r="C122" s="18"/>
      <c r="D122" s="347">
        <f t="shared" ref="D122:P122" si="63">D53/D$55</f>
        <v>5.059454443734996E-2</v>
      </c>
      <c r="E122" s="347">
        <f t="shared" si="63"/>
        <v>0.19966847396644413</v>
      </c>
      <c r="F122" s="347">
        <f t="shared" si="63"/>
        <v>0.17200812389134823</v>
      </c>
      <c r="G122" s="347">
        <f t="shared" si="63"/>
        <v>0.17399489743268384</v>
      </c>
      <c r="H122" s="347">
        <f t="shared" si="63"/>
        <v>0</v>
      </c>
      <c r="I122" s="347">
        <f t="shared" si="63"/>
        <v>0</v>
      </c>
      <c r="J122" s="347">
        <f t="shared" si="63"/>
        <v>0</v>
      </c>
      <c r="K122" s="347">
        <f t="shared" si="63"/>
        <v>0</v>
      </c>
      <c r="L122" s="347">
        <f t="shared" si="63"/>
        <v>0</v>
      </c>
      <c r="M122" s="347">
        <f t="shared" si="63"/>
        <v>0</v>
      </c>
      <c r="N122" s="347">
        <f t="shared" si="63"/>
        <v>0</v>
      </c>
      <c r="O122" s="347">
        <f t="shared" si="63"/>
        <v>0</v>
      </c>
      <c r="P122" s="347">
        <f t="shared" si="63"/>
        <v>0</v>
      </c>
    </row>
    <row r="123" spans="1:16">
      <c r="A123" s="465" t="s">
        <v>530</v>
      </c>
      <c r="B123" s="18"/>
      <c r="C123" s="18"/>
      <c r="D123" s="347">
        <f t="shared" ref="D123:P123" si="64">D54/D$55</f>
        <v>1.0542473762530973E-2</v>
      </c>
      <c r="E123" s="347">
        <f t="shared" si="64"/>
        <v>1.0401317332753176E-2</v>
      </c>
      <c r="F123" s="347">
        <f t="shared" si="64"/>
        <v>8.9604084453818681E-3</v>
      </c>
      <c r="G123" s="347">
        <f t="shared" si="64"/>
        <v>9.06390531527442E-3</v>
      </c>
      <c r="H123" s="347">
        <f t="shared" si="64"/>
        <v>1.097318320080928E-2</v>
      </c>
      <c r="I123" s="347">
        <f t="shared" si="64"/>
        <v>1.097318320080928E-2</v>
      </c>
      <c r="J123" s="347">
        <f t="shared" si="64"/>
        <v>1.097318320080928E-2</v>
      </c>
      <c r="K123" s="347">
        <f t="shared" si="64"/>
        <v>1.097318320080928E-2</v>
      </c>
      <c r="L123" s="347">
        <f t="shared" si="64"/>
        <v>1.097318320080928E-2</v>
      </c>
      <c r="M123" s="347">
        <f t="shared" si="64"/>
        <v>1.097318320080928E-2</v>
      </c>
      <c r="N123" s="347">
        <f t="shared" si="64"/>
        <v>1.097318320080928E-2</v>
      </c>
      <c r="O123" s="347">
        <f t="shared" si="64"/>
        <v>1.097318320080928E-2</v>
      </c>
      <c r="P123" s="347">
        <f t="shared" si="64"/>
        <v>1.097318320080928E-2</v>
      </c>
    </row>
    <row r="124" spans="1:16" ht="15" thickBot="1">
      <c r="A124" s="351" t="s">
        <v>346</v>
      </c>
      <c r="B124" s="351"/>
      <c r="C124" s="351"/>
      <c r="D124" s="347">
        <f t="shared" ref="D124:P124" si="65">D55/D$55</f>
        <v>1</v>
      </c>
      <c r="E124" s="347">
        <f t="shared" si="65"/>
        <v>1</v>
      </c>
      <c r="F124" s="347">
        <f t="shared" si="65"/>
        <v>1</v>
      </c>
      <c r="G124" s="347">
        <f t="shared" si="65"/>
        <v>1</v>
      </c>
      <c r="H124" s="347">
        <f t="shared" si="65"/>
        <v>1</v>
      </c>
      <c r="I124" s="347">
        <f t="shared" si="65"/>
        <v>1</v>
      </c>
      <c r="J124" s="347">
        <f t="shared" si="65"/>
        <v>1</v>
      </c>
      <c r="K124" s="347">
        <f t="shared" si="65"/>
        <v>1</v>
      </c>
      <c r="L124" s="347">
        <f t="shared" si="65"/>
        <v>1</v>
      </c>
      <c r="M124" s="347">
        <f t="shared" si="65"/>
        <v>1</v>
      </c>
      <c r="N124" s="347">
        <f t="shared" si="65"/>
        <v>1</v>
      </c>
      <c r="O124" s="347">
        <f t="shared" si="65"/>
        <v>1</v>
      </c>
      <c r="P124" s="347">
        <f t="shared" si="65"/>
        <v>1</v>
      </c>
    </row>
    <row r="125" spans="1:16" ht="15" thickTop="1">
      <c r="A125" s="20" t="s">
        <v>333</v>
      </c>
      <c r="B125" s="20"/>
      <c r="C125" s="20"/>
      <c r="D125" s="124"/>
      <c r="E125" s="484">
        <f t="shared" ref="E125:P125" si="66">E57/$D$55</f>
        <v>8.4464251219837486E-2</v>
      </c>
      <c r="F125" s="484">
        <f t="shared" si="66"/>
        <v>0.18251106298807862</v>
      </c>
      <c r="G125" s="484">
        <f t="shared" si="66"/>
        <v>0.27943832002047575</v>
      </c>
      <c r="H125" s="484">
        <f t="shared" si="66"/>
        <v>0.35950072890708951</v>
      </c>
      <c r="I125" s="484">
        <f t="shared" si="66"/>
        <v>0.43956313779370332</v>
      </c>
      <c r="J125" s="484">
        <f t="shared" si="66"/>
        <v>0.51962554668031713</v>
      </c>
      <c r="K125" s="484">
        <f t="shared" si="66"/>
        <v>0.59968795556693089</v>
      </c>
      <c r="L125" s="484">
        <f t="shared" si="66"/>
        <v>0.67975036445354475</v>
      </c>
      <c r="M125" s="484">
        <f t="shared" si="66"/>
        <v>0.75981277334015851</v>
      </c>
      <c r="N125" s="484">
        <f t="shared" si="66"/>
        <v>0.83987518222677227</v>
      </c>
      <c r="O125" s="484">
        <f t="shared" si="66"/>
        <v>0.91993759111338591</v>
      </c>
      <c r="P125" s="484">
        <f t="shared" si="66"/>
        <v>0.99999999999999967</v>
      </c>
    </row>
    <row r="126" spans="1:16">
      <c r="A126" s="359" t="s">
        <v>539</v>
      </c>
      <c r="B126" s="359"/>
      <c r="C126" s="359"/>
      <c r="D126" s="485"/>
      <c r="E126" s="486">
        <f>IFERROR(E55/E75,0)</f>
        <v>0.64666717310989763</v>
      </c>
      <c r="F126" s="486">
        <f t="shared" ref="F126:P126" si="67">F55/F75</f>
        <v>0.82781448634866073</v>
      </c>
      <c r="G126" s="486">
        <f t="shared" si="67"/>
        <v>1.0457837705725983</v>
      </c>
      <c r="H126" s="486">
        <f t="shared" si="67"/>
        <v>1.1765807327594182</v>
      </c>
      <c r="I126" s="486">
        <f t="shared" si="67"/>
        <v>1.3282995990797026</v>
      </c>
      <c r="J126" s="486">
        <f t="shared" si="67"/>
        <v>1.5249388886322224</v>
      </c>
      <c r="K126" s="486">
        <f t="shared" si="67"/>
        <v>1.7899149571106996</v>
      </c>
      <c r="L126" s="486">
        <f t="shared" si="67"/>
        <v>2.1663424362867447</v>
      </c>
      <c r="M126" s="486">
        <f t="shared" si="67"/>
        <v>2.743263587024531</v>
      </c>
      <c r="N126" s="486">
        <f t="shared" si="67"/>
        <v>3.7390013437745546</v>
      </c>
      <c r="O126" s="486">
        <f t="shared" si="67"/>
        <v>5.8694790431803296</v>
      </c>
      <c r="P126" s="486">
        <f t="shared" si="67"/>
        <v>13.643560731318896</v>
      </c>
    </row>
    <row r="127" spans="1:16">
      <c r="A127" s="17" t="s">
        <v>540</v>
      </c>
      <c r="B127" s="17"/>
      <c r="C127" s="17"/>
      <c r="D127" s="487"/>
      <c r="E127" s="488">
        <f t="shared" ref="E127:P127" si="68">E55/E77</f>
        <v>0.71313619971294584</v>
      </c>
      <c r="F127" s="488">
        <f t="shared" si="68"/>
        <v>1.0578630577500125</v>
      </c>
      <c r="G127" s="488">
        <f t="shared" si="68"/>
        <v>1.424423080562667</v>
      </c>
      <c r="H127" s="488">
        <f t="shared" si="68"/>
        <v>1.3282995990797026</v>
      </c>
      <c r="I127" s="488">
        <f t="shared" si="68"/>
        <v>1.5249388886322224</v>
      </c>
      <c r="J127" s="488">
        <f t="shared" si="68"/>
        <v>1.7899149571106996</v>
      </c>
      <c r="K127" s="488">
        <f t="shared" si="68"/>
        <v>2.1663424362867447</v>
      </c>
      <c r="L127" s="488">
        <f t="shared" si="68"/>
        <v>2.743263587024531</v>
      </c>
      <c r="M127" s="488">
        <f t="shared" si="68"/>
        <v>3.7390013437745546</v>
      </c>
      <c r="N127" s="488">
        <f t="shared" si="68"/>
        <v>5.8694790431803296</v>
      </c>
      <c r="O127" s="488">
        <f t="shared" si="68"/>
        <v>13.643560731318896</v>
      </c>
      <c r="P127" s="488">
        <f t="shared" si="68"/>
        <v>0.51668552582130067</v>
      </c>
    </row>
    <row r="128" spans="1:16">
      <c r="A128" s="466" t="s">
        <v>334</v>
      </c>
      <c r="B128" s="329"/>
      <c r="C128" s="329"/>
      <c r="D128" s="329"/>
      <c r="E128" s="329"/>
      <c r="F128" s="329"/>
      <c r="G128" s="329"/>
      <c r="H128" s="329"/>
      <c r="I128" s="329"/>
      <c r="J128" s="329"/>
      <c r="K128" s="329"/>
      <c r="L128" s="329"/>
      <c r="M128" s="329"/>
      <c r="N128" s="329"/>
      <c r="O128" s="329"/>
      <c r="P128" s="329"/>
    </row>
    <row r="129" spans="1:16">
      <c r="A129" s="17"/>
      <c r="B129" s="17"/>
      <c r="C129" s="17"/>
      <c r="D129" s="330"/>
      <c r="E129" s="331"/>
      <c r="F129" s="331"/>
      <c r="G129" s="331"/>
      <c r="H129" s="331"/>
      <c r="I129" s="331"/>
      <c r="J129" s="331"/>
      <c r="K129" s="331"/>
      <c r="L129" s="331"/>
      <c r="M129" s="331"/>
      <c r="N129" s="331"/>
      <c r="O129" s="331"/>
      <c r="P129" s="331"/>
    </row>
    <row r="130" spans="1:16">
      <c r="A130" s="17" t="s">
        <v>335</v>
      </c>
      <c r="B130" s="17"/>
      <c r="C130" s="17"/>
      <c r="D130" s="332">
        <f>D100-D124</f>
        <v>0</v>
      </c>
      <c r="E130" s="347">
        <f t="shared" ref="E130:P130" si="69">IF(OR(E73=0,E$30=0),0,E73/E$30)</f>
        <v>-0.1684070144757478</v>
      </c>
      <c r="F130" s="347">
        <f t="shared" si="69"/>
        <v>-0.35629666944931976</v>
      </c>
      <c r="G130" s="347">
        <f t="shared" si="69"/>
        <v>-0.34080969611375955</v>
      </c>
      <c r="H130" s="347">
        <f t="shared" si="69"/>
        <v>-0.10751565056169801</v>
      </c>
      <c r="I130" s="347">
        <f t="shared" si="69"/>
        <v>-0.10751565056169801</v>
      </c>
      <c r="J130" s="347">
        <f t="shared" si="69"/>
        <v>-0.10751565056169801</v>
      </c>
      <c r="K130" s="347">
        <f t="shared" si="69"/>
        <v>-0.10751565056169801</v>
      </c>
      <c r="L130" s="347">
        <f t="shared" si="69"/>
        <v>-0.10751565056169801</v>
      </c>
      <c r="M130" s="347">
        <f t="shared" si="69"/>
        <v>-0.10751565056169801</v>
      </c>
      <c r="N130" s="347">
        <f t="shared" si="69"/>
        <v>-0.10751565056169801</v>
      </c>
      <c r="O130" s="347">
        <f t="shared" si="69"/>
        <v>-0.10751565056169801</v>
      </c>
      <c r="P130" s="347">
        <f t="shared" si="69"/>
        <v>0.65060846590776655</v>
      </c>
    </row>
    <row r="131" spans="1:16">
      <c r="A131" s="17"/>
      <c r="B131" s="17"/>
      <c r="C131" s="17"/>
      <c r="D131" s="115"/>
      <c r="E131" s="333"/>
      <c r="F131" s="332"/>
      <c r="G131" s="333"/>
      <c r="H131" s="332"/>
      <c r="I131" s="332"/>
      <c r="J131" s="332"/>
      <c r="K131" s="332"/>
      <c r="L131" s="332"/>
      <c r="M131" s="332"/>
      <c r="N131" s="332"/>
      <c r="O131" s="332"/>
      <c r="P131" s="332"/>
    </row>
    <row r="132" spans="1:16">
      <c r="A132" s="17" t="s">
        <v>336</v>
      </c>
      <c r="B132" s="17"/>
      <c r="C132" s="17"/>
      <c r="D132" s="1006"/>
      <c r="E132" s="116"/>
      <c r="F132" s="1007">
        <f t="shared" ref="F132:P132" si="70">E134</f>
        <v>-0.1684070144757478</v>
      </c>
      <c r="G132" s="1007">
        <f t="shared" si="70"/>
        <v>-0.52470368392506761</v>
      </c>
      <c r="H132" s="1007">
        <f t="shared" si="70"/>
        <v>-0.86551338003882716</v>
      </c>
      <c r="I132" s="1007">
        <f t="shared" si="70"/>
        <v>-0.97302903060052515</v>
      </c>
      <c r="J132" s="1007">
        <f t="shared" si="70"/>
        <v>-1.0805446811622232</v>
      </c>
      <c r="K132" s="1007">
        <f t="shared" si="70"/>
        <v>-1.1880603317239213</v>
      </c>
      <c r="L132" s="1007">
        <f t="shared" si="70"/>
        <v>-1.2955759822856194</v>
      </c>
      <c r="M132" s="1007">
        <f t="shared" si="70"/>
        <v>-1.4030916328473175</v>
      </c>
      <c r="N132" s="1007">
        <f t="shared" si="70"/>
        <v>-1.5106072834090156</v>
      </c>
      <c r="O132" s="1007">
        <f t="shared" si="70"/>
        <v>-1.6181229339707137</v>
      </c>
      <c r="P132" s="1007">
        <f t="shared" si="70"/>
        <v>-1.7256385845324118</v>
      </c>
    </row>
    <row r="133" spans="1:16">
      <c r="A133" s="17"/>
      <c r="B133" s="17"/>
      <c r="C133" s="17"/>
      <c r="D133" s="335"/>
      <c r="E133" s="336"/>
      <c r="F133" s="1008"/>
      <c r="G133" s="1009"/>
      <c r="H133" s="1008"/>
      <c r="I133" s="1008"/>
      <c r="J133" s="1008"/>
      <c r="K133" s="1008"/>
      <c r="L133" s="1008"/>
      <c r="M133" s="1008"/>
      <c r="N133" s="1008"/>
      <c r="O133" s="1008"/>
      <c r="P133" s="1008"/>
    </row>
    <row r="134" spans="1:16" ht="15" thickBot="1">
      <c r="A134" s="20" t="s">
        <v>337</v>
      </c>
      <c r="B134" s="20"/>
      <c r="C134" s="20"/>
      <c r="D134" s="338">
        <f>SUM(D132,D130)</f>
        <v>0</v>
      </c>
      <c r="E134" s="1010">
        <f>SUM(E132,E130)</f>
        <v>-0.1684070144757478</v>
      </c>
      <c r="F134" s="1010">
        <f>SUM(F132,F130)</f>
        <v>-0.52470368392506761</v>
      </c>
      <c r="G134" s="1010">
        <f t="shared" ref="G134:P134" si="71">SUM(G132,G130)</f>
        <v>-0.86551338003882716</v>
      </c>
      <c r="H134" s="1010">
        <f t="shared" si="71"/>
        <v>-0.97302903060052515</v>
      </c>
      <c r="I134" s="1010">
        <f t="shared" si="71"/>
        <v>-1.0805446811622232</v>
      </c>
      <c r="J134" s="1010">
        <f t="shared" si="71"/>
        <v>-1.1880603317239213</v>
      </c>
      <c r="K134" s="1010">
        <f t="shared" si="71"/>
        <v>-1.2955759822856194</v>
      </c>
      <c r="L134" s="1010">
        <f t="shared" si="71"/>
        <v>-1.4030916328473175</v>
      </c>
      <c r="M134" s="1010">
        <f t="shared" si="71"/>
        <v>-1.5106072834090156</v>
      </c>
      <c r="N134" s="1010">
        <f t="shared" si="71"/>
        <v>-1.6181229339707137</v>
      </c>
      <c r="O134" s="1010">
        <f t="shared" si="71"/>
        <v>-1.7256385845324118</v>
      </c>
      <c r="P134" s="1010">
        <f t="shared" si="71"/>
        <v>-1.0750301186246451</v>
      </c>
    </row>
    <row r="135" spans="1:16" ht="15" thickTop="1"/>
    <row r="136" spans="1:16">
      <c r="A136" s="141" t="s">
        <v>394</v>
      </c>
      <c r="E136" s="360">
        <f t="shared" ref="E136:P136" si="72">+E36/E35</f>
        <v>0.48989495579823195</v>
      </c>
      <c r="F136" s="360">
        <f t="shared" si="72"/>
        <v>0.48989495579823195</v>
      </c>
      <c r="G136" s="360">
        <f t="shared" si="72"/>
        <v>0.48989495579823195</v>
      </c>
      <c r="H136" s="360">
        <f t="shared" si="72"/>
        <v>0.48989495579823195</v>
      </c>
      <c r="I136" s="360">
        <f t="shared" si="72"/>
        <v>0.48989495579823195</v>
      </c>
      <c r="J136" s="360">
        <f t="shared" si="72"/>
        <v>0.48989495579823195</v>
      </c>
      <c r="K136" s="360">
        <f t="shared" si="72"/>
        <v>0.48989495579823195</v>
      </c>
      <c r="L136" s="360">
        <f t="shared" si="72"/>
        <v>0.48989495579823195</v>
      </c>
      <c r="M136" s="360">
        <f t="shared" si="72"/>
        <v>0.48989495579823195</v>
      </c>
      <c r="N136" s="360">
        <f t="shared" si="72"/>
        <v>0.48989495579823195</v>
      </c>
      <c r="O136" s="360">
        <f t="shared" si="72"/>
        <v>0.48989495579823195</v>
      </c>
      <c r="P136" s="360">
        <f t="shared" si="72"/>
        <v>0.48989495579823195</v>
      </c>
    </row>
    <row r="137" spans="1:16">
      <c r="A137" s="361" t="s">
        <v>395</v>
      </c>
      <c r="B137" s="361"/>
      <c r="C137" s="361"/>
      <c r="E137" s="179">
        <f>Summary!$G$12</f>
        <v>31</v>
      </c>
      <c r="F137" s="179">
        <f>Summary!$G$12</f>
        <v>31</v>
      </c>
      <c r="G137" s="179">
        <f>Summary!$G$12</f>
        <v>31</v>
      </c>
      <c r="H137" s="179">
        <f>Summary!$G$12</f>
        <v>31</v>
      </c>
      <c r="I137" s="179">
        <f>Summary!$G$12</f>
        <v>31</v>
      </c>
      <c r="J137" s="179">
        <f>Summary!$G$12</f>
        <v>31</v>
      </c>
      <c r="K137" s="179">
        <f>Summary!$G$12</f>
        <v>31</v>
      </c>
      <c r="L137" s="179">
        <f>Summary!$G$12</f>
        <v>31</v>
      </c>
      <c r="M137" s="179">
        <f>Summary!$G$12</f>
        <v>31</v>
      </c>
      <c r="N137" s="179">
        <f>Summary!$G$12</f>
        <v>31</v>
      </c>
      <c r="O137" s="179">
        <f>Summary!$G$12</f>
        <v>31</v>
      </c>
      <c r="P137" s="179">
        <f>Summary!$G$12</f>
        <v>31</v>
      </c>
    </row>
    <row r="138" spans="1:16">
      <c r="A138" s="141" t="s">
        <v>396</v>
      </c>
      <c r="E138" s="199">
        <f>+E36/Summary!$G$12</f>
        <v>316.06126180531095</v>
      </c>
      <c r="F138" s="199">
        <f>+F36/Summary!$G$12</f>
        <v>1352.5985363168193</v>
      </c>
      <c r="G138" s="199">
        <f>+G36/Summary!$G$12</f>
        <v>1352.5985363168193</v>
      </c>
      <c r="H138" s="199">
        <f>+H36/Summary!$G$12</f>
        <v>1352.5985363168193</v>
      </c>
      <c r="I138" s="199">
        <f>+I36/Summary!$G$12</f>
        <v>1352.5985363168193</v>
      </c>
      <c r="J138" s="199">
        <f>+J36/Summary!$G$12</f>
        <v>1352.5985363168193</v>
      </c>
      <c r="K138" s="199">
        <f>+K36/Summary!$G$12</f>
        <v>1352.5985363168193</v>
      </c>
      <c r="L138" s="199">
        <f>+L36/Summary!$G$12</f>
        <v>1352.5985363168193</v>
      </c>
      <c r="M138" s="199">
        <f>+M36/Summary!$G$12</f>
        <v>1352.5985363168193</v>
      </c>
      <c r="N138" s="199">
        <f>+N36/Summary!$G$12</f>
        <v>1352.5985363168193</v>
      </c>
      <c r="O138" s="199">
        <f>+O36/Summary!$G$12</f>
        <v>1352.5985363168193</v>
      </c>
      <c r="P138" s="199">
        <f>+P36/Summary!$G$12</f>
        <v>1352.5985363168193</v>
      </c>
    </row>
    <row r="139" spans="1:16">
      <c r="A139" s="141" t="s">
        <v>397</v>
      </c>
      <c r="E139" s="199">
        <f>+E35/Summary!$G$12</f>
        <v>645.16129032258061</v>
      </c>
      <c r="F139" s="199">
        <f>+F35/Summary!$G$12</f>
        <v>2760.9970674486804</v>
      </c>
      <c r="G139" s="199">
        <f>+G35/Summary!$G$12</f>
        <v>2760.9970674486804</v>
      </c>
      <c r="H139" s="199">
        <f>+H35/Summary!$G$12</f>
        <v>2760.9970674486804</v>
      </c>
      <c r="I139" s="199">
        <f>+I35/Summary!$G$12</f>
        <v>2760.9970674486804</v>
      </c>
      <c r="J139" s="199">
        <f>+J35/Summary!$G$12</f>
        <v>2760.9970674486804</v>
      </c>
      <c r="K139" s="199">
        <f>+K35/Summary!$G$12</f>
        <v>2760.9970674486804</v>
      </c>
      <c r="L139" s="199">
        <f>+L35/Summary!$G$12</f>
        <v>2760.9970674486804</v>
      </c>
      <c r="M139" s="199">
        <f>+M35/Summary!$G$12</f>
        <v>2760.9970674486804</v>
      </c>
      <c r="N139" s="199">
        <f>+N35/Summary!$G$12</f>
        <v>2760.9970674486804</v>
      </c>
      <c r="O139" s="199">
        <f>+O35/Summary!$G$12</f>
        <v>2760.9970674486804</v>
      </c>
      <c r="P139" s="199">
        <f>+P35/Summary!$G$12</f>
        <v>2760.9970674486804</v>
      </c>
    </row>
    <row r="141" spans="1:16">
      <c r="A141" s="309"/>
    </row>
  </sheetData>
  <sheetProtection algorithmName="SHA-512" hashValue="eqS16UygXWAkVncnhCs6pklvq6DUvIAqvxPR2EhVfehidj+y0DaNbCRXla4VUQjr3Av16FDhWP60QThIiI3DKg==" saltValue="actJxnUrhAigWCTdpYlNlQ==" spinCount="100000" sheet="1" selectLockedCells="1"/>
  <conditionalFormatting sqref="D67:P68 D65:D66">
    <cfRule type="cellIs" dxfId="9" priority="177" stopIfTrue="1" operator="equal">
      <formula>0</formula>
    </cfRule>
  </conditionalFormatting>
  <conditionalFormatting sqref="D84:P100">
    <cfRule type="cellIs" dxfId="8" priority="178" stopIfTrue="1" operator="equal">
      <formula>0</formula>
    </cfRule>
  </conditionalFormatting>
  <conditionalFormatting sqref="D106:P124">
    <cfRule type="cellIs" dxfId="7" priority="179" stopIfTrue="1" operator="equal">
      <formula>0</formula>
    </cfRule>
  </conditionalFormatting>
  <pageMargins left="0.25" right="0.25" top="0.5" bottom="0.45" header="0.25" footer="0.25"/>
  <pageSetup scale="59" fitToHeight="3" orientation="landscape" r:id="rId1"/>
  <headerFooter>
    <oddHeader xml:space="preserve">&amp;L &amp;C &amp;R </oddHeader>
    <oddFooter>&amp;L&amp;7&amp;D  at &amp;T Mike 702.486.8879&amp;C&amp;7&amp;F  &amp;A&amp;R&amp;7Page &amp;P of &amp;N</oddFooter>
  </headerFooter>
  <rowBreaks count="1" manualBreakCount="1">
    <brk id="79" max="14" man="1"/>
  </rowBreaks>
  <legacyDrawing r:id="rId2"/>
  <extLst>
    <ext xmlns:x14="http://schemas.microsoft.com/office/spreadsheetml/2009/9/main" uri="{78C0D931-6437-407d-A8EE-F0AAD7539E65}">
      <x14:conditionalFormattings>
        <x14:conditionalFormatting xmlns:xm="http://schemas.microsoft.com/office/excel/2006/main">
          <x14:cfRule type="cellIs" priority="5" operator="notBetween" id="{43A297F8-FFBE-417E-89DE-D5D0089D6E55}">
            <xm:f>0.95*'Enrol Staff &amp; Exp'!$H$75</xm:f>
            <xm:f>1.05*'Enrol Staff &amp; Exp'!$H$75</xm:f>
            <x14:dxf>
              <fill>
                <patternFill>
                  <bgColor rgb="FFFF0000"/>
                </patternFill>
              </fill>
            </x14:dxf>
          </x14:cfRule>
          <xm:sqref>B30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34998626667073579"/>
  </sheetPr>
  <dimension ref="A1:K29"/>
  <sheetViews>
    <sheetView topLeftCell="A4" workbookViewId="0">
      <selection activeCell="E12" sqref="E12"/>
    </sheetView>
  </sheetViews>
  <sheetFormatPr baseColWidth="10" defaultColWidth="8.83203125" defaultRowHeight="15"/>
  <cols>
    <col min="1" max="1" width="14.1640625" style="7" bestFit="1" customWidth="1"/>
    <col min="2" max="2" width="9.33203125" style="5" bestFit="1" customWidth="1"/>
    <col min="3" max="4" width="9.33203125" style="5" customWidth="1"/>
    <col min="5" max="5" width="10.83203125" style="7" customWidth="1"/>
    <col min="6" max="6" width="13.1640625" style="7" customWidth="1"/>
    <col min="7" max="7" width="6.33203125" style="7" customWidth="1"/>
    <col min="8" max="8" width="10" style="7" customWidth="1"/>
    <col min="9" max="9" width="10.83203125" style="7" customWidth="1"/>
    <col min="10" max="10" width="11.33203125" customWidth="1"/>
    <col min="11" max="11" width="11" style="7" customWidth="1"/>
    <col min="12" max="16384" width="8.83203125" style="7"/>
  </cols>
  <sheetData>
    <row r="1" spans="1:11" ht="16">
      <c r="A1" s="63" t="s">
        <v>714</v>
      </c>
      <c r="B1" s="67"/>
      <c r="F1" s="69" t="s">
        <v>447</v>
      </c>
    </row>
    <row r="2" spans="1:11" ht="16">
      <c r="A2" s="64" t="str">
        <f>SchoolName</f>
        <v>TEACH Las Vegas</v>
      </c>
      <c r="B2" s="68"/>
    </row>
    <row r="3" spans="1:11">
      <c r="A3" s="61" t="s">
        <v>412</v>
      </c>
    </row>
    <row r="4" spans="1:11">
      <c r="A4" s="62" t="s">
        <v>444</v>
      </c>
    </row>
    <row r="5" spans="1:11">
      <c r="A5" s="84" t="str">
        <f ca="1">CELL("filename")</f>
        <v>/Users/matthewbrown/Desktop/[2021MB-New-CS-Application-Financial-Plan-TEACH REV 21.1.04MB 2021 02 01.xlsx]Enrol Staff &amp; Exp</v>
      </c>
    </row>
    <row r="7" spans="1:11">
      <c r="B7" s="86"/>
      <c r="C7" s="73"/>
      <c r="D7" s="73"/>
      <c r="E7" s="73"/>
      <c r="F7" s="73"/>
    </row>
    <row r="8" spans="1:11">
      <c r="B8" s="1441" t="s">
        <v>465</v>
      </c>
      <c r="C8" s="1442"/>
      <c r="D8" s="85"/>
      <c r="E8" s="85"/>
      <c r="F8" s="85"/>
      <c r="I8" s="7" t="s">
        <v>461</v>
      </c>
      <c r="J8" s="1443" t="s">
        <v>478</v>
      </c>
      <c r="K8" s="1443"/>
    </row>
    <row r="9" spans="1:11" ht="32">
      <c r="A9" s="76" t="s">
        <v>303</v>
      </c>
      <c r="B9" s="108" t="s">
        <v>307</v>
      </c>
      <c r="C9" s="109" t="s">
        <v>339</v>
      </c>
      <c r="D9" s="79" t="s">
        <v>340</v>
      </c>
      <c r="E9" s="96" t="s">
        <v>462</v>
      </c>
      <c r="F9" s="77" t="s">
        <v>306</v>
      </c>
      <c r="G9" s="98" t="s">
        <v>463</v>
      </c>
      <c r="H9" s="78" t="s">
        <v>454</v>
      </c>
      <c r="I9" s="78" t="s">
        <v>455</v>
      </c>
      <c r="J9" s="111" t="s">
        <v>485</v>
      </c>
      <c r="K9" s="111" t="s">
        <v>486</v>
      </c>
    </row>
    <row r="10" spans="1:11">
      <c r="A10" s="52" t="s">
        <v>286</v>
      </c>
      <c r="B10" s="53">
        <v>7184</v>
      </c>
      <c r="C10" s="54">
        <v>1245.3823475451604</v>
      </c>
      <c r="D10" s="54">
        <f>B10+C10</f>
        <v>8429.3823475451609</v>
      </c>
      <c r="E10" s="75">
        <v>0</v>
      </c>
      <c r="F10" s="56">
        <f t="shared" ref="F10:F26" si="0">E10*D10</f>
        <v>0</v>
      </c>
      <c r="G10" s="97">
        <f>IF(E10=0,0,IF(F10/4&gt;500000,"Mo","Qtrly"))</f>
        <v>0</v>
      </c>
      <c r="H10" s="74">
        <f>+C10/D10</f>
        <v>0.14774301321233171</v>
      </c>
      <c r="I10" s="74">
        <f>+D10/$D$12</f>
        <v>1.1638051335266291</v>
      </c>
      <c r="J10" s="113">
        <f>IF(G10="Qtrly",F10/4,0)</f>
        <v>0</v>
      </c>
      <c r="K10" s="9">
        <f>IF(G10="Mo",F10/12,0)</f>
        <v>0</v>
      </c>
    </row>
    <row r="11" spans="1:11">
      <c r="A11" s="52" t="s">
        <v>287</v>
      </c>
      <c r="B11" s="87">
        <v>7006</v>
      </c>
      <c r="C11" s="88">
        <v>1320.4897724523435</v>
      </c>
      <c r="D11" s="88">
        <f t="shared" ref="D11:D26" si="1">B11+C11</f>
        <v>8326.4897724523435</v>
      </c>
      <c r="E11" s="80"/>
      <c r="F11" s="81">
        <f t="shared" si="0"/>
        <v>0</v>
      </c>
      <c r="G11" s="97">
        <f>IF(E11=0,0,IF(F11/4&gt;500000,"Mo","Qtrly"))</f>
        <v>0</v>
      </c>
      <c r="H11" s="74">
        <f t="shared" ref="H11:H26" si="2">+C11/D11</f>
        <v>0.15858901031994288</v>
      </c>
      <c r="I11" s="74">
        <f>+D11/$D$12</f>
        <v>1.1495992401221535</v>
      </c>
      <c r="J11" s="110">
        <f>IF(G11="Qtrly",F11/4,0)</f>
        <v>0</v>
      </c>
      <c r="K11" s="10">
        <f>IF(G11="Mo",F11/12,0)</f>
        <v>0</v>
      </c>
    </row>
    <row r="12" spans="1:11">
      <c r="A12" s="89" t="s">
        <v>288</v>
      </c>
      <c r="B12" s="90">
        <v>6067</v>
      </c>
      <c r="C12" s="91">
        <v>1175.9499619081098</v>
      </c>
      <c r="D12" s="91">
        <f t="shared" si="1"/>
        <v>7242.9499619081098</v>
      </c>
      <c r="E12" s="92">
        <v>278</v>
      </c>
      <c r="F12" s="93">
        <f t="shared" si="0"/>
        <v>2013540.0894104545</v>
      </c>
      <c r="G12" s="97" t="str">
        <f>IF(E12=0,0,IF(F12/4&gt;500000,"Mo","Qtrly"))</f>
        <v>Mo</v>
      </c>
      <c r="H12" s="94">
        <f t="shared" si="2"/>
        <v>0.1623578746356979</v>
      </c>
      <c r="I12" s="94">
        <f>+D12/$D$12</f>
        <v>1</v>
      </c>
      <c r="J12" s="110">
        <f>IF(G12="Qtrly",F12/4,0)</f>
        <v>0</v>
      </c>
      <c r="K12" s="10">
        <f>IF(G12="Mo",F12/12,0)</f>
        <v>167795.0074508712</v>
      </c>
    </row>
    <row r="13" spans="1:11">
      <c r="A13" s="52" t="s">
        <v>289</v>
      </c>
      <c r="B13" s="87">
        <v>6086</v>
      </c>
      <c r="C13" s="88">
        <v>3253.7290423366917</v>
      </c>
      <c r="D13" s="88">
        <f t="shared" si="1"/>
        <v>9339.7290423366921</v>
      </c>
      <c r="E13" s="80">
        <v>0</v>
      </c>
      <c r="F13" s="81">
        <f t="shared" si="0"/>
        <v>0</v>
      </c>
      <c r="G13" s="97">
        <f t="shared" ref="G13:G26" si="3">IF(E13=0,0,IF(F13/4&gt;500000,"Mo","Qtrly"))</f>
        <v>0</v>
      </c>
      <c r="H13" s="74">
        <f t="shared" si="2"/>
        <v>0.34837510034687758</v>
      </c>
      <c r="I13" s="74">
        <f t="shared" ref="I13:I26" si="4">+D13/$D$12</f>
        <v>1.2894924155842433</v>
      </c>
      <c r="J13" s="110">
        <f t="shared" ref="J13:J26" si="5">IF(G13="Qtrly",F13/4,0)</f>
        <v>0</v>
      </c>
      <c r="K13" s="10">
        <f t="shared" ref="K13:K26" si="6">IF(G13="Mo",F13/12,0)</f>
        <v>0</v>
      </c>
    </row>
    <row r="14" spans="1:11">
      <c r="A14" s="52" t="s">
        <v>290</v>
      </c>
      <c r="B14" s="87">
        <v>7891</v>
      </c>
      <c r="C14" s="88">
        <v>1529.3898852952666</v>
      </c>
      <c r="D14" s="88">
        <f t="shared" si="1"/>
        <v>9420.3898852952661</v>
      </c>
      <c r="E14" s="80">
        <v>0</v>
      </c>
      <c r="F14" s="81">
        <f t="shared" si="0"/>
        <v>0</v>
      </c>
      <c r="G14" s="97">
        <f t="shared" si="3"/>
        <v>0</v>
      </c>
      <c r="H14" s="74">
        <f t="shared" si="2"/>
        <v>0.16234889467606473</v>
      </c>
      <c r="I14" s="74">
        <f t="shared" si="4"/>
        <v>1.3006288784043349</v>
      </c>
      <c r="J14" s="110">
        <f t="shared" si="5"/>
        <v>0</v>
      </c>
      <c r="K14" s="10">
        <f t="shared" si="6"/>
        <v>0</v>
      </c>
    </row>
    <row r="15" spans="1:11">
      <c r="A15" s="52" t="s">
        <v>291</v>
      </c>
      <c r="B15" s="87">
        <v>20750</v>
      </c>
      <c r="C15" s="88">
        <v>9469.2635503703241</v>
      </c>
      <c r="D15" s="88">
        <f t="shared" si="1"/>
        <v>30219.263550370324</v>
      </c>
      <c r="E15" s="80">
        <v>0</v>
      </c>
      <c r="F15" s="81">
        <f t="shared" si="0"/>
        <v>0</v>
      </c>
      <c r="G15" s="97">
        <f t="shared" si="3"/>
        <v>0</v>
      </c>
      <c r="H15" s="74">
        <f t="shared" si="2"/>
        <v>0.31335189669949065</v>
      </c>
      <c r="I15" s="74">
        <f t="shared" si="4"/>
        <v>4.1722314401312319</v>
      </c>
      <c r="J15" s="110">
        <f t="shared" si="5"/>
        <v>0</v>
      </c>
      <c r="K15" s="10">
        <f t="shared" si="6"/>
        <v>0</v>
      </c>
    </row>
    <row r="16" spans="1:11">
      <c r="A16" s="52" t="s">
        <v>292</v>
      </c>
      <c r="B16" s="87">
        <v>11032</v>
      </c>
      <c r="C16" s="88">
        <v>20035.774574253475</v>
      </c>
      <c r="D16" s="88">
        <f t="shared" si="1"/>
        <v>31067.774574253475</v>
      </c>
      <c r="E16" s="80">
        <v>0</v>
      </c>
      <c r="F16" s="81">
        <f t="shared" si="0"/>
        <v>0</v>
      </c>
      <c r="G16" s="97">
        <f t="shared" si="3"/>
        <v>0</v>
      </c>
      <c r="H16" s="74">
        <f t="shared" si="2"/>
        <v>0.64490536734026471</v>
      </c>
      <c r="I16" s="74">
        <f t="shared" si="4"/>
        <v>4.2893813622410919</v>
      </c>
      <c r="J16" s="110">
        <f t="shared" si="5"/>
        <v>0</v>
      </c>
      <c r="K16" s="10">
        <f t="shared" si="6"/>
        <v>0</v>
      </c>
    </row>
    <row r="17" spans="1:11">
      <c r="A17" s="52" t="s">
        <v>293</v>
      </c>
      <c r="B17" s="87">
        <v>7431</v>
      </c>
      <c r="C17" s="88">
        <v>2257.9168173623493</v>
      </c>
      <c r="D17" s="88">
        <f t="shared" si="1"/>
        <v>9688.9168173623493</v>
      </c>
      <c r="E17" s="80">
        <v>0</v>
      </c>
      <c r="F17" s="81">
        <f t="shared" si="0"/>
        <v>0</v>
      </c>
      <c r="G17" s="97">
        <f t="shared" si="3"/>
        <v>0</v>
      </c>
      <c r="H17" s="74">
        <f t="shared" si="2"/>
        <v>0.2330412016043121</v>
      </c>
      <c r="I17" s="74">
        <f t="shared" si="4"/>
        <v>1.3377031276369422</v>
      </c>
      <c r="J17" s="110">
        <f t="shared" si="5"/>
        <v>0</v>
      </c>
      <c r="K17" s="10">
        <f t="shared" si="6"/>
        <v>0</v>
      </c>
    </row>
    <row r="18" spans="1:11">
      <c r="A18" s="52" t="s">
        <v>294</v>
      </c>
      <c r="B18" s="87">
        <v>3517</v>
      </c>
      <c r="C18" s="88">
        <v>8536.338724633586</v>
      </c>
      <c r="D18" s="88">
        <f t="shared" si="1"/>
        <v>12053.338724633586</v>
      </c>
      <c r="E18" s="80">
        <v>0</v>
      </c>
      <c r="F18" s="81">
        <f t="shared" si="0"/>
        <v>0</v>
      </c>
      <c r="G18" s="97">
        <f t="shared" si="3"/>
        <v>0</v>
      </c>
      <c r="H18" s="74">
        <f t="shared" si="2"/>
        <v>0.70821362608749594</v>
      </c>
      <c r="I18" s="74">
        <f t="shared" si="4"/>
        <v>1.6641477282079979</v>
      </c>
      <c r="J18" s="110">
        <f t="shared" si="5"/>
        <v>0</v>
      </c>
      <c r="K18" s="10">
        <f t="shared" si="6"/>
        <v>0</v>
      </c>
    </row>
    <row r="19" spans="1:11">
      <c r="A19" s="52" t="s">
        <v>295</v>
      </c>
      <c r="B19" s="87">
        <v>12131</v>
      </c>
      <c r="C19" s="88">
        <v>1685.3148174012715</v>
      </c>
      <c r="D19" s="88">
        <f t="shared" si="1"/>
        <v>13816.314817401271</v>
      </c>
      <c r="E19" s="80">
        <v>0</v>
      </c>
      <c r="F19" s="81">
        <f t="shared" si="0"/>
        <v>0</v>
      </c>
      <c r="G19" s="97">
        <f t="shared" si="3"/>
        <v>0</v>
      </c>
      <c r="H19" s="74">
        <f t="shared" si="2"/>
        <v>0.12198005326852161</v>
      </c>
      <c r="I19" s="74">
        <f t="shared" si="4"/>
        <v>1.9075535368963739</v>
      </c>
      <c r="J19" s="110">
        <f t="shared" si="5"/>
        <v>0</v>
      </c>
      <c r="K19" s="10">
        <f t="shared" si="6"/>
        <v>0</v>
      </c>
    </row>
    <row r="20" spans="1:11">
      <c r="A20" s="52" t="s">
        <v>296</v>
      </c>
      <c r="B20" s="87">
        <v>7724</v>
      </c>
      <c r="C20" s="88">
        <v>1043.382638093434</v>
      </c>
      <c r="D20" s="88">
        <f t="shared" si="1"/>
        <v>8767.3826380934333</v>
      </c>
      <c r="E20" s="80">
        <v>0</v>
      </c>
      <c r="F20" s="81">
        <f t="shared" si="0"/>
        <v>0</v>
      </c>
      <c r="G20" s="97">
        <f t="shared" si="3"/>
        <v>0</v>
      </c>
      <c r="H20" s="74">
        <f t="shared" si="2"/>
        <v>0.11900731166449117</v>
      </c>
      <c r="I20" s="74">
        <f t="shared" si="4"/>
        <v>1.2104712422704245</v>
      </c>
      <c r="J20" s="110">
        <f t="shared" si="5"/>
        <v>0</v>
      </c>
      <c r="K20" s="10">
        <f t="shared" si="6"/>
        <v>0</v>
      </c>
    </row>
    <row r="21" spans="1:11">
      <c r="A21" s="52" t="s">
        <v>297</v>
      </c>
      <c r="B21" s="87">
        <v>10152</v>
      </c>
      <c r="C21" s="88">
        <v>1653.6465092972339</v>
      </c>
      <c r="D21" s="88">
        <f t="shared" si="1"/>
        <v>11805.646509297234</v>
      </c>
      <c r="E21" s="80">
        <v>0</v>
      </c>
      <c r="F21" s="81">
        <f t="shared" si="0"/>
        <v>0</v>
      </c>
      <c r="G21" s="97">
        <f t="shared" si="3"/>
        <v>0</v>
      </c>
      <c r="H21" s="74">
        <f t="shared" si="2"/>
        <v>0.14007250750689063</v>
      </c>
      <c r="I21" s="74">
        <f t="shared" si="4"/>
        <v>1.6299500302204366</v>
      </c>
      <c r="J21" s="110">
        <f t="shared" si="5"/>
        <v>0</v>
      </c>
      <c r="K21" s="10">
        <f t="shared" si="6"/>
        <v>0</v>
      </c>
    </row>
    <row r="22" spans="1:11">
      <c r="A22" s="52" t="s">
        <v>298</v>
      </c>
      <c r="B22" s="87">
        <v>7967</v>
      </c>
      <c r="C22" s="88">
        <v>1826.7160516863926</v>
      </c>
      <c r="D22" s="88">
        <f t="shared" si="1"/>
        <v>9793.7160516863933</v>
      </c>
      <c r="E22" s="80">
        <v>0</v>
      </c>
      <c r="F22" s="81">
        <f t="shared" si="0"/>
        <v>0</v>
      </c>
      <c r="G22" s="97">
        <f t="shared" si="3"/>
        <v>0</v>
      </c>
      <c r="H22" s="74">
        <f t="shared" si="2"/>
        <v>0.18651919680393919</v>
      </c>
      <c r="I22" s="74">
        <f t="shared" si="4"/>
        <v>1.3521722645045444</v>
      </c>
      <c r="J22" s="110">
        <f t="shared" si="5"/>
        <v>0</v>
      </c>
      <c r="K22" s="10">
        <f t="shared" si="6"/>
        <v>0</v>
      </c>
    </row>
    <row r="23" spans="1:11">
      <c r="A23" s="52" t="s">
        <v>299</v>
      </c>
      <c r="B23" s="87">
        <v>9691</v>
      </c>
      <c r="C23" s="88">
        <v>3203.4141560818189</v>
      </c>
      <c r="D23" s="88">
        <f t="shared" si="1"/>
        <v>12894.414156081819</v>
      </c>
      <c r="E23" s="80">
        <v>0</v>
      </c>
      <c r="F23" s="81">
        <f t="shared" si="0"/>
        <v>0</v>
      </c>
      <c r="G23" s="97">
        <f t="shared" si="3"/>
        <v>0</v>
      </c>
      <c r="H23" s="74">
        <f t="shared" si="2"/>
        <v>0.24843425356947191</v>
      </c>
      <c r="I23" s="74">
        <f t="shared" si="4"/>
        <v>1.7802710530786086</v>
      </c>
      <c r="J23" s="110">
        <f t="shared" si="5"/>
        <v>0</v>
      </c>
      <c r="K23" s="10">
        <f t="shared" si="6"/>
        <v>0</v>
      </c>
    </row>
    <row r="24" spans="1:11">
      <c r="A24" s="52" t="s">
        <v>300</v>
      </c>
      <c r="B24" s="87">
        <v>6136</v>
      </c>
      <c r="C24" s="88">
        <v>10216.403262371867</v>
      </c>
      <c r="D24" s="88">
        <f t="shared" si="1"/>
        <v>16352.403262371867</v>
      </c>
      <c r="E24" s="80">
        <v>0</v>
      </c>
      <c r="F24" s="81">
        <f t="shared" si="0"/>
        <v>0</v>
      </c>
      <c r="G24" s="97">
        <f t="shared" si="3"/>
        <v>0</v>
      </c>
      <c r="H24" s="74">
        <f t="shared" si="2"/>
        <v>0.62476463541481964</v>
      </c>
      <c r="I24" s="74">
        <f t="shared" si="4"/>
        <v>2.257699328087575</v>
      </c>
      <c r="J24" s="110">
        <f t="shared" si="5"/>
        <v>0</v>
      </c>
      <c r="K24" s="10">
        <f t="shared" si="6"/>
        <v>0</v>
      </c>
    </row>
    <row r="25" spans="1:11">
      <c r="A25" s="101" t="s">
        <v>301</v>
      </c>
      <c r="B25" s="102">
        <v>6034</v>
      </c>
      <c r="C25" s="103">
        <v>1417.3102570989925</v>
      </c>
      <c r="D25" s="103">
        <f t="shared" si="1"/>
        <v>7451.3102570989922</v>
      </c>
      <c r="E25" s="104">
        <v>0</v>
      </c>
      <c r="F25" s="105">
        <f t="shared" si="0"/>
        <v>0</v>
      </c>
      <c r="G25" s="106">
        <f t="shared" si="3"/>
        <v>0</v>
      </c>
      <c r="H25" s="107">
        <f t="shared" si="2"/>
        <v>0.19020953472561372</v>
      </c>
      <c r="I25" s="107">
        <f t="shared" si="4"/>
        <v>1.0287673249555338</v>
      </c>
      <c r="J25" s="110">
        <f t="shared" si="5"/>
        <v>0</v>
      </c>
      <c r="K25" s="10">
        <f t="shared" si="6"/>
        <v>0</v>
      </c>
    </row>
    <row r="26" spans="1:11">
      <c r="A26" s="52" t="s">
        <v>302</v>
      </c>
      <c r="B26" s="87">
        <v>8512</v>
      </c>
      <c r="C26" s="88">
        <v>2603.8851528305713</v>
      </c>
      <c r="D26" s="88">
        <f t="shared" si="1"/>
        <v>11115.885152830571</v>
      </c>
      <c r="E26" s="82">
        <v>0</v>
      </c>
      <c r="F26" s="81">
        <f t="shared" si="0"/>
        <v>0</v>
      </c>
      <c r="G26" s="97">
        <f t="shared" si="3"/>
        <v>0</v>
      </c>
      <c r="H26" s="83">
        <f t="shared" si="2"/>
        <v>0.23424901544322926</v>
      </c>
      <c r="I26" s="83">
        <f t="shared" si="4"/>
        <v>1.5347179272659452</v>
      </c>
      <c r="J26" s="110">
        <f t="shared" si="5"/>
        <v>0</v>
      </c>
      <c r="K26" s="10">
        <f t="shared" si="6"/>
        <v>0</v>
      </c>
    </row>
    <row r="27" spans="1:11">
      <c r="A27" s="55" t="s">
        <v>305</v>
      </c>
      <c r="B27" s="57">
        <f>IF(OR(F27=0,E27=0),0,F27/E27)</f>
        <v>7242.9499619081098</v>
      </c>
      <c r="C27" s="58"/>
      <c r="D27" s="58"/>
      <c r="E27" s="59">
        <f>SUM(E10:E26)</f>
        <v>278</v>
      </c>
      <c r="F27" s="60">
        <f>SUM(F10:F26)</f>
        <v>2013540.0894104545</v>
      </c>
      <c r="G27" s="99"/>
      <c r="J27" s="112"/>
      <c r="K27" s="99"/>
    </row>
    <row r="28" spans="1:11">
      <c r="A28" s="55" t="s">
        <v>464</v>
      </c>
      <c r="B28" s="55"/>
      <c r="C28" s="55"/>
      <c r="D28" s="55"/>
      <c r="E28" s="55"/>
      <c r="F28" s="95">
        <f>+F27/E27</f>
        <v>7242.9499619081098</v>
      </c>
      <c r="G28" s="8"/>
      <c r="H28" s="55"/>
      <c r="I28" s="55"/>
      <c r="K28" s="8"/>
    </row>
    <row r="29" spans="1:11">
      <c r="G29" s="8"/>
      <c r="K29" s="8"/>
    </row>
  </sheetData>
  <sheetProtection algorithmName="SHA-512" hashValue="hkFoDAxH3YjWLJ0NoUxDQi6AgiCml1okCUEsCAH8RusEVgfTr31bYKQsaOTxpdzOMW+/ytlMT4K86IUQhCh0gA==" saltValue="Fo9X8RG0ufVO9czf8do9Mg==" spinCount="100000" sheet="1" selectLockedCells="1"/>
  <mergeCells count="2">
    <mergeCell ref="B8:C8"/>
    <mergeCell ref="J8:K8"/>
  </mergeCells>
  <conditionalFormatting sqref="F28:G28 A10:I11 A28 A13:I24 A26:I26">
    <cfRule type="expression" dxfId="5" priority="14" stopIfTrue="1">
      <formula>MOD(ROW(),2)=0</formula>
    </cfRule>
  </conditionalFormatting>
  <conditionalFormatting sqref="B28:E28">
    <cfRule type="expression" dxfId="4" priority="13" stopIfTrue="1">
      <formula>MOD(ROW(),2)=0</formula>
    </cfRule>
  </conditionalFormatting>
  <conditionalFormatting sqref="H28:I28">
    <cfRule type="expression" dxfId="3" priority="12" stopIfTrue="1">
      <formula>MOD(ROW(),2)=0</formula>
    </cfRule>
  </conditionalFormatting>
  <conditionalFormatting sqref="A12:I12">
    <cfRule type="expression" dxfId="2" priority="15" stopIfTrue="1">
      <formula>MOD(ROW(),2)=0</formula>
    </cfRule>
  </conditionalFormatting>
  <conditionalFormatting sqref="A25:I25">
    <cfRule type="expression" dxfId="1" priority="16" stopIfTrue="1">
      <formula>MOD(ROW(),2)=0</formula>
    </cfRule>
  </conditionalFormatting>
  <conditionalFormatting sqref="J10:K26">
    <cfRule type="expression" dxfId="0" priority="17" stopIfTrue="1">
      <formula>MOD(ROW(),2)=0</formula>
    </cfRule>
  </conditionalFormatting>
  <pageMargins left="0.25" right="0.25" top="0.5" bottom="0.44999999999999996" header="0.25" footer="0.25"/>
  <pageSetup scale="88" orientation="landscape" r:id="rId1"/>
  <headerFooter>
    <oddHeader xml:space="preserve">&amp;L &amp;C &amp;R </oddHeader>
    <oddFooter>&amp;L&amp;7&amp;D  at &amp;T Mike 702.486.8879&amp;C&amp;7&amp;F  &amp;A&amp;R&amp;7Page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dimension ref="A1:P80"/>
  <sheetViews>
    <sheetView showGridLines="0" view="pageBreakPreview" zoomScale="115" zoomScaleNormal="115" zoomScaleSheetLayoutView="115" workbookViewId="0">
      <selection activeCell="B34" sqref="B34"/>
    </sheetView>
  </sheetViews>
  <sheetFormatPr baseColWidth="10" defaultColWidth="9.1640625" defaultRowHeight="13"/>
  <cols>
    <col min="1" max="1" width="10.6640625" style="11" bestFit="1" customWidth="1"/>
    <col min="2" max="16384" width="9.1640625" style="11"/>
  </cols>
  <sheetData>
    <row r="1" spans="1:16" ht="16">
      <c r="A1" s="1269" t="s">
        <v>922</v>
      </c>
      <c r="B1" s="1269"/>
      <c r="C1" s="1269"/>
    </row>
    <row r="2" spans="1:16" ht="16">
      <c r="A2" s="71" t="str">
        <f>SchoolName</f>
        <v>TEACH Las Vegas</v>
      </c>
      <c r="B2" s="100"/>
      <c r="C2" s="100"/>
    </row>
    <row r="3" spans="1:16">
      <c r="A3" s="15" t="s">
        <v>412</v>
      </c>
    </row>
    <row r="4" spans="1:16">
      <c r="A4" s="14" t="s">
        <v>444</v>
      </c>
    </row>
    <row r="5" spans="1:16">
      <c r="A5" s="13" t="str">
        <f ca="1">CELL("filename")</f>
        <v>/Users/matthewbrown/Desktop/[2021MB-New-CS-Application-Financial-Plan-TEACH REV 21.1.04MB 2021 02 01.xlsx]Enrol Staff &amp; Exp</v>
      </c>
    </row>
    <row r="7" spans="1:16">
      <c r="A7" s="12"/>
      <c r="B7" s="12"/>
      <c r="C7" s="12"/>
      <c r="D7" s="12"/>
      <c r="E7" s="12"/>
      <c r="F7" s="12"/>
      <c r="G7" s="12"/>
      <c r="H7" s="12"/>
      <c r="I7" s="12"/>
      <c r="J7" s="12"/>
      <c r="K7" s="12"/>
      <c r="L7" s="12"/>
      <c r="M7" s="12"/>
      <c r="N7" s="12"/>
      <c r="O7" s="12"/>
      <c r="P7" s="12"/>
    </row>
    <row r="8" spans="1:16">
      <c r="A8" s="12"/>
      <c r="B8" s="12"/>
      <c r="C8" s="12"/>
      <c r="D8" s="12"/>
      <c r="E8" s="12"/>
      <c r="F8" s="12"/>
      <c r="G8" s="12"/>
      <c r="H8" s="12"/>
      <c r="I8" s="12"/>
      <c r="J8" s="12"/>
      <c r="K8" s="12"/>
      <c r="L8" s="12"/>
      <c r="M8" s="12"/>
      <c r="N8" s="12"/>
      <c r="O8" s="12"/>
      <c r="P8" s="12"/>
    </row>
    <row r="9" spans="1:16">
      <c r="A9" s="12"/>
      <c r="B9" s="12"/>
      <c r="C9" s="12"/>
      <c r="D9" s="12"/>
      <c r="E9" s="12"/>
      <c r="F9" s="12"/>
      <c r="G9" s="12"/>
      <c r="H9" s="12"/>
      <c r="I9" s="12"/>
      <c r="J9" s="12"/>
      <c r="K9" s="12"/>
      <c r="L9" s="12"/>
      <c r="M9" s="12"/>
      <c r="N9" s="12"/>
      <c r="O9" s="12"/>
      <c r="P9" s="12"/>
    </row>
    <row r="10" spans="1:16">
      <c r="A10" s="12"/>
      <c r="B10" s="12"/>
      <c r="C10" s="12"/>
      <c r="D10" s="12"/>
      <c r="E10" s="12"/>
      <c r="F10" s="12"/>
      <c r="G10" s="12"/>
      <c r="H10" s="12"/>
      <c r="I10" s="12"/>
      <c r="J10" s="12"/>
      <c r="K10" s="12"/>
      <c r="L10" s="12"/>
      <c r="M10" s="12"/>
      <c r="N10" s="12"/>
      <c r="O10" s="12"/>
      <c r="P10" s="12"/>
    </row>
    <row r="11" spans="1:16">
      <c r="A11" s="12"/>
      <c r="B11" s="12"/>
      <c r="C11" s="12"/>
      <c r="D11" s="12"/>
      <c r="E11" s="12"/>
      <c r="F11" s="12"/>
      <c r="G11" s="12"/>
      <c r="H11" s="12"/>
      <c r="I11" s="12"/>
      <c r="J11" s="12"/>
      <c r="K11" s="12"/>
      <c r="L11" s="12"/>
      <c r="M11" s="12"/>
      <c r="N11" s="12"/>
      <c r="O11" s="12"/>
      <c r="P11" s="12"/>
    </row>
    <row r="12" spans="1:16">
      <c r="A12" s="12"/>
      <c r="B12" s="12"/>
      <c r="C12" s="12"/>
      <c r="D12" s="12"/>
      <c r="E12" s="12"/>
      <c r="F12" s="12"/>
      <c r="G12" s="12"/>
      <c r="H12" s="12"/>
      <c r="I12" s="12"/>
      <c r="J12" s="12"/>
      <c r="K12" s="12"/>
      <c r="L12" s="12"/>
      <c r="M12" s="12"/>
      <c r="N12" s="12"/>
      <c r="O12" s="12"/>
      <c r="P12" s="12"/>
    </row>
    <row r="13" spans="1:16">
      <c r="A13" s="12"/>
      <c r="B13" s="12"/>
      <c r="C13" s="12"/>
      <c r="D13" s="12"/>
      <c r="E13" s="12"/>
      <c r="F13" s="12"/>
      <c r="G13" s="12"/>
      <c r="H13" s="12"/>
      <c r="I13" s="12"/>
      <c r="J13" s="12"/>
      <c r="K13" s="12"/>
      <c r="L13" s="12"/>
      <c r="M13" s="12"/>
      <c r="N13" s="12"/>
      <c r="O13" s="12"/>
      <c r="P13" s="12"/>
    </row>
    <row r="14" spans="1:16">
      <c r="A14" s="12"/>
      <c r="B14" s="12"/>
      <c r="C14" s="12"/>
      <c r="D14" s="12"/>
      <c r="E14" s="12"/>
      <c r="F14" s="12"/>
      <c r="G14" s="12"/>
      <c r="H14" s="12"/>
      <c r="I14" s="12"/>
      <c r="J14" s="12"/>
      <c r="K14" s="12"/>
      <c r="L14" s="12"/>
      <c r="M14" s="12"/>
      <c r="N14" s="12"/>
      <c r="O14" s="12"/>
      <c r="P14" s="12"/>
    </row>
    <row r="15" spans="1:16">
      <c r="A15" s="12"/>
      <c r="B15" s="12"/>
      <c r="C15" s="12"/>
      <c r="D15" s="12"/>
      <c r="E15" s="12"/>
      <c r="F15" s="12"/>
      <c r="G15" s="12"/>
      <c r="H15" s="12"/>
      <c r="I15" s="12"/>
      <c r="J15" s="12"/>
      <c r="K15" s="12"/>
      <c r="L15" s="12"/>
      <c r="M15" s="12"/>
      <c r="N15" s="12"/>
      <c r="O15" s="12"/>
      <c r="P15" s="12"/>
    </row>
    <row r="16" spans="1:16">
      <c r="A16" s="12"/>
      <c r="B16" s="12"/>
      <c r="C16" s="12"/>
      <c r="D16" s="12"/>
      <c r="E16" s="12"/>
      <c r="F16" s="12"/>
      <c r="G16" s="12"/>
      <c r="H16" s="12"/>
      <c r="I16" s="12"/>
      <c r="J16" s="12"/>
      <c r="K16" s="12"/>
      <c r="L16" s="12"/>
      <c r="M16" s="12"/>
      <c r="N16" s="12"/>
      <c r="O16" s="12"/>
      <c r="P16" s="12"/>
    </row>
    <row r="17" spans="1:16">
      <c r="A17" s="12"/>
      <c r="B17" s="12"/>
      <c r="C17" s="12"/>
      <c r="D17" s="12"/>
      <c r="E17" s="12"/>
      <c r="F17" s="12"/>
      <c r="G17" s="12"/>
      <c r="H17" s="12"/>
      <c r="I17" s="12"/>
      <c r="J17" s="12"/>
      <c r="K17" s="12"/>
      <c r="L17" s="12"/>
      <c r="M17" s="12"/>
      <c r="N17" s="12"/>
      <c r="O17" s="12"/>
      <c r="P17" s="12"/>
    </row>
    <row r="18" spans="1:16">
      <c r="A18" s="12"/>
      <c r="B18" s="12"/>
      <c r="C18" s="12"/>
      <c r="D18" s="12"/>
      <c r="E18" s="12"/>
      <c r="F18" s="12"/>
      <c r="G18" s="12"/>
      <c r="H18" s="12"/>
      <c r="I18" s="12"/>
      <c r="J18" s="12"/>
      <c r="K18" s="12"/>
      <c r="L18" s="12"/>
      <c r="M18" s="12"/>
      <c r="N18" s="12"/>
      <c r="O18" s="12"/>
      <c r="P18" s="12"/>
    </row>
    <row r="19" spans="1:16">
      <c r="A19" s="12"/>
      <c r="B19" s="12"/>
      <c r="C19" s="12"/>
      <c r="D19" s="12"/>
      <c r="E19" s="12"/>
      <c r="F19" s="12"/>
      <c r="G19" s="12"/>
      <c r="H19" s="12"/>
      <c r="I19" s="12"/>
      <c r="J19" s="12"/>
      <c r="K19" s="12"/>
      <c r="L19" s="12"/>
      <c r="M19" s="12"/>
      <c r="N19" s="12"/>
      <c r="O19" s="12"/>
      <c r="P19" s="12"/>
    </row>
    <row r="20" spans="1:16">
      <c r="A20" s="12"/>
      <c r="B20" s="12"/>
      <c r="C20" s="12"/>
      <c r="D20" s="12"/>
      <c r="E20" s="12"/>
      <c r="F20" s="12"/>
      <c r="G20" s="12"/>
      <c r="H20" s="12"/>
      <c r="I20" s="12"/>
      <c r="J20" s="12"/>
      <c r="K20" s="12"/>
      <c r="L20" s="12"/>
      <c r="M20" s="12"/>
      <c r="N20" s="12"/>
      <c r="O20" s="12"/>
      <c r="P20" s="12"/>
    </row>
    <row r="21" spans="1:16">
      <c r="A21" s="12"/>
      <c r="B21" s="12"/>
      <c r="C21" s="12"/>
      <c r="D21" s="12"/>
      <c r="E21" s="12"/>
      <c r="F21" s="12"/>
      <c r="G21" s="12"/>
      <c r="H21" s="12"/>
      <c r="I21" s="12"/>
      <c r="J21" s="12"/>
      <c r="K21" s="12"/>
      <c r="L21" s="12"/>
      <c r="M21" s="12"/>
      <c r="N21" s="12"/>
      <c r="O21" s="12"/>
      <c r="P21" s="12"/>
    </row>
    <row r="22" spans="1:16">
      <c r="A22" s="12"/>
      <c r="B22" s="12"/>
      <c r="C22" s="12"/>
      <c r="D22" s="12"/>
      <c r="E22" s="12"/>
      <c r="F22" s="12"/>
      <c r="G22" s="12"/>
      <c r="H22" s="12"/>
      <c r="I22" s="12"/>
      <c r="J22" s="12"/>
      <c r="K22" s="12"/>
      <c r="L22" s="12"/>
      <c r="M22" s="12"/>
      <c r="N22" s="12"/>
      <c r="O22" s="12"/>
      <c r="P22" s="12"/>
    </row>
    <row r="23" spans="1:16">
      <c r="A23" s="12"/>
      <c r="B23" s="12"/>
      <c r="C23" s="12"/>
      <c r="D23" s="12"/>
      <c r="E23" s="12"/>
      <c r="F23" s="12"/>
      <c r="G23" s="12"/>
      <c r="H23" s="12"/>
      <c r="I23" s="12"/>
      <c r="J23" s="12"/>
      <c r="K23" s="12"/>
      <c r="L23" s="12"/>
      <c r="M23" s="12"/>
      <c r="N23" s="12"/>
      <c r="O23" s="12"/>
      <c r="P23" s="12"/>
    </row>
    <row r="24" spans="1:16">
      <c r="A24" s="12"/>
      <c r="B24" s="12"/>
      <c r="C24" s="12"/>
      <c r="D24" s="12"/>
      <c r="E24" s="12"/>
      <c r="F24" s="12"/>
      <c r="G24" s="12"/>
      <c r="H24" s="12"/>
      <c r="I24" s="12"/>
      <c r="J24" s="12"/>
      <c r="K24" s="12"/>
      <c r="L24" s="12"/>
      <c r="M24" s="12"/>
      <c r="N24" s="12"/>
      <c r="O24" s="12"/>
      <c r="P24" s="12"/>
    </row>
    <row r="25" spans="1:16">
      <c r="A25" s="12"/>
      <c r="B25" s="12"/>
      <c r="C25" s="12"/>
      <c r="D25" s="12"/>
      <c r="E25" s="12"/>
      <c r="F25" s="12"/>
      <c r="G25" s="12"/>
      <c r="H25" s="12"/>
      <c r="I25" s="12"/>
      <c r="J25" s="12"/>
      <c r="K25" s="12"/>
      <c r="L25" s="12"/>
      <c r="M25" s="12"/>
      <c r="N25" s="12"/>
      <c r="O25" s="12"/>
      <c r="P25" s="12"/>
    </row>
    <row r="26" spans="1:16">
      <c r="A26" s="12"/>
      <c r="B26" s="12"/>
      <c r="C26" s="12"/>
      <c r="D26" s="12"/>
      <c r="E26" s="12"/>
      <c r="F26" s="12"/>
      <c r="G26" s="12"/>
      <c r="H26" s="12"/>
      <c r="I26" s="12"/>
      <c r="J26" s="12"/>
      <c r="K26" s="12"/>
      <c r="L26" s="12"/>
      <c r="M26" s="12"/>
      <c r="N26" s="12"/>
      <c r="O26" s="12"/>
      <c r="P26" s="12"/>
    </row>
    <row r="27" spans="1:16">
      <c r="A27" s="12"/>
      <c r="B27" s="12"/>
      <c r="C27" s="12"/>
      <c r="D27" s="12"/>
      <c r="E27" s="12"/>
      <c r="F27" s="12"/>
      <c r="G27" s="12"/>
      <c r="H27" s="12"/>
      <c r="I27" s="12"/>
      <c r="J27" s="12"/>
      <c r="K27" s="12"/>
      <c r="L27" s="12"/>
      <c r="M27" s="12"/>
      <c r="N27" s="12"/>
      <c r="O27" s="12"/>
      <c r="P27" s="12"/>
    </row>
    <row r="28" spans="1:16">
      <c r="A28" s="12"/>
      <c r="B28" s="12"/>
      <c r="C28" s="12"/>
      <c r="D28" s="12"/>
      <c r="E28" s="12"/>
      <c r="F28" s="12"/>
      <c r="G28" s="12"/>
      <c r="H28" s="12"/>
      <c r="I28" s="12"/>
      <c r="J28" s="12"/>
      <c r="K28" s="12"/>
      <c r="L28" s="12"/>
      <c r="M28" s="12"/>
      <c r="N28" s="12"/>
      <c r="O28" s="12"/>
      <c r="P28" s="12"/>
    </row>
    <row r="29" spans="1:16">
      <c r="A29" s="12"/>
      <c r="B29" s="12"/>
      <c r="C29" s="12"/>
      <c r="D29" s="12"/>
      <c r="E29" s="12"/>
      <c r="F29" s="12"/>
      <c r="G29" s="12"/>
      <c r="H29" s="12"/>
      <c r="I29" s="12"/>
      <c r="J29" s="12"/>
      <c r="K29" s="12"/>
      <c r="L29" s="12"/>
      <c r="M29" s="12"/>
      <c r="N29" s="12"/>
      <c r="O29" s="12"/>
      <c r="P29" s="12"/>
    </row>
    <row r="30" spans="1:16">
      <c r="A30" s="12"/>
      <c r="B30" s="12"/>
      <c r="C30" s="12"/>
      <c r="D30" s="12"/>
      <c r="E30" s="12"/>
      <c r="F30" s="12"/>
      <c r="G30" s="12"/>
      <c r="H30" s="12"/>
      <c r="I30" s="12"/>
      <c r="J30" s="12"/>
      <c r="K30" s="12"/>
      <c r="L30" s="12"/>
      <c r="M30" s="12"/>
      <c r="N30" s="12"/>
      <c r="O30" s="12"/>
      <c r="P30" s="12"/>
    </row>
    <row r="31" spans="1:16">
      <c r="A31" s="12"/>
      <c r="B31" s="12"/>
      <c r="C31" s="12"/>
      <c r="D31" s="12"/>
      <c r="E31" s="12"/>
      <c r="F31" s="12"/>
      <c r="G31" s="12"/>
      <c r="H31" s="12"/>
      <c r="I31" s="12"/>
      <c r="J31" s="12"/>
      <c r="K31" s="12"/>
      <c r="L31" s="12"/>
      <c r="M31" s="12"/>
      <c r="N31" s="12"/>
      <c r="O31" s="12"/>
      <c r="P31" s="12"/>
    </row>
    <row r="32" spans="1:16">
      <c r="A32" s="12"/>
      <c r="B32" s="12"/>
      <c r="C32" s="12"/>
      <c r="D32" s="12"/>
      <c r="E32" s="12"/>
      <c r="F32" s="12"/>
      <c r="G32" s="12"/>
      <c r="H32" s="12"/>
      <c r="I32" s="12"/>
      <c r="J32" s="12"/>
      <c r="K32" s="12"/>
      <c r="L32" s="12"/>
      <c r="M32" s="12"/>
      <c r="N32" s="12"/>
      <c r="O32" s="12"/>
      <c r="P32" s="12"/>
    </row>
    <row r="33" spans="1:16">
      <c r="A33" s="12"/>
      <c r="B33" s="12"/>
      <c r="C33" s="12"/>
      <c r="D33" s="12"/>
      <c r="E33" s="12"/>
      <c r="F33" s="12"/>
      <c r="G33" s="12"/>
      <c r="H33" s="12"/>
      <c r="I33" s="12"/>
      <c r="J33" s="12"/>
      <c r="K33" s="12"/>
      <c r="L33" s="12"/>
      <c r="M33" s="12"/>
      <c r="N33" s="12"/>
      <c r="O33" s="12"/>
      <c r="P33" s="12"/>
    </row>
    <row r="34" spans="1:16">
      <c r="A34" s="12"/>
      <c r="B34" s="12"/>
      <c r="C34" s="12"/>
      <c r="D34" s="12"/>
      <c r="E34" s="12"/>
      <c r="F34" s="12"/>
      <c r="G34" s="12"/>
      <c r="H34" s="12"/>
      <c r="I34" s="12"/>
      <c r="J34" s="12"/>
      <c r="K34" s="12"/>
      <c r="L34" s="12"/>
      <c r="M34" s="12"/>
      <c r="N34" s="12"/>
      <c r="O34" s="12"/>
      <c r="P34" s="12"/>
    </row>
    <row r="35" spans="1:16">
      <c r="A35" s="12"/>
      <c r="B35" s="12"/>
      <c r="C35" s="12"/>
      <c r="D35" s="12"/>
      <c r="E35" s="12"/>
      <c r="F35" s="12"/>
      <c r="G35" s="12"/>
      <c r="H35" s="12"/>
      <c r="I35" s="12"/>
      <c r="J35" s="12"/>
      <c r="K35" s="12"/>
      <c r="L35" s="12"/>
      <c r="M35" s="12"/>
      <c r="N35" s="12"/>
      <c r="O35" s="12"/>
      <c r="P35" s="12"/>
    </row>
    <row r="36" spans="1:16">
      <c r="A36" s="12"/>
      <c r="B36" s="12"/>
      <c r="C36" s="12"/>
      <c r="D36" s="12"/>
      <c r="E36" s="12"/>
      <c r="F36" s="12"/>
      <c r="G36" s="12"/>
      <c r="H36" s="12"/>
      <c r="I36" s="12"/>
      <c r="J36" s="12"/>
      <c r="K36" s="12"/>
      <c r="L36" s="12"/>
      <c r="M36" s="12"/>
      <c r="N36" s="12"/>
      <c r="O36" s="12"/>
      <c r="P36" s="12"/>
    </row>
    <row r="37" spans="1:16">
      <c r="A37" s="12"/>
      <c r="B37" s="12"/>
      <c r="C37" s="12"/>
      <c r="D37" s="12"/>
      <c r="E37" s="12"/>
      <c r="F37" s="12"/>
      <c r="G37" s="12"/>
      <c r="H37" s="12"/>
      <c r="I37" s="12"/>
      <c r="J37" s="12"/>
      <c r="K37" s="12"/>
      <c r="L37" s="12"/>
      <c r="M37" s="12"/>
      <c r="N37" s="12"/>
      <c r="O37" s="12"/>
      <c r="P37" s="12"/>
    </row>
    <row r="38" spans="1:16">
      <c r="A38" s="12"/>
      <c r="B38" s="12"/>
      <c r="C38" s="12"/>
      <c r="D38" s="12"/>
      <c r="E38" s="12"/>
      <c r="F38" s="12"/>
      <c r="G38" s="12"/>
      <c r="H38" s="12"/>
      <c r="I38" s="12"/>
      <c r="J38" s="12"/>
      <c r="K38" s="12"/>
      <c r="L38" s="12"/>
      <c r="M38" s="12"/>
      <c r="N38" s="12"/>
      <c r="O38" s="12"/>
      <c r="P38" s="12"/>
    </row>
    <row r="39" spans="1:16">
      <c r="A39" s="12"/>
      <c r="B39" s="12"/>
      <c r="C39" s="12"/>
      <c r="D39" s="12"/>
      <c r="E39" s="12"/>
      <c r="F39" s="12"/>
      <c r="G39" s="12"/>
      <c r="H39" s="12"/>
      <c r="I39" s="12"/>
      <c r="J39" s="12"/>
      <c r="K39" s="12"/>
      <c r="L39" s="12"/>
      <c r="M39" s="12"/>
      <c r="N39" s="12"/>
      <c r="O39" s="12"/>
      <c r="P39" s="12"/>
    </row>
    <row r="40" spans="1:16">
      <c r="A40" s="12"/>
      <c r="B40" s="12"/>
      <c r="C40" s="12"/>
      <c r="D40" s="12"/>
      <c r="E40" s="12"/>
      <c r="F40" s="12"/>
      <c r="G40" s="12"/>
      <c r="H40" s="12"/>
      <c r="I40" s="12"/>
      <c r="J40" s="12"/>
      <c r="K40" s="12"/>
      <c r="L40" s="12"/>
      <c r="M40" s="12"/>
      <c r="N40" s="12"/>
      <c r="O40" s="12"/>
      <c r="P40" s="12"/>
    </row>
    <row r="41" spans="1:16">
      <c r="A41" s="12"/>
      <c r="B41" s="12"/>
      <c r="C41" s="12"/>
      <c r="D41" s="12"/>
      <c r="E41" s="12"/>
      <c r="F41" s="12"/>
      <c r="G41" s="12"/>
      <c r="H41" s="12"/>
      <c r="I41" s="12"/>
      <c r="J41" s="12"/>
      <c r="K41" s="12"/>
      <c r="L41" s="12"/>
      <c r="M41" s="12"/>
      <c r="N41" s="12"/>
      <c r="O41" s="12"/>
      <c r="P41" s="12"/>
    </row>
    <row r="42" spans="1:16">
      <c r="A42" s="12"/>
      <c r="B42" s="12"/>
      <c r="C42" s="12"/>
      <c r="D42" s="12"/>
      <c r="E42" s="12"/>
      <c r="F42" s="12"/>
      <c r="G42" s="12"/>
      <c r="H42" s="12"/>
      <c r="I42" s="12"/>
      <c r="J42" s="12"/>
      <c r="K42" s="12"/>
      <c r="L42" s="12"/>
      <c r="M42" s="12"/>
      <c r="N42" s="12"/>
      <c r="O42" s="12"/>
      <c r="P42" s="12"/>
    </row>
    <row r="43" spans="1:16">
      <c r="A43" s="12"/>
      <c r="B43" s="12"/>
      <c r="C43" s="12"/>
      <c r="D43" s="12"/>
      <c r="E43" s="12"/>
      <c r="F43" s="12"/>
      <c r="G43" s="12"/>
      <c r="H43" s="12"/>
      <c r="I43" s="12"/>
      <c r="J43" s="12"/>
      <c r="K43" s="12"/>
      <c r="L43" s="12"/>
      <c r="M43" s="12"/>
      <c r="N43" s="12"/>
      <c r="O43" s="12"/>
      <c r="P43" s="12"/>
    </row>
    <row r="44" spans="1:16">
      <c r="A44" s="12"/>
      <c r="B44" s="12"/>
      <c r="C44" s="12"/>
      <c r="D44" s="12"/>
      <c r="E44" s="12"/>
      <c r="F44" s="12"/>
      <c r="G44" s="12"/>
      <c r="H44" s="12"/>
      <c r="I44" s="12"/>
      <c r="J44" s="12"/>
      <c r="K44" s="12"/>
      <c r="L44" s="12"/>
      <c r="M44" s="12"/>
      <c r="N44" s="12"/>
      <c r="O44" s="12"/>
      <c r="P44" s="12"/>
    </row>
    <row r="45" spans="1:16">
      <c r="A45" s="12"/>
      <c r="B45" s="12"/>
      <c r="C45" s="12"/>
      <c r="D45" s="12"/>
      <c r="E45" s="12"/>
      <c r="F45" s="12"/>
      <c r="G45" s="12"/>
      <c r="H45" s="12"/>
      <c r="I45" s="12"/>
      <c r="J45" s="12"/>
      <c r="K45" s="12"/>
      <c r="L45" s="12"/>
      <c r="M45" s="12"/>
      <c r="N45" s="12"/>
      <c r="O45" s="12"/>
      <c r="P45" s="12"/>
    </row>
    <row r="46" spans="1:16">
      <c r="A46" s="12"/>
      <c r="B46" s="12"/>
      <c r="C46" s="12"/>
      <c r="D46" s="12"/>
      <c r="E46" s="12"/>
      <c r="F46" s="12"/>
      <c r="G46" s="12"/>
      <c r="H46" s="12"/>
      <c r="I46" s="12"/>
      <c r="J46" s="12"/>
      <c r="K46" s="12"/>
      <c r="L46" s="12"/>
      <c r="M46" s="12"/>
      <c r="N46" s="12"/>
      <c r="O46" s="12"/>
      <c r="P46" s="12"/>
    </row>
    <row r="47" spans="1:16">
      <c r="A47" s="12"/>
      <c r="B47" s="12"/>
      <c r="C47" s="12"/>
      <c r="D47" s="12"/>
      <c r="E47" s="12"/>
      <c r="F47" s="12"/>
      <c r="G47" s="12"/>
      <c r="H47" s="12"/>
      <c r="I47" s="12"/>
      <c r="J47" s="12"/>
      <c r="K47" s="12"/>
      <c r="L47" s="12"/>
      <c r="M47" s="12"/>
      <c r="N47" s="12"/>
      <c r="O47" s="12"/>
      <c r="P47" s="12"/>
    </row>
    <row r="48" spans="1:16">
      <c r="A48" s="12"/>
      <c r="B48" s="12"/>
      <c r="C48" s="12"/>
      <c r="D48" s="12"/>
      <c r="E48" s="12"/>
      <c r="F48" s="12"/>
      <c r="G48" s="12"/>
      <c r="H48" s="12"/>
      <c r="I48" s="12"/>
      <c r="J48" s="12"/>
      <c r="K48" s="12"/>
      <c r="L48" s="12"/>
      <c r="M48" s="12"/>
      <c r="N48" s="12"/>
      <c r="O48" s="12"/>
      <c r="P48" s="12"/>
    </row>
    <row r="49" spans="1:16">
      <c r="A49" s="12"/>
      <c r="B49" s="12"/>
      <c r="C49" s="12"/>
      <c r="D49" s="12"/>
      <c r="E49" s="12"/>
      <c r="F49" s="12"/>
      <c r="G49" s="12"/>
      <c r="H49" s="12"/>
      <c r="I49" s="12"/>
      <c r="J49" s="12"/>
      <c r="K49" s="12"/>
      <c r="L49" s="12"/>
      <c r="M49" s="12"/>
      <c r="N49" s="12"/>
      <c r="O49" s="12"/>
      <c r="P49" s="12"/>
    </row>
    <row r="50" spans="1:16">
      <c r="A50" s="12"/>
      <c r="B50" s="12"/>
      <c r="C50" s="12"/>
      <c r="D50" s="12"/>
      <c r="E50" s="12"/>
      <c r="F50" s="12"/>
      <c r="G50" s="12"/>
      <c r="H50" s="12"/>
      <c r="I50" s="12"/>
      <c r="J50" s="12"/>
      <c r="K50" s="12"/>
      <c r="L50" s="12"/>
      <c r="M50" s="12"/>
      <c r="N50" s="12"/>
      <c r="O50" s="12"/>
      <c r="P50" s="12"/>
    </row>
    <row r="51" spans="1:16">
      <c r="A51" s="12"/>
      <c r="B51" s="12"/>
      <c r="C51" s="12"/>
      <c r="D51" s="12"/>
      <c r="E51" s="12"/>
      <c r="F51" s="12"/>
      <c r="G51" s="12"/>
      <c r="H51" s="12"/>
      <c r="I51" s="12"/>
      <c r="J51" s="12"/>
      <c r="K51" s="12"/>
      <c r="L51" s="12"/>
      <c r="M51" s="12"/>
      <c r="N51" s="12"/>
      <c r="O51" s="12"/>
      <c r="P51" s="12"/>
    </row>
    <row r="52" spans="1:16">
      <c r="A52" s="12"/>
      <c r="B52" s="12"/>
      <c r="C52" s="12"/>
      <c r="D52" s="12"/>
      <c r="E52" s="12"/>
      <c r="F52" s="12"/>
      <c r="G52" s="12"/>
      <c r="H52" s="12"/>
      <c r="I52" s="12"/>
      <c r="J52" s="12"/>
      <c r="K52" s="12"/>
      <c r="L52" s="12"/>
      <c r="M52" s="12"/>
      <c r="N52" s="12"/>
      <c r="O52" s="12"/>
      <c r="P52" s="12"/>
    </row>
    <row r="53" spans="1:16">
      <c r="A53" s="12"/>
      <c r="B53" s="12"/>
      <c r="C53" s="12"/>
      <c r="D53" s="12"/>
      <c r="E53" s="12"/>
      <c r="F53" s="12"/>
      <c r="G53" s="12"/>
      <c r="H53" s="12"/>
      <c r="I53" s="12"/>
      <c r="J53" s="12"/>
      <c r="K53" s="12"/>
      <c r="L53" s="12"/>
      <c r="M53" s="12"/>
      <c r="N53" s="12"/>
      <c r="O53" s="12"/>
      <c r="P53" s="12"/>
    </row>
    <row r="54" spans="1:16">
      <c r="A54" s="12"/>
      <c r="B54" s="12"/>
      <c r="C54" s="12"/>
      <c r="D54" s="12"/>
      <c r="E54" s="12"/>
      <c r="F54" s="12"/>
      <c r="G54" s="12"/>
      <c r="H54" s="12"/>
      <c r="I54" s="12"/>
      <c r="J54" s="12"/>
      <c r="K54" s="12"/>
      <c r="L54" s="12"/>
      <c r="M54" s="12"/>
      <c r="N54" s="12"/>
      <c r="O54" s="12"/>
      <c r="P54" s="12"/>
    </row>
    <row r="55" spans="1:16">
      <c r="A55" s="12"/>
      <c r="B55" s="12"/>
      <c r="C55" s="12"/>
      <c r="D55" s="12"/>
      <c r="E55" s="12"/>
      <c r="F55" s="12"/>
      <c r="G55" s="12"/>
      <c r="H55" s="12"/>
      <c r="I55" s="12"/>
      <c r="J55" s="12"/>
      <c r="K55" s="12"/>
      <c r="L55" s="12"/>
      <c r="M55" s="12"/>
      <c r="N55" s="12"/>
      <c r="O55" s="12"/>
      <c r="P55" s="12"/>
    </row>
    <row r="56" spans="1:16">
      <c r="A56" s="12"/>
      <c r="B56" s="12"/>
      <c r="C56" s="12"/>
      <c r="D56" s="12"/>
      <c r="E56" s="12"/>
      <c r="F56" s="12"/>
      <c r="G56" s="12"/>
      <c r="H56" s="12"/>
      <c r="I56" s="12"/>
      <c r="J56" s="12"/>
      <c r="K56" s="12"/>
      <c r="L56" s="12"/>
      <c r="M56" s="12"/>
      <c r="N56" s="12"/>
      <c r="O56" s="12"/>
      <c r="P56" s="12"/>
    </row>
    <row r="57" spans="1:16">
      <c r="A57" s="12"/>
      <c r="B57" s="12"/>
      <c r="C57" s="12"/>
      <c r="D57" s="12"/>
      <c r="E57" s="12"/>
      <c r="F57" s="12"/>
      <c r="G57" s="12"/>
      <c r="H57" s="12"/>
      <c r="I57" s="12"/>
      <c r="J57" s="12"/>
      <c r="K57" s="12"/>
      <c r="L57" s="12"/>
      <c r="M57" s="12"/>
      <c r="N57" s="12"/>
      <c r="O57" s="12"/>
      <c r="P57" s="12"/>
    </row>
    <row r="58" spans="1:16">
      <c r="A58" s="12"/>
      <c r="B58" s="12"/>
      <c r="C58" s="12"/>
      <c r="D58" s="12"/>
      <c r="E58" s="12"/>
      <c r="F58" s="12"/>
      <c r="G58" s="12"/>
      <c r="H58" s="12"/>
      <c r="I58" s="12"/>
      <c r="J58" s="12"/>
      <c r="K58" s="12"/>
      <c r="L58" s="12"/>
      <c r="M58" s="12"/>
      <c r="N58" s="12"/>
      <c r="O58" s="12"/>
      <c r="P58" s="12"/>
    </row>
    <row r="59" spans="1:16">
      <c r="A59" s="12"/>
      <c r="B59" s="12"/>
      <c r="C59" s="12"/>
      <c r="D59" s="12"/>
      <c r="E59" s="12"/>
      <c r="F59" s="12"/>
      <c r="G59" s="12"/>
      <c r="H59" s="12"/>
      <c r="I59" s="12"/>
      <c r="J59" s="12"/>
      <c r="K59" s="12"/>
      <c r="L59" s="12"/>
      <c r="M59" s="12"/>
      <c r="N59" s="12"/>
      <c r="O59" s="12"/>
      <c r="P59" s="12"/>
    </row>
    <row r="60" spans="1:16">
      <c r="A60" s="12"/>
      <c r="B60" s="12"/>
      <c r="C60" s="12"/>
      <c r="D60" s="12"/>
      <c r="E60" s="12"/>
      <c r="F60" s="12"/>
      <c r="G60" s="12"/>
      <c r="H60" s="12"/>
      <c r="I60" s="12"/>
      <c r="J60" s="12"/>
      <c r="K60" s="12"/>
      <c r="L60" s="12"/>
      <c r="M60" s="12"/>
      <c r="N60" s="12"/>
      <c r="O60" s="12"/>
      <c r="P60" s="12"/>
    </row>
    <row r="61" spans="1:16">
      <c r="A61" s="12"/>
      <c r="B61" s="12"/>
      <c r="C61" s="12"/>
      <c r="D61" s="12"/>
      <c r="E61" s="12"/>
      <c r="F61" s="12"/>
      <c r="G61" s="12"/>
      <c r="H61" s="12"/>
      <c r="I61" s="12"/>
      <c r="J61" s="12"/>
      <c r="K61" s="12"/>
      <c r="L61" s="12"/>
      <c r="M61" s="12"/>
      <c r="N61" s="12"/>
      <c r="O61" s="12"/>
      <c r="P61" s="12"/>
    </row>
    <row r="62" spans="1:16">
      <c r="A62" s="12"/>
      <c r="B62" s="12"/>
      <c r="C62" s="12"/>
      <c r="D62" s="12"/>
      <c r="E62" s="12"/>
      <c r="F62" s="12"/>
      <c r="G62" s="12"/>
      <c r="H62" s="12"/>
      <c r="I62" s="12"/>
      <c r="J62" s="12"/>
      <c r="K62" s="12"/>
      <c r="L62" s="12"/>
      <c r="M62" s="12"/>
      <c r="N62" s="12"/>
      <c r="O62" s="12"/>
      <c r="P62" s="12"/>
    </row>
    <row r="63" spans="1:16">
      <c r="A63" s="12"/>
      <c r="B63" s="12"/>
      <c r="C63" s="12"/>
      <c r="D63" s="12"/>
      <c r="E63" s="12"/>
      <c r="F63" s="12"/>
      <c r="G63" s="12"/>
      <c r="H63" s="12"/>
      <c r="I63" s="12"/>
      <c r="J63" s="12"/>
      <c r="K63" s="12"/>
      <c r="L63" s="12"/>
      <c r="M63" s="12"/>
      <c r="N63" s="12"/>
      <c r="O63" s="12"/>
      <c r="P63" s="12"/>
    </row>
    <row r="64" spans="1:16">
      <c r="A64" s="12"/>
      <c r="B64" s="12"/>
      <c r="C64" s="12"/>
      <c r="D64" s="12"/>
      <c r="E64" s="12"/>
      <c r="F64" s="12"/>
      <c r="G64" s="12"/>
      <c r="H64" s="12"/>
      <c r="I64" s="12"/>
      <c r="J64" s="12"/>
      <c r="K64" s="12"/>
      <c r="L64" s="12"/>
      <c r="M64" s="12"/>
      <c r="N64" s="12"/>
      <c r="O64" s="12"/>
      <c r="P64" s="12"/>
    </row>
    <row r="65" spans="1:16">
      <c r="A65" s="12"/>
      <c r="B65" s="12"/>
      <c r="C65" s="12"/>
      <c r="D65" s="12"/>
      <c r="E65" s="12"/>
      <c r="F65" s="12"/>
      <c r="G65" s="12"/>
      <c r="H65" s="12"/>
      <c r="I65" s="12"/>
      <c r="J65" s="12"/>
      <c r="K65" s="12"/>
      <c r="L65" s="12"/>
      <c r="M65" s="12"/>
      <c r="N65" s="12"/>
      <c r="O65" s="12"/>
      <c r="P65" s="12"/>
    </row>
    <row r="66" spans="1:16">
      <c r="A66" s="12"/>
      <c r="B66" s="12"/>
      <c r="C66" s="12"/>
      <c r="D66" s="12"/>
      <c r="E66" s="12"/>
      <c r="F66" s="12"/>
      <c r="G66" s="12"/>
      <c r="H66" s="12"/>
      <c r="I66" s="12"/>
      <c r="J66" s="12"/>
      <c r="K66" s="12"/>
      <c r="L66" s="12"/>
      <c r="M66" s="12"/>
      <c r="N66" s="12"/>
      <c r="O66" s="12"/>
      <c r="P66" s="12"/>
    </row>
    <row r="67" spans="1:16">
      <c r="A67" s="12"/>
      <c r="B67" s="12"/>
      <c r="C67" s="12"/>
      <c r="D67" s="12"/>
      <c r="E67" s="12"/>
      <c r="F67" s="12"/>
      <c r="G67" s="12"/>
      <c r="H67" s="12"/>
      <c r="I67" s="12"/>
      <c r="J67" s="12"/>
      <c r="K67" s="12"/>
      <c r="L67" s="12"/>
      <c r="M67" s="12"/>
      <c r="N67" s="12"/>
      <c r="O67" s="12"/>
      <c r="P67" s="12"/>
    </row>
    <row r="68" spans="1:16">
      <c r="A68" s="12"/>
      <c r="B68" s="12"/>
      <c r="C68" s="12"/>
      <c r="D68" s="12"/>
      <c r="E68" s="12"/>
      <c r="F68" s="12"/>
      <c r="G68" s="12"/>
      <c r="H68" s="12"/>
      <c r="I68" s="12"/>
      <c r="J68" s="12"/>
      <c r="K68" s="12"/>
      <c r="L68" s="12"/>
      <c r="M68" s="12"/>
      <c r="N68" s="12"/>
      <c r="O68" s="12"/>
      <c r="P68" s="12"/>
    </row>
    <row r="69" spans="1:16">
      <c r="A69" s="12"/>
      <c r="B69" s="12"/>
      <c r="C69" s="12"/>
      <c r="D69" s="12"/>
      <c r="E69" s="12"/>
      <c r="F69" s="12"/>
      <c r="G69" s="12"/>
      <c r="H69" s="12"/>
      <c r="I69" s="12"/>
      <c r="J69" s="12"/>
      <c r="K69" s="12"/>
      <c r="L69" s="12"/>
      <c r="M69" s="12"/>
      <c r="N69" s="12"/>
      <c r="O69" s="12"/>
      <c r="P69" s="12"/>
    </row>
    <row r="70" spans="1:16">
      <c r="A70" s="12"/>
      <c r="B70" s="12"/>
      <c r="C70" s="12"/>
      <c r="D70" s="12"/>
      <c r="E70" s="12"/>
      <c r="F70" s="12"/>
      <c r="G70" s="12"/>
      <c r="H70" s="12"/>
      <c r="I70" s="12"/>
      <c r="J70" s="12"/>
      <c r="K70" s="12"/>
      <c r="L70" s="12"/>
      <c r="M70" s="12"/>
      <c r="N70" s="12"/>
      <c r="O70" s="12"/>
      <c r="P70" s="12"/>
    </row>
    <row r="71" spans="1:16">
      <c r="A71" s="12"/>
      <c r="B71" s="12"/>
      <c r="C71" s="12"/>
      <c r="D71" s="12"/>
      <c r="E71" s="12"/>
      <c r="F71" s="12"/>
      <c r="G71" s="12"/>
      <c r="H71" s="12"/>
      <c r="I71" s="12"/>
      <c r="J71" s="12"/>
      <c r="K71" s="12"/>
      <c r="L71" s="12"/>
      <c r="M71" s="12"/>
      <c r="N71" s="12"/>
      <c r="O71" s="12"/>
      <c r="P71" s="12"/>
    </row>
    <row r="72" spans="1:16">
      <c r="A72" s="12"/>
      <c r="B72" s="12"/>
      <c r="C72" s="12"/>
      <c r="D72" s="12"/>
      <c r="E72" s="12"/>
      <c r="F72" s="12"/>
      <c r="G72" s="12"/>
      <c r="H72" s="12"/>
      <c r="I72" s="12"/>
      <c r="J72" s="12"/>
      <c r="K72" s="12"/>
      <c r="L72" s="12"/>
      <c r="M72" s="12"/>
      <c r="N72" s="12"/>
      <c r="O72" s="12"/>
      <c r="P72" s="12"/>
    </row>
    <row r="73" spans="1:16">
      <c r="A73" s="12"/>
      <c r="B73" s="12"/>
      <c r="C73" s="12"/>
      <c r="D73" s="12"/>
      <c r="E73" s="12"/>
      <c r="F73" s="12"/>
      <c r="G73" s="12"/>
      <c r="H73" s="12"/>
      <c r="I73" s="12"/>
      <c r="J73" s="12"/>
      <c r="K73" s="12"/>
      <c r="L73" s="12"/>
      <c r="M73" s="12"/>
      <c r="N73" s="12"/>
      <c r="O73" s="12"/>
      <c r="P73" s="12"/>
    </row>
    <row r="74" spans="1:16">
      <c r="A74" s="12"/>
      <c r="B74" s="12"/>
      <c r="C74" s="12"/>
      <c r="D74" s="12"/>
      <c r="E74" s="12"/>
      <c r="F74" s="12"/>
      <c r="G74" s="12"/>
      <c r="H74" s="12"/>
      <c r="I74" s="12"/>
      <c r="J74" s="12"/>
      <c r="K74" s="12"/>
      <c r="L74" s="12"/>
      <c r="M74" s="12"/>
      <c r="N74" s="12"/>
      <c r="O74" s="12"/>
      <c r="P74" s="12"/>
    </row>
    <row r="75" spans="1:16">
      <c r="A75" s="12"/>
      <c r="B75" s="12"/>
      <c r="C75" s="12"/>
      <c r="D75" s="12"/>
      <c r="E75" s="12"/>
      <c r="F75" s="12"/>
      <c r="G75" s="12"/>
      <c r="H75" s="12"/>
      <c r="I75" s="12"/>
      <c r="J75" s="12"/>
      <c r="K75" s="12"/>
      <c r="L75" s="12"/>
      <c r="M75" s="12"/>
      <c r="N75" s="12"/>
      <c r="O75" s="12"/>
      <c r="P75" s="12"/>
    </row>
    <row r="76" spans="1:16">
      <c r="A76" s="12"/>
      <c r="B76" s="12"/>
      <c r="C76" s="12"/>
      <c r="D76" s="12"/>
      <c r="E76" s="12"/>
      <c r="F76" s="12"/>
      <c r="G76" s="12"/>
      <c r="H76" s="12"/>
      <c r="I76" s="12"/>
      <c r="J76" s="12"/>
      <c r="K76" s="12"/>
      <c r="L76" s="12"/>
      <c r="M76" s="12"/>
      <c r="N76" s="12"/>
      <c r="O76" s="12"/>
      <c r="P76" s="12"/>
    </row>
    <row r="77" spans="1:16">
      <c r="A77" s="12"/>
      <c r="B77" s="12"/>
      <c r="C77" s="12"/>
      <c r="D77" s="12"/>
      <c r="E77" s="12"/>
      <c r="F77" s="12"/>
      <c r="G77" s="12"/>
      <c r="H77" s="12"/>
      <c r="I77" s="12"/>
      <c r="J77" s="12"/>
      <c r="K77" s="12"/>
      <c r="L77" s="12"/>
      <c r="M77" s="12"/>
      <c r="N77" s="12"/>
      <c r="O77" s="12"/>
      <c r="P77" s="12"/>
    </row>
    <row r="78" spans="1:16">
      <c r="A78" s="12"/>
      <c r="B78" s="12"/>
      <c r="C78" s="12"/>
      <c r="D78" s="12"/>
      <c r="E78" s="12"/>
      <c r="F78" s="12"/>
      <c r="G78" s="12"/>
      <c r="H78" s="12"/>
      <c r="I78" s="12"/>
      <c r="J78" s="12"/>
      <c r="K78" s="12"/>
      <c r="L78" s="12"/>
      <c r="M78" s="12"/>
      <c r="N78" s="12"/>
      <c r="O78" s="12"/>
      <c r="P78" s="12"/>
    </row>
    <row r="79" spans="1:16">
      <c r="A79" s="12"/>
      <c r="B79" s="12"/>
      <c r="C79" s="12"/>
      <c r="D79" s="12"/>
      <c r="E79" s="12"/>
      <c r="F79" s="12"/>
      <c r="G79" s="12"/>
      <c r="H79" s="12"/>
      <c r="I79" s="12"/>
      <c r="J79" s="12"/>
      <c r="K79" s="12"/>
      <c r="L79" s="12"/>
      <c r="M79" s="12"/>
      <c r="N79" s="12"/>
      <c r="O79" s="12"/>
      <c r="P79" s="12"/>
    </row>
    <row r="80" spans="1:16">
      <c r="A80" s="12"/>
      <c r="B80" s="12"/>
      <c r="C80" s="12"/>
      <c r="D80" s="12"/>
      <c r="E80" s="12"/>
      <c r="F80" s="12"/>
      <c r="G80" s="12"/>
      <c r="H80" s="12"/>
      <c r="I80" s="12"/>
      <c r="J80" s="12"/>
      <c r="K80" s="12"/>
      <c r="L80" s="12"/>
      <c r="M80" s="12"/>
      <c r="N80" s="12"/>
      <c r="O80" s="12"/>
      <c r="P80" s="12"/>
    </row>
  </sheetData>
  <sheetProtection algorithmName="SHA-512" hashValue="fF2zYaie9xp5W7bbV4cXIQpW4FaU1hyTnRVeQL5bWAEpWRYKuuBf09V3DHUaJc7WdvsJKKBZFwV94CrbUpUShw==" saltValue="gdO9H0WVZdrkJ8c2X1IxUQ=="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dimension ref="A1:P80"/>
  <sheetViews>
    <sheetView showGridLines="0" view="pageBreakPreview" zoomScale="115" zoomScaleNormal="115" zoomScaleSheetLayoutView="115" workbookViewId="0">
      <selection activeCell="C31" sqref="C31"/>
    </sheetView>
  </sheetViews>
  <sheetFormatPr baseColWidth="10" defaultColWidth="9.1640625" defaultRowHeight="13"/>
  <cols>
    <col min="1" max="16384" width="9.1640625" style="11"/>
  </cols>
  <sheetData>
    <row r="1" spans="1:16" ht="16">
      <c r="A1" s="1284"/>
      <c r="B1" s="1284"/>
      <c r="C1" s="1284"/>
    </row>
    <row r="2" spans="1:16" ht="16">
      <c r="A2" s="71"/>
      <c r="B2" s="100"/>
      <c r="C2" s="100"/>
    </row>
    <row r="3" spans="1:16">
      <c r="A3" s="15" t="s">
        <v>413</v>
      </c>
    </row>
    <row r="4" spans="1:16">
      <c r="A4" s="14" t="s">
        <v>412</v>
      </c>
    </row>
    <row r="5" spans="1:16">
      <c r="A5" s="13" t="str">
        <f ca="1">CELL("filename")</f>
        <v>/Users/matthewbrown/Desktop/[2021MB-New-CS-Application-Financial-Plan-TEACH REV 21.1.04MB 2021 02 01.xlsx]Enrol Staff &amp; Exp</v>
      </c>
    </row>
    <row r="6" spans="1:16">
      <c r="A6" s="12"/>
      <c r="B6" s="12"/>
      <c r="C6" s="12"/>
      <c r="D6" s="12"/>
      <c r="E6" s="12"/>
      <c r="F6" s="12"/>
      <c r="G6" s="12"/>
      <c r="H6" s="12"/>
      <c r="I6" s="12"/>
      <c r="J6" s="12"/>
      <c r="K6" s="12"/>
      <c r="L6" s="12"/>
      <c r="M6" s="12"/>
      <c r="N6" s="12"/>
      <c r="O6" s="12"/>
      <c r="P6" s="12"/>
    </row>
    <row r="7" spans="1:16">
      <c r="A7" s="12"/>
      <c r="B7" s="12"/>
      <c r="C7" s="12"/>
      <c r="D7" s="12"/>
      <c r="E7" s="12"/>
      <c r="F7" s="12"/>
      <c r="G7" s="12"/>
      <c r="H7" s="12"/>
      <c r="I7" s="12"/>
      <c r="J7" s="12"/>
      <c r="K7" s="12"/>
      <c r="L7" s="12"/>
      <c r="M7" s="12"/>
      <c r="N7" s="12"/>
      <c r="O7" s="12"/>
      <c r="P7" s="12"/>
    </row>
    <row r="8" spans="1:16">
      <c r="A8" s="12"/>
      <c r="B8" s="12"/>
      <c r="C8" s="12"/>
      <c r="D8" s="12"/>
      <c r="E8" s="12"/>
      <c r="F8" s="12"/>
      <c r="G8" s="12"/>
      <c r="H8" s="12"/>
      <c r="I8" s="12"/>
      <c r="J8" s="12"/>
      <c r="K8" s="12"/>
      <c r="L8" s="12"/>
      <c r="M8" s="12"/>
      <c r="N8" s="12"/>
      <c r="O8" s="12"/>
      <c r="P8" s="12"/>
    </row>
    <row r="9" spans="1:16">
      <c r="A9" s="12"/>
      <c r="B9" s="12"/>
      <c r="C9" s="12"/>
      <c r="D9" s="12"/>
      <c r="E9" s="12"/>
      <c r="F9" s="12"/>
      <c r="G9" s="12"/>
      <c r="H9" s="12"/>
      <c r="I9" s="12"/>
      <c r="J9" s="12"/>
      <c r="K9" s="12"/>
      <c r="L9" s="12"/>
      <c r="M9" s="12"/>
      <c r="N9" s="12"/>
      <c r="O9" s="12"/>
      <c r="P9" s="12"/>
    </row>
    <row r="10" spans="1:16">
      <c r="A10" s="12"/>
      <c r="B10" s="12"/>
      <c r="C10" s="12"/>
      <c r="D10" s="12"/>
      <c r="E10" s="12"/>
      <c r="F10" s="12"/>
      <c r="G10" s="12"/>
      <c r="H10" s="12"/>
      <c r="I10" s="12"/>
      <c r="J10" s="12"/>
      <c r="K10" s="12"/>
      <c r="L10" s="12"/>
      <c r="M10" s="12"/>
      <c r="N10" s="12"/>
      <c r="O10" s="12"/>
      <c r="P10" s="12"/>
    </row>
    <row r="11" spans="1:16">
      <c r="A11" s="12"/>
      <c r="B11" s="12"/>
      <c r="C11" s="12"/>
      <c r="D11" s="12"/>
      <c r="E11" s="12"/>
      <c r="F11" s="12"/>
      <c r="G11" s="12"/>
      <c r="H11" s="12"/>
      <c r="I11" s="12"/>
      <c r="J11" s="12"/>
      <c r="K11" s="12"/>
      <c r="L11" s="12"/>
      <c r="M11" s="12"/>
      <c r="N11" s="12"/>
      <c r="O11" s="12"/>
      <c r="P11" s="12"/>
    </row>
    <row r="12" spans="1:16">
      <c r="A12" s="12"/>
      <c r="B12" s="12"/>
      <c r="C12" s="12"/>
      <c r="D12" s="12"/>
      <c r="E12" s="12"/>
      <c r="F12" s="12"/>
      <c r="G12" s="12"/>
      <c r="H12" s="12"/>
      <c r="I12" s="12"/>
      <c r="J12" s="12"/>
      <c r="K12" s="12"/>
      <c r="L12" s="12"/>
      <c r="M12" s="12"/>
      <c r="N12" s="12"/>
      <c r="O12" s="12"/>
      <c r="P12" s="12"/>
    </row>
    <row r="13" spans="1:16">
      <c r="A13" s="12"/>
      <c r="B13" s="12"/>
      <c r="C13" s="12"/>
      <c r="D13" s="12"/>
      <c r="E13" s="12"/>
      <c r="F13" s="12"/>
      <c r="G13" s="12"/>
      <c r="H13" s="12"/>
      <c r="I13" s="12"/>
      <c r="J13" s="12"/>
      <c r="K13" s="12"/>
      <c r="L13" s="12"/>
      <c r="M13" s="12"/>
      <c r="N13" s="12"/>
      <c r="O13" s="12"/>
      <c r="P13" s="12"/>
    </row>
    <row r="14" spans="1:16">
      <c r="A14" s="12"/>
      <c r="B14" s="12"/>
      <c r="C14" s="12"/>
      <c r="D14" s="12"/>
      <c r="E14" s="12"/>
      <c r="F14" s="12"/>
      <c r="G14" s="12"/>
      <c r="H14" s="12"/>
      <c r="I14" s="12"/>
      <c r="J14" s="12"/>
      <c r="K14" s="12"/>
      <c r="L14" s="12"/>
      <c r="M14" s="12"/>
      <c r="N14" s="12"/>
      <c r="O14" s="12"/>
      <c r="P14" s="12"/>
    </row>
    <row r="15" spans="1:16">
      <c r="A15" s="12"/>
      <c r="B15" s="12"/>
      <c r="C15" s="12"/>
      <c r="D15" s="12"/>
      <c r="E15" s="12"/>
      <c r="F15" s="12"/>
      <c r="G15" s="12"/>
      <c r="H15" s="12"/>
      <c r="I15" s="12"/>
      <c r="J15" s="12"/>
      <c r="K15" s="12"/>
      <c r="L15" s="12"/>
      <c r="M15" s="12"/>
      <c r="N15" s="12"/>
      <c r="O15" s="12"/>
      <c r="P15" s="12"/>
    </row>
    <row r="16" spans="1:16">
      <c r="A16" s="12"/>
      <c r="B16" s="12"/>
      <c r="C16" s="12"/>
      <c r="D16" s="12"/>
      <c r="E16" s="12"/>
      <c r="F16" s="12"/>
      <c r="G16" s="12"/>
      <c r="H16" s="12"/>
      <c r="I16" s="12"/>
      <c r="J16" s="12"/>
      <c r="K16" s="12"/>
      <c r="L16" s="12"/>
      <c r="M16" s="12"/>
      <c r="N16" s="12"/>
      <c r="O16" s="12"/>
      <c r="P16" s="12"/>
    </row>
    <row r="17" spans="1:16">
      <c r="A17" s="12"/>
      <c r="B17" s="12"/>
      <c r="C17" s="12"/>
      <c r="D17" s="12"/>
      <c r="E17" s="12"/>
      <c r="F17" s="12"/>
      <c r="G17" s="12"/>
      <c r="H17" s="12"/>
      <c r="I17" s="12"/>
      <c r="J17" s="12"/>
      <c r="K17" s="12"/>
      <c r="L17" s="12"/>
      <c r="M17" s="12"/>
      <c r="N17" s="12"/>
      <c r="O17" s="12"/>
      <c r="P17" s="12"/>
    </row>
    <row r="18" spans="1:16">
      <c r="A18" s="12"/>
      <c r="B18" s="12"/>
      <c r="C18" s="12"/>
      <c r="D18" s="12"/>
      <c r="E18" s="12"/>
      <c r="F18" s="12"/>
      <c r="G18" s="12"/>
      <c r="H18" s="12"/>
      <c r="I18" s="12"/>
      <c r="J18" s="12"/>
      <c r="K18" s="12"/>
      <c r="L18" s="12"/>
      <c r="M18" s="12"/>
      <c r="N18" s="12"/>
      <c r="O18" s="12"/>
      <c r="P18" s="12"/>
    </row>
    <row r="19" spans="1:16">
      <c r="A19" s="12"/>
      <c r="B19" s="12"/>
      <c r="C19" s="12"/>
      <c r="D19" s="12"/>
      <c r="E19" s="12"/>
      <c r="F19" s="12"/>
      <c r="G19" s="12"/>
      <c r="H19" s="12"/>
      <c r="I19" s="12"/>
      <c r="J19" s="12"/>
      <c r="K19" s="12"/>
      <c r="L19" s="12"/>
      <c r="M19" s="12"/>
      <c r="N19" s="12"/>
      <c r="O19" s="12"/>
      <c r="P19" s="12"/>
    </row>
    <row r="20" spans="1:16">
      <c r="A20" s="12"/>
      <c r="B20" s="12"/>
      <c r="C20" s="12"/>
      <c r="D20" s="12"/>
      <c r="E20" s="12"/>
      <c r="F20" s="12"/>
      <c r="G20" s="12"/>
      <c r="H20" s="12"/>
      <c r="I20" s="12"/>
      <c r="J20" s="12"/>
      <c r="K20" s="12"/>
      <c r="L20" s="12"/>
      <c r="M20" s="12"/>
      <c r="N20" s="12"/>
      <c r="O20" s="12"/>
      <c r="P20" s="12"/>
    </row>
    <row r="21" spans="1:16">
      <c r="A21" s="12"/>
      <c r="B21" s="12"/>
      <c r="C21" s="12"/>
      <c r="D21" s="12"/>
      <c r="E21" s="12"/>
      <c r="F21" s="12"/>
      <c r="G21" s="12"/>
      <c r="H21" s="12"/>
      <c r="I21" s="12"/>
      <c r="J21" s="12"/>
      <c r="K21" s="12"/>
      <c r="L21" s="12"/>
      <c r="M21" s="12"/>
      <c r="N21" s="12"/>
      <c r="O21" s="12"/>
      <c r="P21" s="12"/>
    </row>
    <row r="22" spans="1:16">
      <c r="A22" s="12"/>
      <c r="B22" s="12"/>
      <c r="C22" s="12"/>
      <c r="D22" s="12"/>
      <c r="E22" s="12"/>
      <c r="F22" s="12"/>
      <c r="G22" s="12"/>
      <c r="H22" s="12"/>
      <c r="I22" s="12"/>
      <c r="J22" s="12"/>
      <c r="K22" s="12"/>
      <c r="L22" s="12"/>
      <c r="M22" s="12"/>
      <c r="N22" s="12"/>
      <c r="O22" s="12"/>
      <c r="P22" s="12"/>
    </row>
    <row r="23" spans="1:16">
      <c r="A23" s="12"/>
      <c r="B23" s="12"/>
      <c r="C23" s="12"/>
      <c r="D23" s="12"/>
      <c r="E23" s="12"/>
      <c r="F23" s="12"/>
      <c r="G23" s="12"/>
      <c r="H23" s="12"/>
      <c r="I23" s="12"/>
      <c r="J23" s="12"/>
      <c r="K23" s="12"/>
      <c r="L23" s="12"/>
      <c r="M23" s="12"/>
      <c r="N23" s="12"/>
      <c r="O23" s="12"/>
      <c r="P23" s="12"/>
    </row>
    <row r="24" spans="1:16">
      <c r="A24" s="12"/>
      <c r="B24" s="12"/>
      <c r="C24" s="12"/>
      <c r="D24" s="12"/>
      <c r="E24" s="12"/>
      <c r="F24" s="12"/>
      <c r="G24" s="12"/>
      <c r="H24" s="12"/>
      <c r="I24" s="12"/>
      <c r="J24" s="12"/>
      <c r="K24" s="12"/>
      <c r="L24" s="12"/>
      <c r="M24" s="12"/>
      <c r="N24" s="12"/>
      <c r="O24" s="12"/>
      <c r="P24" s="12"/>
    </row>
    <row r="25" spans="1:16">
      <c r="A25" s="12"/>
      <c r="B25" s="12"/>
      <c r="C25" s="12"/>
      <c r="D25" s="12"/>
      <c r="E25" s="12"/>
      <c r="F25" s="12"/>
      <c r="G25" s="12"/>
      <c r="H25" s="12"/>
      <c r="I25" s="12"/>
      <c r="J25" s="12"/>
      <c r="K25" s="12"/>
      <c r="L25" s="12"/>
      <c r="M25" s="12"/>
      <c r="N25" s="12"/>
      <c r="O25" s="12"/>
      <c r="P25" s="12"/>
    </row>
    <row r="26" spans="1:16">
      <c r="A26" s="12"/>
      <c r="B26" s="12"/>
      <c r="C26" s="12"/>
      <c r="D26" s="12"/>
      <c r="E26" s="12"/>
      <c r="F26" s="12"/>
      <c r="G26" s="12"/>
      <c r="H26" s="12"/>
      <c r="I26" s="12"/>
      <c r="J26" s="12"/>
      <c r="K26" s="12"/>
      <c r="L26" s="12"/>
      <c r="M26" s="12"/>
      <c r="N26" s="12"/>
      <c r="O26" s="12"/>
      <c r="P26" s="12"/>
    </row>
    <row r="27" spans="1:16">
      <c r="A27" s="12"/>
      <c r="B27" s="12"/>
      <c r="C27" s="12"/>
      <c r="D27" s="12"/>
      <c r="E27" s="12"/>
      <c r="F27" s="12"/>
      <c r="G27" s="12"/>
      <c r="H27" s="12"/>
      <c r="I27" s="12"/>
      <c r="J27" s="12"/>
      <c r="K27" s="12"/>
      <c r="L27" s="12"/>
      <c r="M27" s="12"/>
      <c r="N27" s="12"/>
      <c r="O27" s="12"/>
      <c r="P27" s="12"/>
    </row>
    <row r="28" spans="1:16">
      <c r="A28" s="12"/>
      <c r="B28" s="12"/>
      <c r="C28" s="12"/>
      <c r="D28" s="12"/>
      <c r="E28" s="12"/>
      <c r="F28" s="12"/>
      <c r="G28" s="12"/>
      <c r="H28" s="12"/>
      <c r="I28" s="12"/>
      <c r="J28" s="12"/>
      <c r="K28" s="12"/>
      <c r="L28" s="12"/>
      <c r="M28" s="12"/>
      <c r="N28" s="12"/>
      <c r="O28" s="12"/>
      <c r="P28" s="12"/>
    </row>
    <row r="29" spans="1:16">
      <c r="A29" s="12"/>
      <c r="B29" s="12"/>
      <c r="C29" s="12"/>
      <c r="D29" s="12"/>
      <c r="E29" s="12"/>
      <c r="F29" s="12"/>
      <c r="G29" s="12"/>
      <c r="H29" s="12"/>
      <c r="I29" s="12"/>
      <c r="J29" s="12"/>
      <c r="K29" s="12"/>
      <c r="L29" s="12"/>
      <c r="M29" s="12"/>
      <c r="N29" s="12"/>
      <c r="O29" s="12"/>
      <c r="P29" s="12"/>
    </row>
    <row r="30" spans="1:16">
      <c r="A30" s="12"/>
      <c r="B30" s="12"/>
      <c r="C30" s="12"/>
      <c r="D30" s="12"/>
      <c r="E30" s="12"/>
      <c r="F30" s="12"/>
      <c r="G30" s="12"/>
      <c r="H30" s="12"/>
      <c r="I30" s="12"/>
      <c r="J30" s="12"/>
      <c r="K30" s="12"/>
      <c r="L30" s="12"/>
      <c r="M30" s="12"/>
      <c r="N30" s="12"/>
      <c r="O30" s="12"/>
      <c r="P30" s="12"/>
    </row>
    <row r="31" spans="1:16">
      <c r="A31" s="12"/>
      <c r="B31" s="12"/>
      <c r="C31" s="12"/>
      <c r="D31" s="12"/>
      <c r="E31" s="12"/>
      <c r="F31" s="12"/>
      <c r="G31" s="12"/>
      <c r="H31" s="12"/>
      <c r="I31" s="12"/>
      <c r="J31" s="12"/>
      <c r="K31" s="12"/>
      <c r="L31" s="12"/>
      <c r="M31" s="12"/>
      <c r="N31" s="12"/>
      <c r="O31" s="12"/>
      <c r="P31" s="12"/>
    </row>
    <row r="32" spans="1:16">
      <c r="A32" s="12"/>
      <c r="B32" s="12"/>
      <c r="C32" s="12"/>
      <c r="D32" s="12"/>
      <c r="E32" s="12"/>
      <c r="F32" s="12"/>
      <c r="G32" s="12"/>
      <c r="H32" s="12"/>
      <c r="I32" s="12"/>
      <c r="J32" s="12"/>
      <c r="K32" s="12"/>
      <c r="L32" s="12"/>
      <c r="M32" s="12"/>
      <c r="N32" s="12"/>
      <c r="O32" s="12"/>
      <c r="P32" s="12"/>
    </row>
    <row r="33" spans="1:16">
      <c r="A33" s="12"/>
      <c r="B33" s="12"/>
      <c r="C33" s="12"/>
      <c r="D33" s="12"/>
      <c r="E33" s="12"/>
      <c r="F33" s="12"/>
      <c r="G33" s="12"/>
      <c r="H33" s="12"/>
      <c r="I33" s="12"/>
      <c r="J33" s="12"/>
      <c r="K33" s="12"/>
      <c r="L33" s="12"/>
      <c r="M33" s="12"/>
      <c r="N33" s="12"/>
      <c r="O33" s="12"/>
      <c r="P33" s="12"/>
    </row>
    <row r="34" spans="1:16">
      <c r="A34" s="12"/>
      <c r="B34" s="12"/>
      <c r="C34" s="12"/>
      <c r="D34" s="12"/>
      <c r="E34" s="12"/>
      <c r="F34" s="12"/>
      <c r="G34" s="12"/>
      <c r="H34" s="12"/>
      <c r="I34" s="12"/>
      <c r="J34" s="12"/>
      <c r="K34" s="12"/>
      <c r="L34" s="12"/>
      <c r="M34" s="12"/>
      <c r="N34" s="12"/>
      <c r="O34" s="12"/>
      <c r="P34" s="12"/>
    </row>
    <row r="35" spans="1:16">
      <c r="A35" s="12"/>
      <c r="B35" s="12"/>
      <c r="C35" s="12"/>
      <c r="D35" s="12"/>
      <c r="E35" s="12"/>
      <c r="F35" s="12"/>
      <c r="G35" s="12"/>
      <c r="H35" s="12"/>
      <c r="I35" s="12"/>
      <c r="J35" s="12"/>
      <c r="K35" s="12"/>
      <c r="L35" s="12"/>
      <c r="M35" s="12"/>
      <c r="N35" s="12"/>
      <c r="O35" s="12"/>
      <c r="P35" s="12"/>
    </row>
    <row r="36" spans="1:16">
      <c r="A36" s="12"/>
      <c r="B36" s="12"/>
      <c r="C36" s="12"/>
      <c r="D36" s="12"/>
      <c r="E36" s="12"/>
      <c r="F36" s="12"/>
      <c r="G36" s="12"/>
      <c r="H36" s="12"/>
      <c r="I36" s="12"/>
      <c r="J36" s="12"/>
      <c r="K36" s="12"/>
      <c r="L36" s="12"/>
      <c r="M36" s="12"/>
      <c r="N36" s="12"/>
      <c r="O36" s="12"/>
      <c r="P36" s="12"/>
    </row>
    <row r="37" spans="1:16">
      <c r="A37" s="12"/>
      <c r="B37" s="12"/>
      <c r="C37" s="12"/>
      <c r="D37" s="12"/>
      <c r="E37" s="12"/>
      <c r="F37" s="12"/>
      <c r="G37" s="12"/>
      <c r="H37" s="12"/>
      <c r="I37" s="12"/>
      <c r="J37" s="12"/>
      <c r="K37" s="12"/>
      <c r="L37" s="12"/>
      <c r="M37" s="12"/>
      <c r="N37" s="12"/>
      <c r="O37" s="12"/>
      <c r="P37" s="12"/>
    </row>
    <row r="38" spans="1:16">
      <c r="A38" s="12"/>
      <c r="B38" s="12"/>
      <c r="C38" s="12"/>
      <c r="D38" s="12"/>
      <c r="E38" s="12"/>
      <c r="F38" s="12"/>
      <c r="G38" s="12"/>
      <c r="H38" s="12"/>
      <c r="I38" s="12"/>
      <c r="J38" s="12"/>
      <c r="K38" s="12"/>
      <c r="L38" s="12"/>
      <c r="M38" s="12"/>
      <c r="N38" s="12"/>
      <c r="O38" s="12"/>
      <c r="P38" s="12"/>
    </row>
    <row r="39" spans="1:16">
      <c r="A39" s="12"/>
      <c r="B39" s="12"/>
      <c r="C39" s="12"/>
      <c r="D39" s="12"/>
      <c r="E39" s="12"/>
      <c r="F39" s="12"/>
      <c r="G39" s="12"/>
      <c r="H39" s="12"/>
      <c r="I39" s="12"/>
      <c r="J39" s="12"/>
      <c r="K39" s="12"/>
      <c r="L39" s="12"/>
      <c r="M39" s="12"/>
      <c r="N39" s="12"/>
      <c r="O39" s="12"/>
      <c r="P39" s="12"/>
    </row>
    <row r="40" spans="1:16">
      <c r="A40" s="12"/>
      <c r="B40" s="12"/>
      <c r="C40" s="12"/>
      <c r="D40" s="12"/>
      <c r="E40" s="12"/>
      <c r="F40" s="12"/>
      <c r="G40" s="12"/>
      <c r="H40" s="12"/>
      <c r="I40" s="12"/>
      <c r="J40" s="12"/>
      <c r="K40" s="12"/>
      <c r="L40" s="12"/>
      <c r="M40" s="12"/>
      <c r="N40" s="12"/>
      <c r="O40" s="12"/>
      <c r="P40" s="12"/>
    </row>
    <row r="41" spans="1:16">
      <c r="A41" s="12"/>
      <c r="B41" s="12"/>
      <c r="C41" s="12"/>
      <c r="D41" s="12"/>
      <c r="E41" s="12"/>
      <c r="F41" s="12"/>
      <c r="G41" s="12"/>
      <c r="H41" s="12"/>
      <c r="I41" s="12"/>
      <c r="J41" s="12"/>
      <c r="K41" s="12"/>
      <c r="L41" s="12"/>
      <c r="M41" s="12"/>
      <c r="N41" s="12"/>
      <c r="O41" s="12"/>
      <c r="P41" s="12"/>
    </row>
    <row r="42" spans="1:16">
      <c r="A42" s="12"/>
      <c r="B42" s="12"/>
      <c r="C42" s="12"/>
      <c r="D42" s="12"/>
      <c r="E42" s="12"/>
      <c r="F42" s="12"/>
      <c r="G42" s="12"/>
      <c r="H42" s="12"/>
      <c r="I42" s="12"/>
      <c r="J42" s="12"/>
      <c r="K42" s="12"/>
      <c r="L42" s="12"/>
      <c r="M42" s="12"/>
      <c r="N42" s="12"/>
      <c r="O42" s="12"/>
      <c r="P42" s="12"/>
    </row>
    <row r="43" spans="1:16">
      <c r="A43" s="12"/>
      <c r="B43" s="12"/>
      <c r="C43" s="12"/>
      <c r="D43" s="12"/>
      <c r="E43" s="12"/>
      <c r="F43" s="12"/>
      <c r="G43" s="12"/>
      <c r="H43" s="12"/>
      <c r="I43" s="12"/>
      <c r="J43" s="12"/>
      <c r="K43" s="12"/>
      <c r="L43" s="12"/>
      <c r="M43" s="12"/>
      <c r="N43" s="12"/>
      <c r="O43" s="12"/>
      <c r="P43" s="12"/>
    </row>
    <row r="44" spans="1:16">
      <c r="A44" s="12"/>
      <c r="B44" s="12"/>
      <c r="C44" s="12"/>
      <c r="D44" s="12"/>
      <c r="E44" s="12"/>
      <c r="F44" s="12"/>
      <c r="G44" s="12"/>
      <c r="H44" s="12"/>
      <c r="I44" s="12"/>
      <c r="J44" s="12"/>
      <c r="K44" s="12"/>
      <c r="L44" s="12"/>
      <c r="M44" s="12"/>
      <c r="N44" s="12"/>
      <c r="O44" s="12"/>
      <c r="P44" s="12"/>
    </row>
    <row r="45" spans="1:16">
      <c r="A45" s="12"/>
      <c r="B45" s="12"/>
      <c r="C45" s="12"/>
      <c r="D45" s="12"/>
      <c r="E45" s="12"/>
      <c r="F45" s="12"/>
      <c r="G45" s="12"/>
      <c r="H45" s="12"/>
      <c r="I45" s="12"/>
      <c r="J45" s="12"/>
      <c r="K45" s="12"/>
      <c r="L45" s="12"/>
      <c r="M45" s="12"/>
      <c r="N45" s="12"/>
      <c r="O45" s="12"/>
      <c r="P45" s="12"/>
    </row>
    <row r="46" spans="1:16">
      <c r="A46" s="12"/>
      <c r="B46" s="12"/>
      <c r="C46" s="12"/>
      <c r="D46" s="12"/>
      <c r="E46" s="12"/>
      <c r="F46" s="12"/>
      <c r="G46" s="12"/>
      <c r="H46" s="12"/>
      <c r="I46" s="12"/>
      <c r="J46" s="12"/>
      <c r="K46" s="12"/>
      <c r="L46" s="12"/>
      <c r="M46" s="12"/>
      <c r="N46" s="12"/>
      <c r="O46" s="12"/>
      <c r="P46" s="12"/>
    </row>
    <row r="47" spans="1:16">
      <c r="A47" s="12"/>
      <c r="B47" s="12"/>
      <c r="C47" s="12"/>
      <c r="D47" s="12"/>
      <c r="E47" s="12"/>
      <c r="F47" s="12"/>
      <c r="G47" s="12"/>
      <c r="H47" s="12"/>
      <c r="I47" s="12"/>
      <c r="J47" s="12"/>
      <c r="K47" s="12"/>
      <c r="L47" s="12"/>
      <c r="M47" s="12"/>
      <c r="N47" s="12"/>
      <c r="O47" s="12"/>
      <c r="P47" s="12"/>
    </row>
    <row r="48" spans="1:16">
      <c r="A48" s="12"/>
      <c r="B48" s="12"/>
      <c r="C48" s="12"/>
      <c r="D48" s="12"/>
      <c r="E48" s="12"/>
      <c r="F48" s="12"/>
      <c r="G48" s="12"/>
      <c r="H48" s="12"/>
      <c r="I48" s="12"/>
      <c r="J48" s="12"/>
      <c r="K48" s="12"/>
      <c r="L48" s="12"/>
      <c r="M48" s="12"/>
      <c r="N48" s="12"/>
      <c r="O48" s="12"/>
      <c r="P48" s="12"/>
    </row>
    <row r="49" spans="1:16">
      <c r="A49" s="12"/>
      <c r="B49" s="12"/>
      <c r="C49" s="12"/>
      <c r="D49" s="12"/>
      <c r="E49" s="12"/>
      <c r="F49" s="12"/>
      <c r="G49" s="12"/>
      <c r="H49" s="12"/>
      <c r="I49" s="12"/>
      <c r="J49" s="12"/>
      <c r="K49" s="12"/>
      <c r="L49" s="12"/>
      <c r="M49" s="12"/>
      <c r="N49" s="12"/>
      <c r="O49" s="12"/>
      <c r="P49" s="12"/>
    </row>
    <row r="50" spans="1:16">
      <c r="A50" s="12"/>
      <c r="B50" s="12"/>
      <c r="C50" s="12"/>
      <c r="D50" s="12"/>
      <c r="E50" s="12"/>
      <c r="F50" s="12"/>
      <c r="G50" s="12"/>
      <c r="H50" s="12"/>
      <c r="I50" s="12"/>
      <c r="J50" s="12"/>
      <c r="K50" s="12"/>
      <c r="L50" s="12"/>
      <c r="M50" s="12"/>
      <c r="N50" s="12"/>
      <c r="O50" s="12"/>
      <c r="P50" s="12"/>
    </row>
    <row r="51" spans="1:16">
      <c r="A51" s="12"/>
      <c r="B51" s="12"/>
      <c r="C51" s="12"/>
      <c r="D51" s="12"/>
      <c r="E51" s="12"/>
      <c r="F51" s="12"/>
      <c r="G51" s="12"/>
      <c r="H51" s="12"/>
      <c r="I51" s="12"/>
      <c r="J51" s="12"/>
      <c r="K51" s="12"/>
      <c r="L51" s="12"/>
      <c r="M51" s="12"/>
      <c r="N51" s="12"/>
      <c r="O51" s="12"/>
      <c r="P51" s="12"/>
    </row>
    <row r="52" spans="1:16">
      <c r="A52" s="12"/>
      <c r="B52" s="12"/>
      <c r="C52" s="12"/>
      <c r="D52" s="12"/>
      <c r="E52" s="12"/>
      <c r="F52" s="12"/>
      <c r="G52" s="12"/>
      <c r="H52" s="12"/>
      <c r="I52" s="12"/>
      <c r="J52" s="12"/>
      <c r="K52" s="12"/>
      <c r="L52" s="12"/>
      <c r="M52" s="12"/>
      <c r="N52" s="12"/>
      <c r="O52" s="12"/>
      <c r="P52" s="12"/>
    </row>
    <row r="53" spans="1:16">
      <c r="A53" s="12"/>
      <c r="B53" s="12"/>
      <c r="C53" s="12"/>
      <c r="D53" s="12"/>
      <c r="E53" s="12"/>
      <c r="F53" s="12"/>
      <c r="G53" s="12"/>
      <c r="H53" s="12"/>
      <c r="I53" s="12"/>
      <c r="J53" s="12"/>
      <c r="K53" s="12"/>
      <c r="L53" s="12"/>
      <c r="M53" s="12"/>
      <c r="N53" s="12"/>
      <c r="O53" s="12"/>
      <c r="P53" s="12"/>
    </row>
    <row r="54" spans="1:16">
      <c r="A54" s="12"/>
      <c r="B54" s="12"/>
      <c r="C54" s="12"/>
      <c r="D54" s="12"/>
      <c r="E54" s="12"/>
      <c r="F54" s="12"/>
      <c r="G54" s="12"/>
      <c r="H54" s="12"/>
      <c r="I54" s="12"/>
      <c r="J54" s="12"/>
      <c r="K54" s="12"/>
      <c r="L54" s="12"/>
      <c r="M54" s="12"/>
      <c r="N54" s="12"/>
      <c r="O54" s="12"/>
      <c r="P54" s="12"/>
    </row>
    <row r="55" spans="1:16">
      <c r="A55" s="12"/>
      <c r="B55" s="12"/>
      <c r="C55" s="12"/>
      <c r="D55" s="12"/>
      <c r="E55" s="12"/>
      <c r="F55" s="12"/>
      <c r="G55" s="12"/>
      <c r="H55" s="12"/>
      <c r="I55" s="12"/>
      <c r="J55" s="12"/>
      <c r="K55" s="12"/>
      <c r="L55" s="12"/>
      <c r="M55" s="12"/>
      <c r="N55" s="12"/>
      <c r="O55" s="12"/>
      <c r="P55" s="12"/>
    </row>
    <row r="56" spans="1:16">
      <c r="A56" s="12"/>
      <c r="B56" s="12"/>
      <c r="C56" s="12"/>
      <c r="D56" s="12"/>
      <c r="E56" s="12"/>
      <c r="F56" s="12"/>
      <c r="G56" s="12"/>
      <c r="H56" s="12"/>
      <c r="I56" s="12"/>
      <c r="J56" s="12"/>
      <c r="K56" s="12"/>
      <c r="L56" s="12"/>
      <c r="M56" s="12"/>
      <c r="N56" s="12"/>
      <c r="O56" s="12"/>
      <c r="P56" s="12"/>
    </row>
    <row r="57" spans="1:16">
      <c r="A57" s="12"/>
      <c r="B57" s="12"/>
      <c r="C57" s="12"/>
      <c r="D57" s="12"/>
      <c r="E57" s="12"/>
      <c r="F57" s="12"/>
      <c r="G57" s="12"/>
      <c r="H57" s="12"/>
      <c r="I57" s="12"/>
      <c r="J57" s="12"/>
      <c r="K57" s="12"/>
      <c r="L57" s="12"/>
      <c r="M57" s="12"/>
      <c r="N57" s="12"/>
      <c r="O57" s="12"/>
      <c r="P57" s="12"/>
    </row>
    <row r="58" spans="1:16">
      <c r="A58" s="12"/>
      <c r="B58" s="12"/>
      <c r="C58" s="12"/>
      <c r="D58" s="12"/>
      <c r="E58" s="12"/>
      <c r="F58" s="12"/>
      <c r="G58" s="12"/>
      <c r="H58" s="12"/>
      <c r="I58" s="12"/>
      <c r="J58" s="12"/>
      <c r="K58" s="12"/>
      <c r="L58" s="12"/>
      <c r="M58" s="12"/>
      <c r="N58" s="12"/>
      <c r="O58" s="12"/>
      <c r="P58" s="12"/>
    </row>
    <row r="59" spans="1:16">
      <c r="A59" s="12"/>
      <c r="B59" s="12"/>
      <c r="C59" s="12"/>
      <c r="D59" s="12"/>
      <c r="E59" s="12"/>
      <c r="F59" s="12"/>
      <c r="G59" s="12"/>
      <c r="H59" s="12"/>
      <c r="I59" s="12"/>
      <c r="J59" s="12"/>
      <c r="K59" s="12"/>
      <c r="L59" s="12"/>
      <c r="M59" s="12"/>
      <c r="N59" s="12"/>
      <c r="O59" s="12"/>
      <c r="P59" s="12"/>
    </row>
    <row r="60" spans="1:16">
      <c r="A60" s="12"/>
      <c r="B60" s="12"/>
      <c r="C60" s="12"/>
      <c r="D60" s="12"/>
      <c r="E60" s="12"/>
      <c r="F60" s="12"/>
      <c r="G60" s="12"/>
      <c r="H60" s="12"/>
      <c r="I60" s="12"/>
      <c r="J60" s="12"/>
      <c r="K60" s="12"/>
      <c r="L60" s="12"/>
      <c r="M60" s="12"/>
      <c r="N60" s="12"/>
      <c r="O60" s="12"/>
      <c r="P60" s="12"/>
    </row>
    <row r="61" spans="1:16">
      <c r="A61" s="12"/>
      <c r="B61" s="12"/>
      <c r="C61" s="12"/>
      <c r="D61" s="12"/>
      <c r="E61" s="12"/>
      <c r="F61" s="12"/>
      <c r="G61" s="12"/>
      <c r="H61" s="12"/>
      <c r="I61" s="12"/>
      <c r="J61" s="12"/>
      <c r="K61" s="12"/>
      <c r="L61" s="12"/>
      <c r="M61" s="12"/>
      <c r="N61" s="12"/>
      <c r="O61" s="12"/>
      <c r="P61" s="12"/>
    </row>
    <row r="62" spans="1:16">
      <c r="A62" s="12"/>
      <c r="B62" s="12"/>
      <c r="C62" s="12"/>
      <c r="D62" s="12"/>
      <c r="E62" s="12"/>
      <c r="F62" s="12"/>
      <c r="G62" s="12"/>
      <c r="H62" s="12"/>
      <c r="I62" s="12"/>
      <c r="J62" s="12"/>
      <c r="K62" s="12"/>
      <c r="L62" s="12"/>
      <c r="M62" s="12"/>
      <c r="N62" s="12"/>
      <c r="O62" s="12"/>
      <c r="P62" s="12"/>
    </row>
    <row r="63" spans="1:16">
      <c r="A63" s="12"/>
      <c r="B63" s="12"/>
      <c r="C63" s="12"/>
      <c r="D63" s="12"/>
      <c r="E63" s="12"/>
      <c r="F63" s="12"/>
      <c r="G63" s="12"/>
      <c r="H63" s="12"/>
      <c r="I63" s="12"/>
      <c r="J63" s="12"/>
      <c r="K63" s="12"/>
      <c r="L63" s="12"/>
      <c r="M63" s="12"/>
      <c r="N63" s="12"/>
      <c r="O63" s="12"/>
      <c r="P63" s="12"/>
    </row>
    <row r="64" spans="1:16">
      <c r="A64" s="12"/>
      <c r="B64" s="12"/>
      <c r="C64" s="12"/>
      <c r="D64" s="12"/>
      <c r="E64" s="12"/>
      <c r="F64" s="12"/>
      <c r="G64" s="12"/>
      <c r="H64" s="12"/>
      <c r="I64" s="12"/>
      <c r="J64" s="12"/>
      <c r="K64" s="12"/>
      <c r="L64" s="12"/>
      <c r="M64" s="12"/>
      <c r="N64" s="12"/>
      <c r="O64" s="12"/>
      <c r="P64" s="12"/>
    </row>
    <row r="65" spans="1:16">
      <c r="A65" s="12"/>
      <c r="B65" s="12"/>
      <c r="C65" s="12"/>
      <c r="D65" s="12"/>
      <c r="E65" s="12"/>
      <c r="F65" s="12"/>
      <c r="G65" s="12"/>
      <c r="H65" s="12"/>
      <c r="I65" s="12"/>
      <c r="J65" s="12"/>
      <c r="K65" s="12"/>
      <c r="L65" s="12"/>
      <c r="M65" s="12"/>
      <c r="N65" s="12"/>
      <c r="O65" s="12"/>
      <c r="P65" s="12"/>
    </row>
    <row r="66" spans="1:16">
      <c r="A66" s="12"/>
      <c r="B66" s="12"/>
      <c r="C66" s="12"/>
      <c r="D66" s="12"/>
      <c r="E66" s="12"/>
      <c r="F66" s="12"/>
      <c r="G66" s="12"/>
      <c r="H66" s="12"/>
      <c r="I66" s="12"/>
      <c r="J66" s="12"/>
      <c r="K66" s="12"/>
      <c r="L66" s="12"/>
      <c r="M66" s="12"/>
      <c r="N66" s="12"/>
      <c r="O66" s="12"/>
      <c r="P66" s="12"/>
    </row>
    <row r="67" spans="1:16">
      <c r="A67" s="12"/>
      <c r="B67" s="12"/>
      <c r="C67" s="12"/>
      <c r="D67" s="12"/>
      <c r="E67" s="12"/>
      <c r="F67" s="12"/>
      <c r="G67" s="12"/>
      <c r="H67" s="12"/>
      <c r="I67" s="12"/>
      <c r="J67" s="12"/>
      <c r="K67" s="12"/>
      <c r="L67" s="12"/>
      <c r="M67" s="12"/>
      <c r="N67" s="12"/>
      <c r="O67" s="12"/>
      <c r="P67" s="12"/>
    </row>
    <row r="68" spans="1:16">
      <c r="A68" s="12"/>
      <c r="B68" s="12"/>
      <c r="C68" s="12"/>
      <c r="D68" s="12"/>
      <c r="E68" s="12"/>
      <c r="F68" s="12"/>
      <c r="G68" s="12"/>
      <c r="H68" s="12"/>
      <c r="I68" s="12"/>
      <c r="J68" s="12"/>
      <c r="K68" s="12"/>
      <c r="L68" s="12"/>
      <c r="M68" s="12"/>
      <c r="N68" s="12"/>
      <c r="O68" s="12"/>
      <c r="P68" s="12"/>
    </row>
    <row r="69" spans="1:16">
      <c r="A69" s="12"/>
      <c r="B69" s="12"/>
      <c r="C69" s="12"/>
      <c r="D69" s="12"/>
      <c r="E69" s="12"/>
      <c r="F69" s="12"/>
      <c r="G69" s="12"/>
      <c r="H69" s="12"/>
      <c r="I69" s="12"/>
      <c r="J69" s="12"/>
      <c r="K69" s="12"/>
      <c r="L69" s="12"/>
      <c r="M69" s="12"/>
      <c r="N69" s="12"/>
      <c r="O69" s="12"/>
      <c r="P69" s="12"/>
    </row>
    <row r="70" spans="1:16">
      <c r="A70" s="12"/>
      <c r="B70" s="12"/>
      <c r="C70" s="12"/>
      <c r="D70" s="12"/>
      <c r="E70" s="12"/>
      <c r="F70" s="12"/>
      <c r="G70" s="12"/>
      <c r="H70" s="12"/>
      <c r="I70" s="12"/>
      <c r="J70" s="12"/>
      <c r="K70" s="12"/>
      <c r="L70" s="12"/>
      <c r="M70" s="12"/>
      <c r="N70" s="12"/>
      <c r="O70" s="12"/>
      <c r="P70" s="12"/>
    </row>
    <row r="71" spans="1:16">
      <c r="A71" s="12"/>
      <c r="B71" s="12"/>
      <c r="C71" s="12"/>
      <c r="D71" s="12"/>
      <c r="E71" s="12"/>
      <c r="F71" s="12"/>
      <c r="G71" s="12"/>
      <c r="H71" s="12"/>
      <c r="I71" s="12"/>
      <c r="J71" s="12"/>
      <c r="K71" s="12"/>
      <c r="L71" s="12"/>
      <c r="M71" s="12"/>
      <c r="N71" s="12"/>
      <c r="O71" s="12"/>
      <c r="P71" s="12"/>
    </row>
    <row r="72" spans="1:16">
      <c r="A72" s="12"/>
      <c r="B72" s="12"/>
      <c r="C72" s="12"/>
      <c r="D72" s="12"/>
      <c r="E72" s="12"/>
      <c r="F72" s="12"/>
      <c r="G72" s="12"/>
      <c r="H72" s="12"/>
      <c r="I72" s="12"/>
      <c r="J72" s="12"/>
      <c r="K72" s="12"/>
      <c r="L72" s="12"/>
      <c r="M72" s="12"/>
      <c r="N72" s="12"/>
      <c r="O72" s="12"/>
      <c r="P72" s="12"/>
    </row>
    <row r="73" spans="1:16">
      <c r="A73" s="12"/>
      <c r="B73" s="12"/>
      <c r="C73" s="12"/>
      <c r="D73" s="12"/>
      <c r="E73" s="12"/>
      <c r="F73" s="12"/>
      <c r="G73" s="12"/>
      <c r="H73" s="12"/>
      <c r="I73" s="12"/>
      <c r="J73" s="12"/>
      <c r="K73" s="12"/>
      <c r="L73" s="12"/>
      <c r="M73" s="12"/>
      <c r="N73" s="12"/>
      <c r="O73" s="12"/>
      <c r="P73" s="12"/>
    </row>
    <row r="74" spans="1:16">
      <c r="A74" s="12"/>
      <c r="B74" s="12"/>
      <c r="C74" s="12"/>
      <c r="D74" s="12"/>
      <c r="E74" s="12"/>
      <c r="F74" s="12"/>
      <c r="G74" s="12"/>
      <c r="H74" s="12"/>
      <c r="I74" s="12"/>
      <c r="J74" s="12"/>
      <c r="K74" s="12"/>
      <c r="L74" s="12"/>
      <c r="M74" s="12"/>
      <c r="N74" s="12"/>
      <c r="O74" s="12"/>
      <c r="P74" s="12"/>
    </row>
    <row r="75" spans="1:16">
      <c r="A75" s="12"/>
      <c r="B75" s="12"/>
      <c r="C75" s="12"/>
      <c r="D75" s="12"/>
      <c r="E75" s="12"/>
      <c r="F75" s="12"/>
      <c r="G75" s="12"/>
      <c r="H75" s="12"/>
      <c r="I75" s="12"/>
      <c r="J75" s="12"/>
      <c r="K75" s="12"/>
      <c r="L75" s="12"/>
      <c r="M75" s="12"/>
      <c r="N75" s="12"/>
      <c r="O75" s="12"/>
      <c r="P75" s="12"/>
    </row>
    <row r="76" spans="1:16">
      <c r="A76" s="12"/>
      <c r="B76" s="12"/>
      <c r="C76" s="12"/>
      <c r="D76" s="12"/>
      <c r="E76" s="12"/>
      <c r="F76" s="12"/>
      <c r="G76" s="12"/>
      <c r="H76" s="12"/>
      <c r="I76" s="12"/>
      <c r="J76" s="12"/>
      <c r="K76" s="12"/>
      <c r="L76" s="12"/>
      <c r="M76" s="12"/>
      <c r="N76" s="12"/>
      <c r="O76" s="12"/>
      <c r="P76" s="12"/>
    </row>
    <row r="77" spans="1:16">
      <c r="A77" s="12"/>
      <c r="B77" s="12"/>
      <c r="C77" s="12"/>
      <c r="D77" s="12"/>
      <c r="E77" s="12"/>
      <c r="F77" s="12"/>
      <c r="G77" s="12"/>
      <c r="H77" s="12"/>
      <c r="I77" s="12"/>
      <c r="J77" s="12"/>
      <c r="K77" s="12"/>
      <c r="L77" s="12"/>
      <c r="M77" s="12"/>
      <c r="N77" s="12"/>
      <c r="O77" s="12"/>
      <c r="P77" s="12"/>
    </row>
    <row r="78" spans="1:16">
      <c r="A78" s="12"/>
      <c r="B78" s="12"/>
      <c r="C78" s="12"/>
      <c r="D78" s="12"/>
      <c r="E78" s="12"/>
      <c r="F78" s="12"/>
      <c r="G78" s="12"/>
      <c r="H78" s="12"/>
      <c r="I78" s="12"/>
      <c r="J78" s="12"/>
      <c r="K78" s="12"/>
      <c r="L78" s="12"/>
      <c r="M78" s="12"/>
      <c r="N78" s="12"/>
      <c r="O78" s="12"/>
      <c r="P78" s="12"/>
    </row>
    <row r="79" spans="1:16">
      <c r="A79" s="12"/>
      <c r="B79" s="12"/>
      <c r="C79" s="12"/>
      <c r="D79" s="12"/>
      <c r="E79" s="12"/>
      <c r="F79" s="12"/>
      <c r="G79" s="12"/>
      <c r="H79" s="12"/>
      <c r="I79" s="12"/>
      <c r="J79" s="12"/>
      <c r="K79" s="12"/>
      <c r="L79" s="12"/>
      <c r="M79" s="12"/>
      <c r="N79" s="12"/>
      <c r="O79" s="12"/>
      <c r="P79" s="12"/>
    </row>
    <row r="80" spans="1:16">
      <c r="A80" s="12"/>
      <c r="B80" s="12"/>
      <c r="C80" s="12"/>
      <c r="D80" s="12"/>
      <c r="E80" s="12"/>
      <c r="F80" s="12"/>
      <c r="G80" s="12"/>
      <c r="H80" s="12"/>
      <c r="I80" s="12"/>
      <c r="J80" s="12"/>
      <c r="K80" s="12"/>
      <c r="L80" s="12"/>
      <c r="M80" s="12"/>
      <c r="N80" s="12"/>
      <c r="O80" s="12"/>
      <c r="P80" s="12"/>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75F992EC020544925D6D37EDA7F695" ma:contentTypeVersion="12" ma:contentTypeDescription="Create a new document." ma:contentTypeScope="" ma:versionID="fdb3b87ba7acc469b11603ee4a84e9ea">
  <xsd:schema xmlns:xsd="http://www.w3.org/2001/XMLSchema" xmlns:xs="http://www.w3.org/2001/XMLSchema" xmlns:p="http://schemas.microsoft.com/office/2006/metadata/properties" xmlns:ns1="http://schemas.microsoft.com/sharepoint/v3" xmlns:ns3="a7a39668-5523-4e02-ae7c-6b8e0b9a0641" xmlns:ns4="e4566b1c-7783-4256-a76a-3b22d10ddbc0" targetNamespace="http://schemas.microsoft.com/office/2006/metadata/properties" ma:root="true" ma:fieldsID="8d9455349fc14cef87da683bcb9466a1" ns1:_="" ns3:_="" ns4:_="">
    <xsd:import namespace="http://schemas.microsoft.com/sharepoint/v3"/>
    <xsd:import namespace="a7a39668-5523-4e02-ae7c-6b8e0b9a0641"/>
    <xsd:import namespace="e4566b1c-7783-4256-a76a-3b22d10ddb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a39668-5523-4e02-ae7c-6b8e0b9a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66b1c-7783-4256-a76a-3b22d10ddb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409FB-C47F-4DBF-9CFF-B7D64C5F0F2A}">
  <ds:schemaRef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a7a39668-5523-4e02-ae7c-6b8e0b9a0641"/>
    <ds:schemaRef ds:uri="http://schemas.microsoft.com/office/2006/documentManagement/types"/>
    <ds:schemaRef ds:uri="e4566b1c-7783-4256-a76a-3b22d10ddbc0"/>
    <ds:schemaRef ds:uri="http://www.w3.org/XML/1998/namespace"/>
    <ds:schemaRef ds:uri="http://purl.org/dc/dcmitype/"/>
  </ds:schemaRefs>
</ds:datastoreItem>
</file>

<file path=customXml/itemProps2.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3.xml><?xml version="1.0" encoding="utf-8"?>
<ds:datastoreItem xmlns:ds="http://schemas.openxmlformats.org/officeDocument/2006/customXml" ds:itemID="{F6402AA5-B4A8-49AB-9848-AE98E5A92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39668-5523-4e02-ae7c-6b8e0b9a0641"/>
    <ds:schemaRef ds:uri="e4566b1c-7783-4256-a76a-3b22d10ddb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37</vt:i4>
      </vt:variant>
    </vt:vector>
  </HeadingPairs>
  <TitlesOfParts>
    <vt:vector size="53" baseType="lpstr">
      <vt:lpstr>Instructions</vt:lpstr>
      <vt:lpstr>Cover</vt:lpstr>
      <vt:lpstr>Summary</vt:lpstr>
      <vt:lpstr>Market</vt:lpstr>
      <vt:lpstr>Enrol Staff &amp; Exp</vt:lpstr>
      <vt:lpstr>Facilities</vt:lpstr>
      <vt:lpstr>Facilities wkst</vt:lpstr>
      <vt:lpstr>FFE&amp;T</vt:lpstr>
      <vt:lpstr>Marketing</vt:lpstr>
      <vt:lpstr>Ins</vt:lpstr>
      <vt:lpstr>Incubation</vt:lpstr>
      <vt:lpstr>EMO-CMO</vt:lpstr>
      <vt:lpstr>CF Y1 Mo</vt:lpstr>
      <vt:lpstr>DSA Rates</vt:lpstr>
      <vt:lpstr>Note FFE</vt:lpstr>
      <vt:lpstr>Sheet2</vt:lpstr>
      <vt:lpstr>Counties</vt:lpstr>
      <vt:lpstr>County</vt:lpstr>
      <vt:lpstr>DSA</vt:lpstr>
      <vt:lpstr>HypLink10</vt:lpstr>
      <vt:lpstr>HypLink11</vt:lpstr>
      <vt:lpstr>HypLink12</vt:lpstr>
      <vt:lpstr>HypLink13</vt:lpstr>
      <vt:lpstr>HypLink15</vt:lpstr>
      <vt:lpstr>HypLink3</vt:lpstr>
      <vt:lpstr>HypLink4</vt:lpstr>
      <vt:lpstr>HypLink5</vt:lpstr>
      <vt:lpstr>HypLink6</vt:lpstr>
      <vt:lpstr>HypLink7</vt:lpstr>
      <vt:lpstr>HypLink8</vt:lpstr>
      <vt:lpstr>HypLink9</vt:lpstr>
      <vt:lpstr>'CF Y1 Mo'!Print_Area</vt:lpstr>
      <vt:lpstr>Cover!Print_Area</vt:lpstr>
      <vt:lpstr>'DSA Rates'!Print_Area</vt:lpstr>
      <vt:lpstr>'EMO-CMO'!Print_Area</vt:lpstr>
      <vt:lpstr>'Enrol Staff &amp; Exp'!Print_Area</vt:lpstr>
      <vt:lpstr>Facilities!Print_Area</vt:lpstr>
      <vt:lpstr>'FFE&amp;T'!Print_Area</vt:lpstr>
      <vt:lpstr>Incubation!Print_Area</vt:lpstr>
      <vt:lpstr>Ins!Print_Area</vt:lpstr>
      <vt:lpstr>Instructions!Print_Area</vt:lpstr>
      <vt:lpstr>Marketing!Print_Area</vt:lpstr>
      <vt:lpstr>'Note FFE'!Print_Area</vt:lpstr>
      <vt:lpstr>Sheet2!Print_Area</vt:lpstr>
      <vt:lpstr>Summary!Print_Area</vt:lpstr>
      <vt:lpstr>'CF Y1 Mo'!Print_Titles</vt:lpstr>
      <vt:lpstr>'EMO-CMO'!Print_Titles</vt:lpstr>
      <vt:lpstr>'Enrol Staff &amp; Exp'!Print_Titles</vt:lpstr>
      <vt:lpstr>'Facilities wkst'!Print_Titles</vt:lpstr>
      <vt:lpstr>Market!Print_Titles</vt:lpstr>
      <vt:lpstr>Marketing!Print_Titles</vt:lpstr>
      <vt:lpstr>Summary!Print_Titles</vt:lpstr>
      <vt:lpstr>SchoolName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Thompson</dc:creator>
  <cp:lastModifiedBy>Microsoft Office User</cp:lastModifiedBy>
  <cp:lastPrinted>2019-11-18T19:55:31Z</cp:lastPrinted>
  <dcterms:created xsi:type="dcterms:W3CDTF">2009-03-05T15:43:16Z</dcterms:created>
  <dcterms:modified xsi:type="dcterms:W3CDTF">2021-02-01T18:13:49Z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0x0101001375F992EC020544925D6D37EDA7F695</vt:lpwstr>
  </property>
</Properties>
</file>